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718570A1-88CE-4F99-B18B-45E1AF620CEE}" xr6:coauthVersionLast="47" xr6:coauthVersionMax="47" xr10:uidLastSave="{00000000-0000-0000-0000-000000000000}"/>
  <bookViews>
    <workbookView xWindow="-120" yWindow="-120" windowWidth="21840" windowHeight="13140" tabRatio="899" firstSheet="12"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商业结果表" sheetId="9" r:id="rId19"/>
    <sheet name="商业成本法" sheetId="68" r:id="rId20"/>
    <sheet name="成本法 (元)" sheetId="69" state="hidden" r:id="rId21"/>
    <sheet name="假设开发法" sheetId="12" state="hidden" r:id="rId22"/>
    <sheet name="收益法 (元)" sheetId="67" state="hidden" r:id="rId23"/>
    <sheet name="收益法-酒店模型" sheetId="77" state="hidden" r:id="rId24"/>
    <sheet name="商业收益法" sheetId="15"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商业-基准地价修正" sheetId="43" r:id="rId37"/>
    <sheet name="办公结果表 " sheetId="86" r:id="rId38"/>
    <sheet name="办公成本法" sheetId="84" r:id="rId39"/>
    <sheet name="办公收益法 " sheetId="82" r:id="rId40"/>
    <sheet name="办公-基准地价修正" sheetId="81" r:id="rId41"/>
    <sheet name="地下车库结果表" sheetId="87" r:id="rId42"/>
    <sheet name="地下车库成本法" sheetId="85" r:id="rId43"/>
    <sheet name="地下车库收益法" sheetId="83" r:id="rId44"/>
    <sheet name="车库-基准地价修正" sheetId="88"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8">办公成本法!$A$1:$G$57</definedName>
    <definedName name="_xlnm.Print_Area" localSheetId="40">'办公-基准地价修正'!$A$1:$J$44,'办公-基准地价修正'!$A$47:$H$101,'办公-基准地价修正'!$R$1:$V$16</definedName>
    <definedName name="_xlnm.Print_Area" localSheetId="37">'办公结果表 '!$A$1:$I$127</definedName>
    <definedName name="_xlnm.Print_Area" localSheetId="39">'办公收益法 '!$A$1:$F$43,'办公收益法 '!$H$3:$M$29,'办公收益法 '!$A$46:$F$71,'办公收益法 '!$I$46:$N$65</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4">'车库-基准地价修正'!$A$1:$J$44,'车库-基准地价修正'!$A$47:$H$101,'车库-基准地价修正'!$R$1:$V$16</definedName>
    <definedName name="_xlnm.Print_Area" localSheetId="20">'成本法 (元)'!$A$1:$G$57</definedName>
    <definedName name="_xlnm.Print_Area" localSheetId="42">地下车库成本法!$A$1:$G$57</definedName>
    <definedName name="_xlnm.Print_Area" localSheetId="41">地下车库结果表!$A$1:$I$127</definedName>
    <definedName name="_xlnm.Print_Area" localSheetId="43">地下车库收益法!$A$1:$F$43,地下车库收益法!$H$3:$M$29,地下车库收益法!$A$46:$F$71,地下车库收益法!$I$46:$N$65</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1">假设开发法!$A$1:$K$32</definedName>
    <definedName name="_xlnm.Print_Area" localSheetId="19">商业成本法!$A$1:$G$57</definedName>
    <definedName name="_xlnm.Print_Area" localSheetId="36">'商业-基准地价修正'!$A$1:$J$44,'商业-基准地价修正'!$A$47:$H$101,'商业-基准地价修正'!$R$1:$V$16</definedName>
    <definedName name="_xlnm.Print_Area" localSheetId="18">商业结果表!$A$1:$I$127</definedName>
    <definedName name="_xlnm.Print_Area" localSheetId="24">商业收益法!$A$1:$F$43,商业收益法!$H$3:$M$29,商业收益法!$A$46:$F$71,商业收益法!$I$46:$N$65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'办公-基准地价修正'!$Q$19:$AD$19</definedName>
    <definedName name="季度" localSheetId="44">'车库-基准地价修正'!$Q$19:$AD$19</definedName>
    <definedName name="季度">'商业-基准地价修正'!$Q$19:$AD$19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21" i="1" l="1"/>
  <c r="V22" i="1"/>
  <c r="Y22" i="1" s="1"/>
  <c r="V23" i="1"/>
  <c r="V20" i="1"/>
  <c r="Y20" i="1" s="1"/>
  <c r="Y21" i="1"/>
  <c r="Y23" i="1"/>
  <c r="Y19" i="1"/>
  <c r="D42" i="88"/>
  <c r="Y24" i="1" l="1"/>
  <c r="V24" i="1" s="1"/>
  <c r="B16" i="74"/>
  <c r="B15" i="74"/>
  <c r="B14" i="74"/>
  <c r="F116" i="88"/>
  <c r="N111" i="88"/>
  <c r="N112" i="88" s="1"/>
  <c r="M111" i="88"/>
  <c r="M112" i="88" s="1"/>
  <c r="L111" i="88"/>
  <c r="L112" i="88" s="1"/>
  <c r="K111" i="88"/>
  <c r="K112" i="88" s="1"/>
  <c r="J111" i="88"/>
  <c r="J112" i="88" s="1"/>
  <c r="I111" i="88"/>
  <c r="I112" i="88" s="1"/>
  <c r="H111" i="88"/>
  <c r="H112" i="88" s="1"/>
  <c r="G111" i="88"/>
  <c r="G112" i="88" s="1"/>
  <c r="F111" i="88"/>
  <c r="F112" i="88" s="1"/>
  <c r="E111" i="88"/>
  <c r="E112" i="88" s="1"/>
  <c r="D111" i="88"/>
  <c r="D112" i="88" s="1"/>
  <c r="C111" i="88"/>
  <c r="C112" i="88" s="1"/>
  <c r="M101" i="88"/>
  <c r="N101" i="88" s="1"/>
  <c r="K101" i="88"/>
  <c r="J101" i="88"/>
  <c r="D101" i="88"/>
  <c r="B101" i="88"/>
  <c r="N100" i="88"/>
  <c r="M100" i="88"/>
  <c r="K100" i="88"/>
  <c r="J100" i="88"/>
  <c r="D100" i="88"/>
  <c r="B100" i="88"/>
  <c r="M99" i="88"/>
  <c r="N99" i="88" s="1"/>
  <c r="K99" i="88"/>
  <c r="J99" i="88"/>
  <c r="D99" i="88"/>
  <c r="B99" i="88"/>
  <c r="M98" i="88"/>
  <c r="N98" i="88" s="1"/>
  <c r="K98" i="88"/>
  <c r="J98" i="88" s="1"/>
  <c r="D98" i="88"/>
  <c r="N97" i="88"/>
  <c r="M97" i="88"/>
  <c r="K97" i="88"/>
  <c r="J97" i="88"/>
  <c r="D97" i="88"/>
  <c r="B97" i="88"/>
  <c r="M96" i="88"/>
  <c r="N96" i="88" s="1"/>
  <c r="K96" i="88"/>
  <c r="J96" i="88" s="1"/>
  <c r="D96" i="88"/>
  <c r="N95" i="88"/>
  <c r="M95" i="88"/>
  <c r="K95" i="88"/>
  <c r="J95" i="88"/>
  <c r="D95" i="88"/>
  <c r="B95" i="88"/>
  <c r="N94" i="88"/>
  <c r="M94" i="88"/>
  <c r="K94" i="88"/>
  <c r="J94" i="88"/>
  <c r="D94" i="88"/>
  <c r="B94" i="88"/>
  <c r="M93" i="88"/>
  <c r="N93" i="88" s="1"/>
  <c r="K93" i="88"/>
  <c r="J93" i="88" s="1"/>
  <c r="F93" i="88"/>
  <c r="D93" i="88"/>
  <c r="N90" i="88"/>
  <c r="M90" i="88"/>
  <c r="K90" i="88"/>
  <c r="J90" i="88"/>
  <c r="H90" i="88"/>
  <c r="D90" i="88"/>
  <c r="B90" i="88"/>
  <c r="M89" i="88"/>
  <c r="N89" i="88" s="1"/>
  <c r="K89" i="88"/>
  <c r="J89" i="88" s="1"/>
  <c r="H89" i="88"/>
  <c r="D89" i="88"/>
  <c r="N88" i="88"/>
  <c r="M88" i="88"/>
  <c r="K88" i="88"/>
  <c r="J88" i="88"/>
  <c r="D88" i="88"/>
  <c r="B88" i="88"/>
  <c r="N87" i="88"/>
  <c r="M87" i="88"/>
  <c r="K87" i="88"/>
  <c r="J87" i="88"/>
  <c r="H87" i="88"/>
  <c r="D87" i="88"/>
  <c r="B87" i="88"/>
  <c r="M86" i="88"/>
  <c r="N86" i="88" s="1"/>
  <c r="K86" i="88"/>
  <c r="J86" i="88" s="1"/>
  <c r="H86" i="88"/>
  <c r="D86" i="88"/>
  <c r="B86" i="88"/>
  <c r="M85" i="88"/>
  <c r="N85" i="88" s="1"/>
  <c r="K85" i="88"/>
  <c r="J85" i="88" s="1"/>
  <c r="D85" i="88"/>
  <c r="B85" i="88"/>
  <c r="N84" i="88"/>
  <c r="M84" i="88"/>
  <c r="K84" i="88"/>
  <c r="J84" i="88"/>
  <c r="D84" i="88"/>
  <c r="B84" i="88"/>
  <c r="N83" i="88"/>
  <c r="M83" i="88"/>
  <c r="K83" i="88"/>
  <c r="J83" i="88"/>
  <c r="H83" i="88"/>
  <c r="F83" i="88"/>
  <c r="H88" i="88" s="1"/>
  <c r="D83" i="88"/>
  <c r="B83" i="88"/>
  <c r="M80" i="88"/>
  <c r="N80" i="88" s="1"/>
  <c r="K80" i="88"/>
  <c r="J80" i="88" s="1"/>
  <c r="D80" i="88"/>
  <c r="N79" i="88"/>
  <c r="M79" i="88"/>
  <c r="K79" i="88"/>
  <c r="J79" i="88"/>
  <c r="H79" i="88"/>
  <c r="D79" i="88"/>
  <c r="B79" i="88"/>
  <c r="M78" i="88"/>
  <c r="N78" i="88" s="1"/>
  <c r="K78" i="88"/>
  <c r="J78" i="88" s="1"/>
  <c r="H78" i="88"/>
  <c r="D78" i="88"/>
  <c r="N77" i="88"/>
  <c r="M77" i="88"/>
  <c r="K77" i="88"/>
  <c r="J77" i="88" s="1"/>
  <c r="D77" i="88"/>
  <c r="B77" i="88"/>
  <c r="N76" i="88"/>
  <c r="M76" i="88"/>
  <c r="K76" i="88"/>
  <c r="J76" i="88"/>
  <c r="H76" i="88"/>
  <c r="D76" i="88"/>
  <c r="B76" i="88"/>
  <c r="M75" i="88"/>
  <c r="N75" i="88" s="1"/>
  <c r="K75" i="88"/>
  <c r="J75" i="88" s="1"/>
  <c r="H75" i="88"/>
  <c r="D75" i="88"/>
  <c r="B75" i="88"/>
  <c r="M74" i="88"/>
  <c r="N74" i="88" s="1"/>
  <c r="K74" i="88"/>
  <c r="J74" i="88" s="1"/>
  <c r="D74" i="88"/>
  <c r="B74" i="88"/>
  <c r="N73" i="88"/>
  <c r="M73" i="88"/>
  <c r="K73" i="88"/>
  <c r="J73" i="88"/>
  <c r="D73" i="88"/>
  <c r="B73" i="88"/>
  <c r="N72" i="88"/>
  <c r="M72" i="88"/>
  <c r="K72" i="88"/>
  <c r="J72" i="88"/>
  <c r="H72" i="88"/>
  <c r="F72" i="88"/>
  <c r="H77" i="88" s="1"/>
  <c r="D72" i="88"/>
  <c r="B72" i="88"/>
  <c r="B69" i="88"/>
  <c r="B68" i="88"/>
  <c r="B67" i="88"/>
  <c r="B65" i="88"/>
  <c r="B63" i="88"/>
  <c r="B62" i="88"/>
  <c r="B61" i="88"/>
  <c r="M58" i="88"/>
  <c r="N58" i="88" s="1"/>
  <c r="K58" i="88"/>
  <c r="J58" i="88"/>
  <c r="H58" i="88"/>
  <c r="D58" i="88"/>
  <c r="B58" i="88"/>
  <c r="M57" i="88"/>
  <c r="N57" i="88" s="1"/>
  <c r="K57" i="88"/>
  <c r="J57" i="88" s="1"/>
  <c r="D57" i="88"/>
  <c r="B57" i="88"/>
  <c r="M56" i="88"/>
  <c r="N56" i="88" s="1"/>
  <c r="K56" i="88"/>
  <c r="J56" i="88"/>
  <c r="D56" i="88"/>
  <c r="B56" i="88"/>
  <c r="N55" i="88"/>
  <c r="M55" i="88"/>
  <c r="K55" i="88"/>
  <c r="J55" i="88"/>
  <c r="H55" i="88"/>
  <c r="D55" i="88"/>
  <c r="M54" i="88"/>
  <c r="N54" i="88" s="1"/>
  <c r="K54" i="88"/>
  <c r="J54" i="88" s="1"/>
  <c r="D54" i="88"/>
  <c r="B54" i="88"/>
  <c r="M53" i="88"/>
  <c r="N53" i="88" s="1"/>
  <c r="K53" i="88"/>
  <c r="J53" i="88"/>
  <c r="D53" i="88"/>
  <c r="M52" i="88"/>
  <c r="N52" i="88" s="1"/>
  <c r="K52" i="88"/>
  <c r="J52" i="88"/>
  <c r="H52" i="88"/>
  <c r="D52" i="88"/>
  <c r="B52" i="88"/>
  <c r="M51" i="88"/>
  <c r="N51" i="88" s="1"/>
  <c r="K51" i="88"/>
  <c r="J51" i="88" s="1"/>
  <c r="D51" i="88"/>
  <c r="B51" i="88"/>
  <c r="M50" i="88"/>
  <c r="N50" i="88" s="1"/>
  <c r="K50" i="88"/>
  <c r="J50" i="88"/>
  <c r="F50" i="88"/>
  <c r="H56" i="88" s="1"/>
  <c r="E50" i="88"/>
  <c r="B48" i="88" s="1"/>
  <c r="D50" i="88"/>
  <c r="B50" i="88"/>
  <c r="G44" i="88"/>
  <c r="H42" i="88"/>
  <c r="H41" i="88"/>
  <c r="H40" i="88"/>
  <c r="H39" i="88"/>
  <c r="H38" i="88"/>
  <c r="H37" i="88"/>
  <c r="Q32" i="88"/>
  <c r="O32" i="88"/>
  <c r="N32" i="88"/>
  <c r="M32" i="88"/>
  <c r="J24" i="88"/>
  <c r="I24" i="88"/>
  <c r="G24" i="88"/>
  <c r="E24" i="88"/>
  <c r="P32" i="88" s="1"/>
  <c r="M23" i="88"/>
  <c r="I23" i="88"/>
  <c r="G23" i="88"/>
  <c r="M24" i="88" s="1"/>
  <c r="C22" i="88"/>
  <c r="C20" i="88"/>
  <c r="G18" i="88"/>
  <c r="G17" i="88"/>
  <c r="C17" i="88"/>
  <c r="C13" i="88"/>
  <c r="AI10" i="88"/>
  <c r="AF10" i="88"/>
  <c r="AB10" i="88"/>
  <c r="Y10" i="88"/>
  <c r="C10" i="88"/>
  <c r="C11" i="88" s="1"/>
  <c r="AJ9" i="88"/>
  <c r="AJ10" i="88" s="1"/>
  <c r="AI9" i="88"/>
  <c r="AH9" i="88"/>
  <c r="AH10" i="88" s="1"/>
  <c r="AG9" i="88"/>
  <c r="AG10" i="88" s="1"/>
  <c r="AF9" i="88"/>
  <c r="AE9" i="88"/>
  <c r="AE10" i="88" s="1"/>
  <c r="AD9" i="88"/>
  <c r="AD10" i="88" s="1"/>
  <c r="AC9" i="88"/>
  <c r="AC10" i="88" s="1"/>
  <c r="AB9" i="88"/>
  <c r="AA9" i="88"/>
  <c r="AA10" i="88" s="1"/>
  <c r="Z9" i="88"/>
  <c r="Z10" i="88" s="1"/>
  <c r="E9" i="88"/>
  <c r="C9" i="88"/>
  <c r="Z7" i="88"/>
  <c r="G3" i="88"/>
  <c r="I2" i="88"/>
  <c r="G2" i="88"/>
  <c r="S2" i="88" s="1"/>
  <c r="D1" i="88"/>
  <c r="A120" i="87"/>
  <c r="B118" i="87"/>
  <c r="A118" i="87"/>
  <c r="E111" i="87"/>
  <c r="H112" i="87" s="1"/>
  <c r="E109" i="87"/>
  <c r="A124" i="87" s="1"/>
  <c r="E107" i="87"/>
  <c r="A122" i="87" s="1"/>
  <c r="H106" i="87"/>
  <c r="H105" i="87"/>
  <c r="H104" i="87"/>
  <c r="H103" i="87"/>
  <c r="D120" i="87" s="1"/>
  <c r="D101" i="87"/>
  <c r="C101" i="87"/>
  <c r="D93" i="87"/>
  <c r="C91" i="87"/>
  <c r="E90" i="87"/>
  <c r="D89" i="87"/>
  <c r="C89" i="87" s="1"/>
  <c r="C87" i="87" s="1"/>
  <c r="D78" i="87"/>
  <c r="H77" i="87"/>
  <c r="D77" i="87"/>
  <c r="C77" i="87" s="1"/>
  <c r="C76" i="87"/>
  <c r="D68" i="87"/>
  <c r="F59" i="87"/>
  <c r="E59" i="87"/>
  <c r="N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D48" i="87"/>
  <c r="M52" i="87" s="1"/>
  <c r="M47" i="87"/>
  <c r="F33" i="87"/>
  <c r="D27" i="87"/>
  <c r="C25" i="87"/>
  <c r="C24" i="87"/>
  <c r="M19" i="87"/>
  <c r="C118" i="87" s="1"/>
  <c r="L19" i="87"/>
  <c r="M18" i="87"/>
  <c r="L18" i="87"/>
  <c r="D17" i="87"/>
  <c r="C17" i="87"/>
  <c r="L4" i="87"/>
  <c r="K4" i="87"/>
  <c r="A2" i="87"/>
  <c r="H1" i="87"/>
  <c r="A120" i="86"/>
  <c r="A118" i="86"/>
  <c r="E111" i="86"/>
  <c r="H112" i="86" s="1"/>
  <c r="E109" i="86"/>
  <c r="A124" i="86" s="1"/>
  <c r="E107" i="86"/>
  <c r="A122" i="86" s="1"/>
  <c r="H106" i="86"/>
  <c r="H105" i="86"/>
  <c r="H104" i="86"/>
  <c r="H103" i="86"/>
  <c r="D120" i="86" s="1"/>
  <c r="D101" i="86"/>
  <c r="C101" i="86"/>
  <c r="D93" i="86"/>
  <c r="C91" i="86"/>
  <c r="E90" i="86"/>
  <c r="D89" i="86"/>
  <c r="C89" i="86" s="1"/>
  <c r="C87" i="86" s="1"/>
  <c r="D78" i="86"/>
  <c r="H77" i="86"/>
  <c r="D77" i="86"/>
  <c r="C77" i="86" s="1"/>
  <c r="C74" i="86" s="1"/>
  <c r="C76" i="86"/>
  <c r="D68" i="86"/>
  <c r="F59" i="86"/>
  <c r="E59" i="86"/>
  <c r="N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D48" i="86"/>
  <c r="M52" i="86" s="1"/>
  <c r="M47" i="86"/>
  <c r="F33" i="86"/>
  <c r="D27" i="86"/>
  <c r="C25" i="86"/>
  <c r="C24" i="86"/>
  <c r="M19" i="86"/>
  <c r="C118" i="86" s="1"/>
  <c r="L19" i="86"/>
  <c r="M18" i="86"/>
  <c r="B118" i="86" s="1"/>
  <c r="L18" i="86"/>
  <c r="D17" i="86"/>
  <c r="C17" i="86"/>
  <c r="L4" i="86"/>
  <c r="K4" i="86"/>
  <c r="A2" i="86"/>
  <c r="H1" i="86"/>
  <c r="F50" i="85"/>
  <c r="G41" i="85"/>
  <c r="F38" i="85"/>
  <c r="E37" i="85"/>
  <c r="F36" i="85"/>
  <c r="F35" i="85"/>
  <c r="F34" i="85"/>
  <c r="F30" i="85"/>
  <c r="F48" i="85" s="1"/>
  <c r="G22" i="85"/>
  <c r="F21" i="85"/>
  <c r="F40" i="85" s="1"/>
  <c r="F20" i="85"/>
  <c r="F39" i="85" s="1"/>
  <c r="E19" i="85"/>
  <c r="C19" i="85"/>
  <c r="E10" i="85"/>
  <c r="E9" i="85"/>
  <c r="F7" i="85"/>
  <c r="G1" i="85"/>
  <c r="F50" i="84"/>
  <c r="G41" i="84"/>
  <c r="F38" i="84"/>
  <c r="E37" i="84"/>
  <c r="F36" i="84"/>
  <c r="F35" i="84"/>
  <c r="F34" i="84"/>
  <c r="F30" i="84"/>
  <c r="F48" i="84" s="1"/>
  <c r="G22" i="84"/>
  <c r="F21" i="84"/>
  <c r="F40" i="84" s="1"/>
  <c r="F20" i="84"/>
  <c r="F39" i="84" s="1"/>
  <c r="E19" i="84"/>
  <c r="C19" i="84"/>
  <c r="E10" i="84"/>
  <c r="E9" i="84"/>
  <c r="F7" i="84"/>
  <c r="G1" i="84"/>
  <c r="N20" i="1"/>
  <c r="N6" i="1" s="1"/>
  <c r="N18" i="1"/>
  <c r="W24" i="1"/>
  <c r="X19" i="1"/>
  <c r="U21" i="1"/>
  <c r="X21" i="1" s="1"/>
  <c r="U22" i="1"/>
  <c r="X22" i="1" s="1"/>
  <c r="U23" i="1"/>
  <c r="X23" i="1" s="1"/>
  <c r="U20" i="1"/>
  <c r="X20" i="1" s="1"/>
  <c r="W20" i="1"/>
  <c r="W21" i="1"/>
  <c r="W22" i="1"/>
  <c r="W23" i="1"/>
  <c r="W19" i="1"/>
  <c r="N4" i="80"/>
  <c r="M20" i="80"/>
  <c r="M19" i="80"/>
  <c r="M18" i="80"/>
  <c r="M17" i="80"/>
  <c r="M16" i="80"/>
  <c r="L14" i="1"/>
  <c r="Q72" i="83"/>
  <c r="Q59" i="83"/>
  <c r="K59" i="83"/>
  <c r="P74" i="83" s="1"/>
  <c r="F59" i="83"/>
  <c r="Q58" i="83"/>
  <c r="Q51" i="83"/>
  <c r="J50" i="83"/>
  <c r="M47" i="83"/>
  <c r="D46" i="83"/>
  <c r="F33" i="83"/>
  <c r="F61" i="83" s="1"/>
  <c r="F31" i="83"/>
  <c r="F23" i="83"/>
  <c r="D24" i="83" s="1"/>
  <c r="F21" i="83"/>
  <c r="F20" i="83"/>
  <c r="M19" i="83"/>
  <c r="F18" i="83"/>
  <c r="M17" i="83"/>
  <c r="F17" i="83"/>
  <c r="F15" i="83"/>
  <c r="G1" i="83"/>
  <c r="Q72" i="82"/>
  <c r="Q59" i="82"/>
  <c r="K59" i="82"/>
  <c r="P74" i="82" s="1"/>
  <c r="F59" i="82"/>
  <c r="Q58" i="82"/>
  <c r="Q51" i="82"/>
  <c r="J50" i="82"/>
  <c r="M47" i="82"/>
  <c r="D46" i="82"/>
  <c r="F33" i="82"/>
  <c r="F61" i="82" s="1"/>
  <c r="F31" i="82"/>
  <c r="F23" i="82"/>
  <c r="D24" i="82" s="1"/>
  <c r="F21" i="82"/>
  <c r="F20" i="82"/>
  <c r="M19" i="82"/>
  <c r="F18" i="82"/>
  <c r="M17" i="82"/>
  <c r="F17" i="82"/>
  <c r="F15" i="82"/>
  <c r="G1" i="82"/>
  <c r="L7" i="1"/>
  <c r="D34" i="87"/>
  <c r="E2" i="85"/>
  <c r="C76" i="83"/>
  <c r="C76" i="82"/>
  <c r="D9" i="84"/>
  <c r="D10" i="85"/>
  <c r="D35" i="87"/>
  <c r="E2" i="84"/>
  <c r="M9" i="83"/>
  <c r="F6" i="83"/>
  <c r="J15" i="83"/>
  <c r="F27" i="84"/>
  <c r="D34" i="86"/>
  <c r="F26" i="83"/>
  <c r="M23" i="83"/>
  <c r="D35" i="86"/>
  <c r="C30" i="85" l="1"/>
  <c r="C48" i="85"/>
  <c r="P25" i="88"/>
  <c r="C74" i="87"/>
  <c r="C24" i="88"/>
  <c r="P28" i="88"/>
  <c r="C30" i="84"/>
  <c r="C48" i="84"/>
  <c r="C18" i="87"/>
  <c r="D18" i="87" s="1"/>
  <c r="C18" i="86"/>
  <c r="D18" i="86" s="1"/>
  <c r="C10" i="85"/>
  <c r="N11" i="88"/>
  <c r="N10" i="88"/>
  <c r="N12" i="88"/>
  <c r="M11" i="88"/>
  <c r="M10" i="88"/>
  <c r="N9" i="88"/>
  <c r="M6" i="88"/>
  <c r="N4" i="88"/>
  <c r="N2" i="88"/>
  <c r="M12" i="88"/>
  <c r="M9" i="88"/>
  <c r="M7" i="88"/>
  <c r="M1" i="88"/>
  <c r="M2" i="88"/>
  <c r="J26" i="88"/>
  <c r="E26" i="88"/>
  <c r="B116" i="88"/>
  <c r="G26" i="88"/>
  <c r="F26" i="88"/>
  <c r="H26" i="88"/>
  <c r="S6" i="88"/>
  <c r="N7" i="88"/>
  <c r="M8" i="88"/>
  <c r="E8" i="88"/>
  <c r="C7" i="88" s="1"/>
  <c r="E11" i="88"/>
  <c r="E10" i="88"/>
  <c r="N5" i="88"/>
  <c r="N1" i="88"/>
  <c r="F61" i="88" s="1"/>
  <c r="M3" i="88"/>
  <c r="M4" i="88"/>
  <c r="N8" i="88"/>
  <c r="N6" i="88"/>
  <c r="H116" i="88"/>
  <c r="F42" i="88"/>
  <c r="F40" i="88"/>
  <c r="O21" i="88"/>
  <c r="K21" i="88"/>
  <c r="N21" i="88"/>
  <c r="I21" i="88"/>
  <c r="C21" i="88"/>
  <c r="F41" i="88"/>
  <c r="F39" i="88"/>
  <c r="F38" i="88"/>
  <c r="C27" i="88"/>
  <c r="M21" i="88"/>
  <c r="H21" i="88"/>
  <c r="G21" i="88" s="1"/>
  <c r="F37" i="88"/>
  <c r="L21" i="88"/>
  <c r="E21" i="88"/>
  <c r="S5" i="88"/>
  <c r="S3" i="88"/>
  <c r="J21" i="88"/>
  <c r="D21" i="88"/>
  <c r="N3" i="88"/>
  <c r="S4" i="88"/>
  <c r="M5" i="88"/>
  <c r="C6" i="88"/>
  <c r="X7" i="88"/>
  <c r="E44" i="88"/>
  <c r="C44" i="88" s="1"/>
  <c r="I18" i="88"/>
  <c r="E17" i="88" s="1"/>
  <c r="C23" i="88"/>
  <c r="O23" i="88"/>
  <c r="P26" i="88"/>
  <c r="P29" i="88"/>
  <c r="E93" i="88"/>
  <c r="B91" i="88" s="1"/>
  <c r="H101" i="88"/>
  <c r="H95" i="88"/>
  <c r="H98" i="88"/>
  <c r="H99" i="88"/>
  <c r="H96" i="88"/>
  <c r="H93" i="88"/>
  <c r="H100" i="88"/>
  <c r="P27" i="88"/>
  <c r="E72" i="88"/>
  <c r="B70" i="88" s="1"/>
  <c r="E83" i="88"/>
  <c r="B81" i="88" s="1"/>
  <c r="H94" i="88"/>
  <c r="H97" i="88"/>
  <c r="H51" i="88"/>
  <c r="H54" i="88"/>
  <c r="H57" i="88"/>
  <c r="H74" i="88"/>
  <c r="H80" i="88"/>
  <c r="H85" i="88"/>
  <c r="H50" i="88"/>
  <c r="H53" i="88"/>
  <c r="H73" i="88"/>
  <c r="H84" i="88"/>
  <c r="C9" i="84"/>
  <c r="F45" i="84"/>
  <c r="D121" i="87"/>
  <c r="K120" i="87"/>
  <c r="C92" i="87"/>
  <c r="C94" i="87"/>
  <c r="H111" i="87"/>
  <c r="D126" i="87" s="1"/>
  <c r="D127" i="87" s="1"/>
  <c r="A126" i="87"/>
  <c r="H109" i="87"/>
  <c r="C92" i="86"/>
  <c r="C94" i="86"/>
  <c r="D121" i="86"/>
  <c r="K120" i="86"/>
  <c r="H111" i="86"/>
  <c r="D126" i="86" s="1"/>
  <c r="D127" i="86" s="1"/>
  <c r="A126" i="86"/>
  <c r="H109" i="86"/>
  <c r="C21" i="85"/>
  <c r="C40" i="85"/>
  <c r="C21" i="84"/>
  <c r="C29" i="84" s="1"/>
  <c r="D27" i="84" s="1"/>
  <c r="C40" i="84"/>
  <c r="N8" i="1"/>
  <c r="Y8" i="1" s="1"/>
  <c r="N7" i="1"/>
  <c r="Y7" i="1" s="1"/>
  <c r="N14" i="1"/>
  <c r="Y6" i="1"/>
  <c r="X24" i="1"/>
  <c r="U24" i="1" s="1"/>
  <c r="Q71" i="83"/>
  <c r="C27" i="83"/>
  <c r="D22" i="83"/>
  <c r="D23" i="83"/>
  <c r="J51" i="83"/>
  <c r="P61" i="83"/>
  <c r="Q71" i="82"/>
  <c r="P61" i="82"/>
  <c r="D22" i="82"/>
  <c r="D23" i="82"/>
  <c r="J51" i="82"/>
  <c r="C34" i="85"/>
  <c r="F40" i="83"/>
  <c r="F37" i="83"/>
  <c r="M24" i="83"/>
  <c r="M8" i="83"/>
  <c r="F36" i="83"/>
  <c r="M8" i="82"/>
  <c r="F8" i="82"/>
  <c r="J15" i="82"/>
  <c r="F6" i="82"/>
  <c r="D9" i="85"/>
  <c r="D10" i="84"/>
  <c r="F16" i="83"/>
  <c r="M26" i="83"/>
  <c r="F13" i="83"/>
  <c r="M28" i="83"/>
  <c r="F26" i="82"/>
  <c r="F9" i="82"/>
  <c r="L48" i="82"/>
  <c r="M26" i="82"/>
  <c r="L47" i="82"/>
  <c r="M23" i="82"/>
  <c r="C36" i="85"/>
  <c r="C34" i="84"/>
  <c r="F38" i="83"/>
  <c r="M6" i="83"/>
  <c r="F42" i="83"/>
  <c r="F8" i="83"/>
  <c r="F40" i="82"/>
  <c r="M22" i="82"/>
  <c r="M6" i="82"/>
  <c r="F37" i="82"/>
  <c r="M24" i="82"/>
  <c r="F27" i="85"/>
  <c r="C36" i="84"/>
  <c r="F9" i="83"/>
  <c r="M22" i="83"/>
  <c r="L47" i="83"/>
  <c r="L48" i="83"/>
  <c r="F38" i="82"/>
  <c r="M9" i="82"/>
  <c r="F42" i="82"/>
  <c r="F13" i="82"/>
  <c r="F16" i="82"/>
  <c r="F36" i="82"/>
  <c r="M28" i="82"/>
  <c r="C35" i="85" l="1"/>
  <c r="F45" i="85"/>
  <c r="C9" i="85"/>
  <c r="D19" i="85"/>
  <c r="D37" i="85" s="1"/>
  <c r="C37" i="85" s="1"/>
  <c r="C29" i="85"/>
  <c r="D27" i="85" s="1"/>
  <c r="H65" i="88"/>
  <c r="G65" i="88" s="1"/>
  <c r="H64" i="88"/>
  <c r="G64" i="88" s="1"/>
  <c r="H69" i="88"/>
  <c r="G69" i="88" s="1"/>
  <c r="H68" i="88"/>
  <c r="G68" i="88" s="1"/>
  <c r="H67" i="88"/>
  <c r="G67" i="88" s="1"/>
  <c r="H66" i="88"/>
  <c r="G66" i="88" s="1"/>
  <c r="H63" i="88"/>
  <c r="G63" i="88" s="1"/>
  <c r="H62" i="88"/>
  <c r="G62" i="88" s="1"/>
  <c r="H61" i="88"/>
  <c r="G61" i="88" s="1"/>
  <c r="C5" i="88"/>
  <c r="D5" i="88"/>
  <c r="D26" i="88"/>
  <c r="C25" i="88" s="1"/>
  <c r="I122" i="88"/>
  <c r="J122" i="88" s="1"/>
  <c r="K122" i="88" s="1"/>
  <c r="L122" i="88" s="1"/>
  <c r="M122" i="88" s="1"/>
  <c r="I121" i="88"/>
  <c r="J121" i="88" s="1"/>
  <c r="K121" i="88" s="1"/>
  <c r="L121" i="88" s="1"/>
  <c r="M121" i="88" s="1"/>
  <c r="I120" i="88"/>
  <c r="J120" i="88" s="1"/>
  <c r="K120" i="88" s="1"/>
  <c r="L120" i="88" s="1"/>
  <c r="M120" i="88" s="1"/>
  <c r="I119" i="88"/>
  <c r="J119" i="88" s="1"/>
  <c r="K119" i="88" s="1"/>
  <c r="L119" i="88" s="1"/>
  <c r="M119" i="88" s="1"/>
  <c r="I118" i="88"/>
  <c r="J118" i="88" s="1"/>
  <c r="K118" i="88" s="1"/>
  <c r="L118" i="88" s="1"/>
  <c r="M118" i="88" s="1"/>
  <c r="D122" i="88"/>
  <c r="E122" i="88" s="1"/>
  <c r="F122" i="88" s="1"/>
  <c r="G122" i="88" s="1"/>
  <c r="H122" i="88" s="1"/>
  <c r="D121" i="88"/>
  <c r="E121" i="88" s="1"/>
  <c r="F121" i="88" s="1"/>
  <c r="D120" i="88"/>
  <c r="E120" i="88" s="1"/>
  <c r="F120" i="88" s="1"/>
  <c r="G120" i="88" s="1"/>
  <c r="H120" i="88" s="1"/>
  <c r="D119" i="88"/>
  <c r="E119" i="88" s="1"/>
  <c r="F119" i="88" s="1"/>
  <c r="G119" i="88" s="1"/>
  <c r="H119" i="88" s="1"/>
  <c r="D118" i="88"/>
  <c r="E118" i="88" s="1"/>
  <c r="F118" i="88" s="1"/>
  <c r="G118" i="88" s="1"/>
  <c r="H118" i="88" s="1"/>
  <c r="G121" i="88"/>
  <c r="H121" i="88" s="1"/>
  <c r="B120" i="88"/>
  <c r="C120" i="88" s="1"/>
  <c r="B121" i="88"/>
  <c r="C121" i="88" s="1"/>
  <c r="B122" i="88"/>
  <c r="C122" i="88" s="1"/>
  <c r="B118" i="88"/>
  <c r="C118" i="88" s="1"/>
  <c r="B119" i="88"/>
  <c r="C119" i="88" s="1"/>
  <c r="C35" i="84"/>
  <c r="C38" i="84"/>
  <c r="C10" i="84"/>
  <c r="D19" i="84"/>
  <c r="D37" i="84" s="1"/>
  <c r="C37" i="84" s="1"/>
  <c r="D124" i="87"/>
  <c r="D125" i="87" s="1"/>
  <c r="H110" i="87"/>
  <c r="C38" i="85"/>
  <c r="D124" i="86"/>
  <c r="D125" i="86" s="1"/>
  <c r="H110" i="86"/>
  <c r="C47" i="85"/>
  <c r="D45" i="85" s="1"/>
  <c r="C47" i="84"/>
  <c r="D45" i="84" s="1"/>
  <c r="F64" i="83"/>
  <c r="J57" i="83"/>
  <c r="J55" i="83" s="1"/>
  <c r="J58" i="83" s="1"/>
  <c r="Q50" i="83" s="1"/>
  <c r="J53" i="83"/>
  <c r="F51" i="83"/>
  <c r="N59" i="83"/>
  <c r="L58" i="83"/>
  <c r="L59" i="83"/>
  <c r="F65" i="83"/>
  <c r="F66" i="83"/>
  <c r="F68" i="83"/>
  <c r="I54" i="83"/>
  <c r="F64" i="82"/>
  <c r="F65" i="82"/>
  <c r="N59" i="82"/>
  <c r="L58" i="82"/>
  <c r="L59" i="82"/>
  <c r="J57" i="82"/>
  <c r="J55" i="82" s="1"/>
  <c r="J58" i="82" s="1"/>
  <c r="Q50" i="82" s="1"/>
  <c r="J53" i="82"/>
  <c r="F51" i="82"/>
  <c r="F66" i="82"/>
  <c r="F68" i="82"/>
  <c r="C27" i="82"/>
  <c r="I54" i="82"/>
  <c r="C33" i="85" l="1"/>
  <c r="C39" i="85" s="1"/>
  <c r="C46" i="85" s="1"/>
  <c r="C45" i="85" s="1"/>
  <c r="C33" i="84"/>
  <c r="C39" i="84" s="1"/>
  <c r="C46" i="84" s="1"/>
  <c r="C45" i="84" s="1"/>
  <c r="M62" i="88"/>
  <c r="N62" i="88" s="1"/>
  <c r="K62" i="88"/>
  <c r="K68" i="88"/>
  <c r="J68" i="88" s="1"/>
  <c r="D68" i="88" s="1"/>
  <c r="M68" i="88"/>
  <c r="N68" i="88" s="1"/>
  <c r="M63" i="88"/>
  <c r="N63" i="88" s="1"/>
  <c r="K63" i="88"/>
  <c r="M69" i="88"/>
  <c r="N69" i="88" s="1"/>
  <c r="K69" i="88"/>
  <c r="M66" i="88"/>
  <c r="N66" i="88" s="1"/>
  <c r="K66" i="88"/>
  <c r="M64" i="88"/>
  <c r="N64" i="88" s="1"/>
  <c r="K64" i="88"/>
  <c r="D116" i="88"/>
  <c r="M61" i="88"/>
  <c r="N61" i="88" s="1"/>
  <c r="K61" i="88"/>
  <c r="J61" i="88" s="1"/>
  <c r="D61" i="88" s="1"/>
  <c r="M67" i="88"/>
  <c r="N67" i="88" s="1"/>
  <c r="K67" i="88"/>
  <c r="M65" i="88"/>
  <c r="N65" i="88" s="1"/>
  <c r="K65" i="88"/>
  <c r="Q73" i="83"/>
  <c r="Q60" i="83"/>
  <c r="F1" i="83"/>
  <c r="Q52" i="83"/>
  <c r="Q61" i="83"/>
  <c r="Q74" i="83"/>
  <c r="L56" i="83"/>
  <c r="Q52" i="82"/>
  <c r="F1" i="82"/>
  <c r="L56" i="82"/>
  <c r="Q73" i="82"/>
  <c r="Q60" i="82"/>
  <c r="Q74" i="82"/>
  <c r="Q61" i="82"/>
  <c r="J67" i="88" l="1"/>
  <c r="D67" i="88"/>
  <c r="J65" i="88"/>
  <c r="D65" i="88"/>
  <c r="J66" i="88"/>
  <c r="D66" i="88"/>
  <c r="D63" i="88"/>
  <c r="J63" i="88"/>
  <c r="J64" i="88"/>
  <c r="D64" i="88"/>
  <c r="E61" i="88" s="1"/>
  <c r="B59" i="88" s="1"/>
  <c r="C28" i="88" s="1"/>
  <c r="J69" i="88"/>
  <c r="D69" i="88"/>
  <c r="D62" i="88"/>
  <c r="J62" i="88"/>
  <c r="G62" i="81"/>
  <c r="G63" i="81"/>
  <c r="G64" i="81"/>
  <c r="G65" i="81"/>
  <c r="M65" i="81" s="1"/>
  <c r="N65" i="81" s="1"/>
  <c r="G66" i="81"/>
  <c r="G67" i="81"/>
  <c r="G68" i="81"/>
  <c r="G69" i="81"/>
  <c r="M69" i="81" s="1"/>
  <c r="N69" i="81" s="1"/>
  <c r="G61" i="81"/>
  <c r="G44" i="81"/>
  <c r="D33" i="81"/>
  <c r="G51" i="43"/>
  <c r="G52" i="43"/>
  <c r="G53" i="43"/>
  <c r="G54" i="43"/>
  <c r="G55" i="43"/>
  <c r="G56" i="43"/>
  <c r="G57" i="43"/>
  <c r="G58" i="43"/>
  <c r="G50" i="43"/>
  <c r="G44" i="43"/>
  <c r="D33" i="43"/>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c r="D100" i="81"/>
  <c r="B100" i="81"/>
  <c r="M99" i="81"/>
  <c r="N99" i="81" s="1"/>
  <c r="K99" i="81"/>
  <c r="J99" i="81"/>
  <c r="D99" i="81"/>
  <c r="B99" i="81"/>
  <c r="M98" i="81"/>
  <c r="N98" i="81" s="1"/>
  <c r="K98" i="81"/>
  <c r="J98" i="81" s="1"/>
  <c r="D98" i="81"/>
  <c r="N97" i="81"/>
  <c r="M97" i="81"/>
  <c r="K97" i="81"/>
  <c r="J97" i="81"/>
  <c r="D97" i="81"/>
  <c r="B97" i="81"/>
  <c r="M96" i="81"/>
  <c r="N96" i="81" s="1"/>
  <c r="K96" i="81"/>
  <c r="J96" i="81" s="1"/>
  <c r="D96" i="81"/>
  <c r="N95" i="81"/>
  <c r="M95" i="81"/>
  <c r="K95" i="81"/>
  <c r="J95" i="81"/>
  <c r="D95" i="81"/>
  <c r="B95" i="81"/>
  <c r="N94" i="81"/>
  <c r="M94" i="81"/>
  <c r="K94" i="81"/>
  <c r="J94" i="81"/>
  <c r="D94" i="81"/>
  <c r="B94" i="81"/>
  <c r="M93" i="81"/>
  <c r="N93" i="81" s="1"/>
  <c r="K93" i="81"/>
  <c r="J93" i="81" s="1"/>
  <c r="F93" i="81"/>
  <c r="D93" i="81"/>
  <c r="N90" i="81"/>
  <c r="M90" i="81"/>
  <c r="K90" i="81"/>
  <c r="J90" i="81"/>
  <c r="D90" i="81"/>
  <c r="B90" i="81"/>
  <c r="M89" i="81"/>
  <c r="N89" i="81" s="1"/>
  <c r="K89" i="81"/>
  <c r="J89" i="81" s="1"/>
  <c r="D89" i="81"/>
  <c r="N88" i="81"/>
  <c r="M88" i="81"/>
  <c r="K88" i="81"/>
  <c r="J88" i="81"/>
  <c r="D88" i="81"/>
  <c r="B88" i="81"/>
  <c r="N87" i="81"/>
  <c r="M87" i="81"/>
  <c r="K87" i="81"/>
  <c r="J87" i="81"/>
  <c r="D87" i="81"/>
  <c r="B87" i="81"/>
  <c r="M86" i="81"/>
  <c r="N86" i="81" s="1"/>
  <c r="K86" i="81"/>
  <c r="J86" i="81" s="1"/>
  <c r="D86" i="81"/>
  <c r="B86" i="81"/>
  <c r="M85" i="81"/>
  <c r="N85" i="81" s="1"/>
  <c r="K85" i="81"/>
  <c r="J85" i="81" s="1"/>
  <c r="D85" i="81"/>
  <c r="B85" i="81"/>
  <c r="N84" i="81"/>
  <c r="M84" i="81"/>
  <c r="K84" i="81"/>
  <c r="J84" i="81"/>
  <c r="D84" i="81"/>
  <c r="B84" i="81"/>
  <c r="N83" i="81"/>
  <c r="M83" i="81"/>
  <c r="K83" i="81"/>
  <c r="J83" i="81"/>
  <c r="F83" i="81"/>
  <c r="H88" i="81" s="1"/>
  <c r="D83" i="81"/>
  <c r="B83" i="81"/>
  <c r="M80" i="81"/>
  <c r="N80" i="81" s="1"/>
  <c r="K80" i="81"/>
  <c r="J80" i="81" s="1"/>
  <c r="D80" i="81"/>
  <c r="N79" i="81"/>
  <c r="M79" i="81"/>
  <c r="K79" i="81"/>
  <c r="J79" i="81"/>
  <c r="D79" i="81"/>
  <c r="B79" i="81"/>
  <c r="M78" i="81"/>
  <c r="N78" i="81" s="1"/>
  <c r="K78" i="81"/>
  <c r="J78" i="81" s="1"/>
  <c r="D78" i="81"/>
  <c r="N77" i="81"/>
  <c r="M77" i="81"/>
  <c r="K77" i="81"/>
  <c r="J77" i="81"/>
  <c r="D77" i="81"/>
  <c r="B77" i="81"/>
  <c r="N76" i="81"/>
  <c r="M76" i="81"/>
  <c r="K76" i="81"/>
  <c r="J76" i="81"/>
  <c r="D76" i="81"/>
  <c r="B76" i="81"/>
  <c r="M75" i="81"/>
  <c r="N75" i="81" s="1"/>
  <c r="K75" i="81"/>
  <c r="J75" i="81" s="1"/>
  <c r="D75" i="81"/>
  <c r="B75" i="81"/>
  <c r="M74" i="81"/>
  <c r="N74" i="81" s="1"/>
  <c r="K74" i="81"/>
  <c r="J74" i="81" s="1"/>
  <c r="D74" i="81"/>
  <c r="B74" i="81"/>
  <c r="N73" i="81"/>
  <c r="M73" i="81"/>
  <c r="K73" i="81"/>
  <c r="J73" i="81"/>
  <c r="D73" i="81"/>
  <c r="B73" i="81"/>
  <c r="N72" i="81"/>
  <c r="M72" i="81"/>
  <c r="K72" i="81"/>
  <c r="J72" i="81"/>
  <c r="F72" i="81"/>
  <c r="H77" i="81" s="1"/>
  <c r="D72" i="81"/>
  <c r="B72" i="81"/>
  <c r="B69" i="81"/>
  <c r="M68" i="81"/>
  <c r="N68" i="81" s="1"/>
  <c r="K68" i="81"/>
  <c r="J68" i="81"/>
  <c r="D68" i="81" s="1"/>
  <c r="B68" i="81"/>
  <c r="M67" i="81"/>
  <c r="N67" i="81" s="1"/>
  <c r="K67" i="81"/>
  <c r="J67" i="81" s="1"/>
  <c r="D67" i="81"/>
  <c r="B67" i="81"/>
  <c r="M66" i="81"/>
  <c r="N66" i="81" s="1"/>
  <c r="K66" i="81"/>
  <c r="J66" i="81" s="1"/>
  <c r="D66" i="81"/>
  <c r="B65" i="81"/>
  <c r="M64" i="81"/>
  <c r="N64" i="81" s="1"/>
  <c r="K64" i="81"/>
  <c r="J64" i="81" s="1"/>
  <c r="M63" i="81"/>
  <c r="N63" i="81" s="1"/>
  <c r="K63" i="81"/>
  <c r="J63" i="81" s="1"/>
  <c r="B63" i="81"/>
  <c r="M62" i="81"/>
  <c r="N62" i="81" s="1"/>
  <c r="K62" i="81"/>
  <c r="J62" i="81" s="1"/>
  <c r="D62" i="81"/>
  <c r="B62" i="81"/>
  <c r="M61" i="81"/>
  <c r="N61" i="81" s="1"/>
  <c r="K61" i="81"/>
  <c r="J61" i="81"/>
  <c r="D61" i="81"/>
  <c r="B61" i="81"/>
  <c r="M58" i="81"/>
  <c r="N58" i="81" s="1"/>
  <c r="K58" i="81"/>
  <c r="J58" i="81" s="1"/>
  <c r="D58" i="81"/>
  <c r="B58" i="81"/>
  <c r="N57" i="81"/>
  <c r="M57" i="81"/>
  <c r="K57" i="81"/>
  <c r="J57" i="81" s="1"/>
  <c r="D57" i="81"/>
  <c r="B57" i="81"/>
  <c r="N56" i="81"/>
  <c r="M56" i="81"/>
  <c r="K56" i="81"/>
  <c r="J56" i="81"/>
  <c r="D56" i="81"/>
  <c r="B56" i="81"/>
  <c r="N55" i="81"/>
  <c r="M55" i="81"/>
  <c r="K55" i="81"/>
  <c r="J55" i="81" s="1"/>
  <c r="D55" i="81"/>
  <c r="N54" i="81"/>
  <c r="M54" i="81"/>
  <c r="K54" i="81"/>
  <c r="J54" i="81" s="1"/>
  <c r="D54" i="81"/>
  <c r="B54" i="81"/>
  <c r="N53" i="81"/>
  <c r="M53" i="81"/>
  <c r="K53" i="81"/>
  <c r="J53" i="81"/>
  <c r="D53" i="81"/>
  <c r="M52" i="81"/>
  <c r="N52" i="81" s="1"/>
  <c r="K52" i="81"/>
  <c r="J52" i="81" s="1"/>
  <c r="D52" i="81"/>
  <c r="B52" i="81"/>
  <c r="N51" i="81"/>
  <c r="M51" i="81"/>
  <c r="K51" i="81"/>
  <c r="J51" i="81" s="1"/>
  <c r="D51" i="81"/>
  <c r="B51" i="81"/>
  <c r="N50" i="81"/>
  <c r="M50" i="81"/>
  <c r="K50" i="81"/>
  <c r="J50" i="81"/>
  <c r="D50" i="81"/>
  <c r="B50" i="81"/>
  <c r="H42" i="81"/>
  <c r="H41" i="81"/>
  <c r="H40" i="81"/>
  <c r="H39" i="81"/>
  <c r="H38" i="81"/>
  <c r="H37" i="81"/>
  <c r="Q32" i="81"/>
  <c r="M32" i="81"/>
  <c r="J24" i="81"/>
  <c r="I24" i="81"/>
  <c r="G24" i="81"/>
  <c r="G18" i="81" s="1"/>
  <c r="E24" i="81"/>
  <c r="M23" i="81"/>
  <c r="I23" i="81"/>
  <c r="G23" i="81"/>
  <c r="P27" i="81" s="1"/>
  <c r="C22" i="81"/>
  <c r="D21" i="81"/>
  <c r="G17" i="81"/>
  <c r="C17" i="81"/>
  <c r="C13" i="81"/>
  <c r="AH10" i="81"/>
  <c r="AG10" i="81"/>
  <c r="AD10" i="81"/>
  <c r="AC10" i="81"/>
  <c r="Z10" i="81"/>
  <c r="Y10" i="81"/>
  <c r="C10" i="81"/>
  <c r="C11" i="81" s="1"/>
  <c r="AJ9" i="81"/>
  <c r="AJ10" i="81" s="1"/>
  <c r="AI9" i="81"/>
  <c r="AI10" i="81" s="1"/>
  <c r="AH9" i="81"/>
  <c r="AG9" i="81"/>
  <c r="AF9" i="81"/>
  <c r="AF10" i="81" s="1"/>
  <c r="AE9" i="81"/>
  <c r="AE10" i="81" s="1"/>
  <c r="AD9" i="81"/>
  <c r="AC9" i="81"/>
  <c r="AB9" i="81"/>
  <c r="AB10" i="81" s="1"/>
  <c r="AA9" i="81"/>
  <c r="AA10" i="81" s="1"/>
  <c r="Z9" i="81"/>
  <c r="C9" i="81"/>
  <c r="X7" i="81"/>
  <c r="M6" i="81"/>
  <c r="S5" i="81"/>
  <c r="M4" i="81"/>
  <c r="S3" i="81"/>
  <c r="M2" i="81"/>
  <c r="I2" i="81"/>
  <c r="M10" i="81" s="1"/>
  <c r="G2" i="81"/>
  <c r="F37" i="81" s="1"/>
  <c r="M1" i="81"/>
  <c r="D1" i="81"/>
  <c r="G21" i="6"/>
  <c r="F20" i="6"/>
  <c r="F19" i="6"/>
  <c r="AN13" i="3"/>
  <c r="O20" i="3"/>
  <c r="I19" i="3"/>
  <c r="K18" i="3"/>
  <c r="I17" i="3"/>
  <c r="M16" i="3"/>
  <c r="M15" i="3"/>
  <c r="G19" i="6" s="1"/>
  <c r="D37" i="43" s="1"/>
  <c r="K14" i="3"/>
  <c r="I13" i="3"/>
  <c r="C20" i="3"/>
  <c r="C17" i="3"/>
  <c r="C18" i="3"/>
  <c r="C19" i="3"/>
  <c r="C14" i="3"/>
  <c r="C15" i="3"/>
  <c r="C16" i="3"/>
  <c r="C13" i="3"/>
  <c r="N9" i="80"/>
  <c r="N12" i="80" s="1"/>
  <c r="N10" i="80"/>
  <c r="R61" i="80"/>
  <c r="N6" i="80"/>
  <c r="K26" i="80"/>
  <c r="G47" i="80"/>
  <c r="F47" i="80"/>
  <c r="N7" i="80" s="1"/>
  <c r="N5" i="80"/>
  <c r="N3" i="80"/>
  <c r="F26" i="80"/>
  <c r="H26" i="80"/>
  <c r="J26" i="80"/>
  <c r="D67" i="80"/>
  <c r="N8" i="80" s="1"/>
  <c r="D47" i="80"/>
  <c r="D26" i="80"/>
  <c r="N2" i="80" s="1"/>
  <c r="D3" i="4"/>
  <c r="G14" i="73"/>
  <c r="F14" i="73"/>
  <c r="E14" i="73"/>
  <c r="P25" i="81" l="1"/>
  <c r="P26" i="81"/>
  <c r="M24" i="81"/>
  <c r="P29" i="81"/>
  <c r="C23" i="81"/>
  <c r="O23" i="81"/>
  <c r="P28" i="81"/>
  <c r="C41" i="88"/>
  <c r="C39" i="88"/>
  <c r="C33" i="88"/>
  <c r="T14" i="88"/>
  <c r="V14" i="88" s="1"/>
  <c r="T8" i="88"/>
  <c r="V8" i="88" s="1"/>
  <c r="T4" i="88"/>
  <c r="V4" i="88" s="1"/>
  <c r="C37" i="88"/>
  <c r="C38" i="88"/>
  <c r="T15" i="88"/>
  <c r="V15" i="88" s="1"/>
  <c r="T7" i="88"/>
  <c r="V7" i="88" s="1"/>
  <c r="T2" i="88"/>
  <c r="V2" i="88" s="1"/>
  <c r="T3" i="88"/>
  <c r="V3" i="88" s="1"/>
  <c r="C42" i="88"/>
  <c r="T10" i="88"/>
  <c r="V10" i="88" s="1"/>
  <c r="T6" i="88"/>
  <c r="V6" i="88" s="1"/>
  <c r="C40" i="88"/>
  <c r="T11" i="88"/>
  <c r="V11" i="88" s="1"/>
  <c r="T9" i="88"/>
  <c r="V9" i="88" s="1"/>
  <c r="T13" i="88"/>
  <c r="V13" i="88" s="1"/>
  <c r="T5" i="88"/>
  <c r="V5" i="88" s="1"/>
  <c r="T12" i="88"/>
  <c r="V12" i="88" s="1"/>
  <c r="T16" i="88"/>
  <c r="V16" i="88" s="1"/>
  <c r="D64" i="81"/>
  <c r="K65" i="81"/>
  <c r="K69" i="81"/>
  <c r="D63" i="81"/>
  <c r="N1" i="81"/>
  <c r="N2" i="81"/>
  <c r="N4" i="81"/>
  <c r="N6" i="81"/>
  <c r="K21" i="81"/>
  <c r="F38" i="81"/>
  <c r="F61" i="81"/>
  <c r="H72" i="81"/>
  <c r="H83" i="81"/>
  <c r="N3" i="81"/>
  <c r="N5" i="81"/>
  <c r="M7" i="81"/>
  <c r="L21" i="81"/>
  <c r="H76" i="81"/>
  <c r="H79" i="81"/>
  <c r="H87" i="81"/>
  <c r="H90" i="81"/>
  <c r="M11" i="81"/>
  <c r="E10" i="81"/>
  <c r="E11" i="81"/>
  <c r="E8" i="81"/>
  <c r="C7" i="81" s="1"/>
  <c r="E9" i="81"/>
  <c r="H21" i="81"/>
  <c r="M21" i="81"/>
  <c r="P32" i="81"/>
  <c r="O32" i="81"/>
  <c r="C27" i="81"/>
  <c r="N32" i="81"/>
  <c r="E72" i="81"/>
  <c r="B70" i="81" s="1"/>
  <c r="E83" i="81"/>
  <c r="B81" i="81" s="1"/>
  <c r="H116" i="81"/>
  <c r="F50" i="81"/>
  <c r="F41" i="81"/>
  <c r="F39" i="81"/>
  <c r="N21" i="81"/>
  <c r="J21" i="81"/>
  <c r="E21" i="81"/>
  <c r="C6" i="81"/>
  <c r="S2" i="81"/>
  <c r="S4" i="81"/>
  <c r="S6" i="81"/>
  <c r="M8" i="81"/>
  <c r="C21" i="81"/>
  <c r="I21" i="81"/>
  <c r="O21" i="81"/>
  <c r="E44" i="81"/>
  <c r="C44" i="81" s="1"/>
  <c r="C24" i="81"/>
  <c r="I18" i="81"/>
  <c r="E17" i="81" s="1"/>
  <c r="F42" i="81"/>
  <c r="H101" i="81"/>
  <c r="H95" i="81"/>
  <c r="H98" i="81"/>
  <c r="H99" i="81"/>
  <c r="H96" i="81"/>
  <c r="H93" i="81"/>
  <c r="E93" i="81"/>
  <c r="B91" i="81" s="1"/>
  <c r="H100" i="81"/>
  <c r="N12" i="81"/>
  <c r="N11" i="81"/>
  <c r="M9" i="81"/>
  <c r="N7" i="81"/>
  <c r="M3" i="81"/>
  <c r="M5" i="81"/>
  <c r="N8" i="81"/>
  <c r="N9" i="81"/>
  <c r="N10" i="81"/>
  <c r="M12" i="81"/>
  <c r="F40" i="81"/>
  <c r="E50" i="81"/>
  <c r="B48" i="81" s="1"/>
  <c r="H94" i="81"/>
  <c r="H97" i="81"/>
  <c r="H75" i="81"/>
  <c r="H78" i="81"/>
  <c r="H86" i="81"/>
  <c r="H89" i="81"/>
  <c r="H63" i="81"/>
  <c r="H69" i="81"/>
  <c r="H74" i="81"/>
  <c r="H80" i="81"/>
  <c r="H85" i="81"/>
  <c r="H62" i="81"/>
  <c r="H65" i="81"/>
  <c r="H73" i="81"/>
  <c r="H84" i="81"/>
  <c r="I12" i="79"/>
  <c r="E40" i="88" l="1"/>
  <c r="G40" i="88"/>
  <c r="I40" i="88" s="1"/>
  <c r="G38" i="88"/>
  <c r="I38" i="88" s="1"/>
  <c r="E38" i="88"/>
  <c r="G37" i="88"/>
  <c r="I37" i="88" s="1"/>
  <c r="E37" i="88"/>
  <c r="E33" i="88"/>
  <c r="C34" i="88"/>
  <c r="E34" i="88" s="1"/>
  <c r="E39" i="88"/>
  <c r="G39" i="88"/>
  <c r="I39" i="88" s="1"/>
  <c r="E42" i="88"/>
  <c r="G42" i="88"/>
  <c r="I42" i="88" s="1"/>
  <c r="G41" i="88"/>
  <c r="I41" i="88" s="1"/>
  <c r="E41" i="88"/>
  <c r="J69" i="81"/>
  <c r="D69" i="81"/>
  <c r="D65" i="81"/>
  <c r="E61" i="81" s="1"/>
  <c r="B59" i="81" s="1"/>
  <c r="C28" i="81" s="1"/>
  <c r="J65" i="81"/>
  <c r="H68" i="81"/>
  <c r="H67" i="81"/>
  <c r="H66" i="81"/>
  <c r="H64" i="81"/>
  <c r="H61" i="81"/>
  <c r="H57" i="81"/>
  <c r="H54" i="81"/>
  <c r="H51" i="81"/>
  <c r="H58" i="81"/>
  <c r="H52" i="81"/>
  <c r="H55" i="81"/>
  <c r="H53" i="81"/>
  <c r="H56" i="81"/>
  <c r="H50" i="81"/>
  <c r="G21" i="81"/>
  <c r="C20" i="81" s="1"/>
  <c r="D5"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31" i="88" l="1"/>
  <c r="C30" i="88"/>
  <c r="B2" i="88" s="1"/>
  <c r="C42" i="81"/>
  <c r="C40" i="81"/>
  <c r="C38" i="81"/>
  <c r="C37" i="81"/>
  <c r="C39" i="81"/>
  <c r="C41" i="81"/>
  <c r="C5" i="8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B3" i="88" l="1"/>
  <c r="C6" i="85"/>
  <c r="G37" i="81"/>
  <c r="I37" i="81" s="1"/>
  <c r="E37" i="81"/>
  <c r="T15" i="81"/>
  <c r="V15" i="81" s="1"/>
  <c r="T13" i="81"/>
  <c r="V13" i="81" s="1"/>
  <c r="T8" i="81"/>
  <c r="V8" i="81" s="1"/>
  <c r="T6" i="81"/>
  <c r="V6" i="81" s="1"/>
  <c r="T16" i="81"/>
  <c r="V16" i="81" s="1"/>
  <c r="T4" i="81"/>
  <c r="V4" i="81" s="1"/>
  <c r="T2" i="81"/>
  <c r="V2" i="81" s="1"/>
  <c r="T14" i="81"/>
  <c r="V14" i="81" s="1"/>
  <c r="T12" i="81"/>
  <c r="V12" i="81" s="1"/>
  <c r="T7" i="81"/>
  <c r="V7" i="81" s="1"/>
  <c r="T5" i="81"/>
  <c r="V5" i="81" s="1"/>
  <c r="T3" i="81"/>
  <c r="V3" i="81" s="1"/>
  <c r="T11" i="81"/>
  <c r="V11" i="81" s="1"/>
  <c r="T10" i="81"/>
  <c r="V10" i="81" s="1"/>
  <c r="T9" i="81"/>
  <c r="V9" i="81" s="1"/>
  <c r="G38" i="81"/>
  <c r="I38" i="81" s="1"/>
  <c r="E38" i="81"/>
  <c r="E41" i="81"/>
  <c r="G41" i="81"/>
  <c r="I41" i="81" s="1"/>
  <c r="G40" i="81"/>
  <c r="I40" i="81" s="1"/>
  <c r="E40" i="81"/>
  <c r="E39" i="81"/>
  <c r="G39" i="81"/>
  <c r="I39" i="81" s="1"/>
  <c r="G42" i="81"/>
  <c r="I42" i="81" s="1"/>
  <c r="E42" i="81"/>
  <c r="AD33" i="79"/>
  <c r="AR34" i="79"/>
  <c r="AR35" i="79" s="1"/>
  <c r="AR8" i="79"/>
  <c r="AD35" i="79"/>
  <c r="AR36"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5" i="79"/>
  <c r="AG35" i="79" s="1"/>
  <c r="S33" i="79"/>
  <c r="AG33" i="79" s="1"/>
  <c r="S34" i="79"/>
  <c r="AG34" i="79" s="1"/>
  <c r="AA31" i="79"/>
  <c r="AD31" i="79" s="1"/>
  <c r="T40" i="79"/>
  <c r="U46" i="79"/>
  <c r="AI46" i="79" s="1"/>
  <c r="AD47" i="79"/>
  <c r="S48" i="79"/>
  <c r="AG48" i="79" s="1"/>
  <c r="U50" i="79"/>
  <c r="AI50" i="79" s="1"/>
  <c r="AD51" i="79"/>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H5" i="3" s="1"/>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5" i="3" s="1"/>
  <c r="BM17" i="3"/>
  <c r="BO13" i="3"/>
  <c r="BO14" i="3"/>
  <c r="BO15" i="3"/>
  <c r="BO16" i="3"/>
  <c r="BO17" i="3"/>
  <c r="BN13" i="3"/>
  <c r="BN14" i="3"/>
  <c r="BN5" i="3" s="1"/>
  <c r="BN15" i="3"/>
  <c r="BN16" i="3"/>
  <c r="BN17" i="3"/>
  <c r="BP13" i="3"/>
  <c r="BP14" i="3"/>
  <c r="BP15" i="3"/>
  <c r="BP16" i="3"/>
  <c r="BP17" i="3"/>
  <c r="BL17" i="3" s="1"/>
  <c r="E19" i="6"/>
  <c r="E20" i="6"/>
  <c r="E21" i="6"/>
  <c r="K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A14" i="3" s="1"/>
  <c r="BF14" i="3"/>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F42" i="34"/>
  <c r="J38" i="34"/>
  <c r="W38" i="34"/>
  <c r="D114" i="34"/>
  <c r="E114" i="34" s="1"/>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F27" i="35"/>
  <c r="AA27" i="35" s="1"/>
  <c r="J22" i="35"/>
  <c r="AC22" i="35" s="1"/>
  <c r="B101" i="35"/>
  <c r="H36" i="35"/>
  <c r="AB36" i="35" s="1"/>
  <c r="B99" i="35"/>
  <c r="B97" i="35"/>
  <c r="B77" i="35"/>
  <c r="B75" i="35"/>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D121" i="33"/>
  <c r="E121" i="33"/>
  <c r="F109" i="33"/>
  <c r="E109" i="33"/>
  <c r="D109" i="33"/>
  <c r="C109" i="33"/>
  <c r="D91" i="33"/>
  <c r="E91" i="33"/>
  <c r="B88" i="33"/>
  <c r="F26" i="33" s="1"/>
  <c r="S26" i="33" s="1"/>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J28" i="21" s="1"/>
  <c r="W28" i="21" s="1"/>
  <c r="B90" i="21"/>
  <c r="B74" i="21"/>
  <c r="J14" i="21" s="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F5" i="3" s="1"/>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J35" i="39"/>
  <c r="AC35" i="39" s="1"/>
  <c r="F35" i="39"/>
  <c r="AA35" i="39"/>
  <c r="U9" i="39"/>
  <c r="W31" i="37"/>
  <c r="E103" i="37"/>
  <c r="F103" i="37" s="1"/>
  <c r="G103" i="37" s="1"/>
  <c r="H103" i="37" s="1"/>
  <c r="I103" i="37" s="1"/>
  <c r="J103" i="37" s="1"/>
  <c r="K103" i="37" s="1"/>
  <c r="L103" i="37" s="1"/>
  <c r="M103" i="37" s="1"/>
  <c r="F29" i="36"/>
  <c r="AA29" i="36" s="1"/>
  <c r="F16" i="36"/>
  <c r="AA16" i="36" s="1"/>
  <c r="W28" i="36"/>
  <c r="H22" i="35"/>
  <c r="AB22" i="35"/>
  <c r="W28" i="35"/>
  <c r="U31" i="35"/>
  <c r="W22" i="35"/>
  <c r="U34" i="35"/>
  <c r="F36" i="34"/>
  <c r="J35" i="34"/>
  <c r="H39" i="33"/>
  <c r="AB39" i="33"/>
  <c r="AA26" i="33"/>
  <c r="U35" i="33"/>
  <c r="W33" i="33"/>
  <c r="W39" i="33"/>
  <c r="H39" i="37"/>
  <c r="AB39" i="37" s="1"/>
  <c r="S27" i="35"/>
  <c r="F11" i="40"/>
  <c r="H11" i="40"/>
  <c r="AB11" i="40"/>
  <c r="W8" i="40"/>
  <c r="AB39" i="40"/>
  <c r="U9" i="40"/>
  <c r="S34" i="40"/>
  <c r="U38" i="40"/>
  <c r="U34" i="40"/>
  <c r="S38" i="40"/>
  <c r="F42" i="39"/>
  <c r="AA42" i="39" s="1"/>
  <c r="F41" i="39"/>
  <c r="S41" i="39" s="1"/>
  <c r="H40" i="39"/>
  <c r="AB40" i="39" s="1"/>
  <c r="H39" i="39"/>
  <c r="U39" i="39" s="1"/>
  <c r="S38" i="39"/>
  <c r="H34" i="39"/>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H32" i="33"/>
  <c r="H11" i="21"/>
  <c r="U11" i="21" s="1"/>
  <c r="J11" i="21"/>
  <c r="W11" i="21" s="1"/>
  <c r="H37" i="40"/>
  <c r="H36" i="40"/>
  <c r="AB36" i="40" s="1"/>
  <c r="F35" i="40"/>
  <c r="AA35" i="40"/>
  <c r="H23" i="40"/>
  <c r="AB23" i="40" s="1"/>
  <c r="H17" i="40"/>
  <c r="U17" i="40" s="1"/>
  <c r="J15" i="40"/>
  <c r="W15" i="40" s="1"/>
  <c r="J11" i="40"/>
  <c r="AB12" i="35"/>
  <c r="AB12" i="36"/>
  <c r="W32" i="40"/>
  <c r="S44" i="39"/>
  <c r="F37" i="39"/>
  <c r="AA37" i="39" s="1"/>
  <c r="J34" i="36"/>
  <c r="W34" i="36" s="1"/>
  <c r="U30" i="36"/>
  <c r="J30" i="35"/>
  <c r="W30" i="35" s="1"/>
  <c r="H30" i="35"/>
  <c r="AB30" i="35" s="1"/>
  <c r="F22" i="35"/>
  <c r="H10" i="35"/>
  <c r="U10" i="35" s="1"/>
  <c r="W30" i="36"/>
  <c r="H16" i="36"/>
  <c r="AB16" i="36" s="1"/>
  <c r="E85" i="36"/>
  <c r="F85" i="36" s="1"/>
  <c r="G85" i="36" s="1"/>
  <c r="H85" i="36" s="1"/>
  <c r="I85" i="36" s="1"/>
  <c r="J85" i="36"/>
  <c r="K85" i="36" s="1"/>
  <c r="L85" i="36" s="1"/>
  <c r="M85" i="36" s="1"/>
  <c r="J29" i="36"/>
  <c r="AC29" i="36" s="1"/>
  <c r="F12" i="36"/>
  <c r="AA24" i="36"/>
  <c r="F34" i="36"/>
  <c r="F14" i="35"/>
  <c r="AA14" i="35" s="1"/>
  <c r="F23" i="35"/>
  <c r="AA23" i="35" s="1"/>
  <c r="J32" i="35"/>
  <c r="AC32" i="35" s="1"/>
  <c r="J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c r="S38" i="33"/>
  <c r="E113" i="33"/>
  <c r="F32" i="33"/>
  <c r="AA32" i="33"/>
  <c r="J19" i="33"/>
  <c r="AC19" i="33" s="1"/>
  <c r="J15" i="33"/>
  <c r="AC15" i="33"/>
  <c r="F11" i="33"/>
  <c r="AA11" i="33" s="1"/>
  <c r="W40" i="33"/>
  <c r="F37" i="40"/>
  <c r="AA37" i="40" s="1"/>
  <c r="F36" i="40"/>
  <c r="AA36" i="40" s="1"/>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c r="J44" i="34"/>
  <c r="F44" i="34"/>
  <c r="AA44" i="34" s="1"/>
  <c r="J10" i="35"/>
  <c r="AC10" i="35" s="1"/>
  <c r="W14" i="21"/>
  <c r="F14" i="21"/>
  <c r="S14" i="21" s="1"/>
  <c r="H14" i="21"/>
  <c r="U14" i="21" s="1"/>
  <c r="H28" i="21"/>
  <c r="AB28" i="21" s="1"/>
  <c r="F28" i="21"/>
  <c r="AA28" i="21" s="1"/>
  <c r="F30" i="21"/>
  <c r="S30" i="21" s="1"/>
  <c r="J44" i="21"/>
  <c r="AC44" i="21" s="1"/>
  <c r="H44" i="21"/>
  <c r="U44" i="21" s="1"/>
  <c r="F44" i="21"/>
  <c r="AA44" i="21" s="1"/>
  <c r="H46" i="21"/>
  <c r="U46" i="21" s="1"/>
  <c r="J46" i="21"/>
  <c r="F46" i="21"/>
  <c r="AA46"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J29" i="33"/>
  <c r="H29" i="33"/>
  <c r="U29" i="33"/>
  <c r="F29" i="33"/>
  <c r="S29" i="33" s="1"/>
  <c r="J31" i="33"/>
  <c r="W31" i="33"/>
  <c r="H31" i="33"/>
  <c r="F31" i="33"/>
  <c r="H45" i="33"/>
  <c r="U45" i="33"/>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AA14" i="33" s="1"/>
  <c r="J14" i="33"/>
  <c r="H30" i="33"/>
  <c r="AB30" i="33"/>
  <c r="F30" i="33"/>
  <c r="J30" i="33"/>
  <c r="H44" i="33"/>
  <c r="J44" i="33"/>
  <c r="W44" i="33" s="1"/>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F13" i="37"/>
  <c r="S13" i="37" s="1"/>
  <c r="J13" i="37"/>
  <c r="W13" i="37" s="1"/>
  <c r="F28" i="37"/>
  <c r="AA28" i="37" s="1"/>
  <c r="J28" i="37"/>
  <c r="AC28" i="37" s="1"/>
  <c r="H28" i="37"/>
  <c r="H38" i="37"/>
  <c r="AB38" i="37" s="1"/>
  <c r="J38" i="37"/>
  <c r="AC38" i="37" s="1"/>
  <c r="F38" i="37"/>
  <c r="S38" i="37"/>
  <c r="F43" i="39"/>
  <c r="AA43" i="39" s="1"/>
  <c r="H43" i="39"/>
  <c r="J14" i="39"/>
  <c r="AC14" i="39" s="1"/>
  <c r="F14" i="39"/>
  <c r="H14" i="39"/>
  <c r="F12" i="40"/>
  <c r="S12" i="40"/>
  <c r="H12" i="40"/>
  <c r="AB12" i="40" s="1"/>
  <c r="H30" i="40"/>
  <c r="AB30" i="40"/>
  <c r="F33" i="40"/>
  <c r="AA33" i="40" s="1"/>
  <c r="H33" i="40"/>
  <c r="U33" i="40"/>
  <c r="J35" i="40"/>
  <c r="J37" i="40"/>
  <c r="AC37" i="40"/>
  <c r="H13" i="40"/>
  <c r="U13" i="40" s="1"/>
  <c r="J13" i="40"/>
  <c r="W13" i="40"/>
  <c r="F13" i="40"/>
  <c r="AA13" i="40" s="1"/>
  <c r="F14" i="37"/>
  <c r="AA14" i="37" s="1"/>
  <c r="S14" i="37"/>
  <c r="F27" i="37"/>
  <c r="AA27" i="37" s="1"/>
  <c r="F13" i="39"/>
  <c r="J13" i="39"/>
  <c r="W13" i="39" s="1"/>
  <c r="H13" i="39"/>
  <c r="H14" i="40"/>
  <c r="AB14" i="40"/>
  <c r="J14" i="40"/>
  <c r="W14" i="40" s="1"/>
  <c r="F14" i="40"/>
  <c r="J14" i="37"/>
  <c r="J27" i="37"/>
  <c r="AC27" i="37" s="1"/>
  <c r="AA44" i="33"/>
  <c r="U46" i="33"/>
  <c r="J36" i="37"/>
  <c r="AC36" i="37" s="1"/>
  <c r="J10" i="36"/>
  <c r="AC10" i="36" s="1"/>
  <c r="AB26" i="33"/>
  <c r="S11" i="36"/>
  <c r="AB46" i="34"/>
  <c r="S45" i="33"/>
  <c r="AB45" i="33"/>
  <c r="AC28" i="21"/>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AZ530" i="3" s="1"/>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BA548" i="3"/>
  <c r="BA546" i="3"/>
  <c r="BA544" i="3"/>
  <c r="AZ544" i="3" s="1"/>
  <c r="BA542" i="3"/>
  <c r="AZ542" i="3"/>
  <c r="BA540" i="3"/>
  <c r="BA538" i="3"/>
  <c r="AZ538" i="3"/>
  <c r="BA536" i="3"/>
  <c r="AZ536" i="3" s="1"/>
  <c r="BA534" i="3"/>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AZ500" i="3" s="1"/>
  <c r="BA498" i="3"/>
  <c r="AZ498" i="3" s="1"/>
  <c r="BA496" i="3"/>
  <c r="BA494" i="3"/>
  <c r="AZ494" i="3" s="1"/>
  <c r="BA583" i="3"/>
  <c r="BA581" i="3"/>
  <c r="BA579" i="3"/>
  <c r="BA577" i="3"/>
  <c r="BA575" i="3"/>
  <c r="BA573" i="3"/>
  <c r="BA571" i="3"/>
  <c r="AZ571" i="3" s="1"/>
  <c r="BA569" i="3"/>
  <c r="BA567" i="3"/>
  <c r="BA565" i="3"/>
  <c r="BA563" i="3"/>
  <c r="AZ563" i="3" s="1"/>
  <c r="BA561" i="3"/>
  <c r="BA559" i="3"/>
  <c r="BA555" i="3"/>
  <c r="BA553" i="3"/>
  <c r="AZ553" i="3" s="1"/>
  <c r="BA549" i="3"/>
  <c r="BA547" i="3"/>
  <c r="BA545" i="3"/>
  <c r="BA543" i="3"/>
  <c r="AZ543" i="3" s="1"/>
  <c r="BA541" i="3"/>
  <c r="BA539" i="3"/>
  <c r="BA537" i="3"/>
  <c r="BA535" i="3"/>
  <c r="BA533" i="3"/>
  <c r="BA531" i="3"/>
  <c r="BA529" i="3"/>
  <c r="AZ529" i="3" s="1"/>
  <c r="BA527" i="3"/>
  <c r="AZ527" i="3" s="1"/>
  <c r="BA525" i="3"/>
  <c r="BA523" i="3"/>
  <c r="BA519" i="3"/>
  <c r="BA517" i="3"/>
  <c r="BA515" i="3"/>
  <c r="BA513" i="3"/>
  <c r="BA511" i="3"/>
  <c r="BA507" i="3"/>
  <c r="BA505" i="3"/>
  <c r="BA503" i="3"/>
  <c r="AZ503" i="3" s="1"/>
  <c r="BA501" i="3"/>
  <c r="BA499" i="3"/>
  <c r="AZ499" i="3" s="1"/>
  <c r="BA497" i="3"/>
  <c r="BA495" i="3"/>
  <c r="BA493" i="3"/>
  <c r="AZ560" i="3"/>
  <c r="G583" i="3"/>
  <c r="G581" i="3"/>
  <c r="G579" i="3"/>
  <c r="G577" i="3"/>
  <c r="G575" i="3"/>
  <c r="G573" i="3"/>
  <c r="G571" i="3"/>
  <c r="G569" i="3"/>
  <c r="G567" i="3"/>
  <c r="G565" i="3"/>
  <c r="G563" i="3"/>
  <c r="G561" i="3"/>
  <c r="BL558" i="3"/>
  <c r="BA557" i="3"/>
  <c r="AC557" i="3"/>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Z509" i="3" s="1"/>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H24" i="35"/>
  <c r="AB24" i="35" s="1"/>
  <c r="H23" i="37"/>
  <c r="AB23" i="37"/>
  <c r="J32" i="37"/>
  <c r="AC32" i="37" s="1"/>
  <c r="F36" i="37"/>
  <c r="AA36" i="37"/>
  <c r="F37" i="37"/>
  <c r="F31" i="40"/>
  <c r="AA31" i="40"/>
  <c r="H31" i="40"/>
  <c r="U31" i="40" s="1"/>
  <c r="F32" i="40"/>
  <c r="S32" i="40"/>
  <c r="H32" i="40"/>
  <c r="AB32" i="40" s="1"/>
  <c r="J36" i="40"/>
  <c r="W36" i="40"/>
  <c r="H19" i="37"/>
  <c r="AB19" i="37" s="1"/>
  <c r="H42" i="33"/>
  <c r="AB42" i="33" s="1"/>
  <c r="J43" i="33"/>
  <c r="AC43" i="33"/>
  <c r="S28" i="31"/>
  <c r="S27" i="31"/>
  <c r="S26" i="31"/>
  <c r="U14" i="40"/>
  <c r="W23" i="35"/>
  <c r="U39" i="37"/>
  <c r="U26" i="37"/>
  <c r="W47" i="34"/>
  <c r="AC36" i="34"/>
  <c r="AC31" i="33"/>
  <c r="U11" i="33"/>
  <c r="U19" i="21"/>
  <c r="W44" i="21"/>
  <c r="F43" i="33"/>
  <c r="AA43" i="33"/>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BL549" i="3"/>
  <c r="AZ549" i="3" s="1"/>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47" i="3"/>
  <c r="AZ67" i="3"/>
  <c r="AZ168" i="3"/>
  <c r="AZ105" i="3"/>
  <c r="AZ128" i="3"/>
  <c r="G534" i="3"/>
  <c r="G530" i="3"/>
  <c r="G522" i="3"/>
  <c r="G516" i="3"/>
  <c r="G512" i="3"/>
  <c r="G506" i="3"/>
  <c r="G498" i="3"/>
  <c r="G494"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98" i="3"/>
  <c r="BL303" i="3"/>
  <c r="AZ303" i="3" s="1"/>
  <c r="G304" i="3"/>
  <c r="BA306" i="3"/>
  <c r="BL307" i="3"/>
  <c r="G308" i="3"/>
  <c r="BA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AZ349" i="3" s="1"/>
  <c r="BL352" i="3"/>
  <c r="G353" i="3"/>
  <c r="BA357" i="3"/>
  <c r="BL358" i="3"/>
  <c r="AZ358" i="3"/>
  <c r="G359" i="3"/>
  <c r="BA361" i="3"/>
  <c r="AZ361" i="3"/>
  <c r="BL362" i="3"/>
  <c r="AZ362" i="3" s="1"/>
  <c r="G363" i="3"/>
  <c r="BA365" i="3"/>
  <c r="AZ365" i="3"/>
  <c r="BL366" i="3"/>
  <c r="G367" i="3"/>
  <c r="BA369" i="3"/>
  <c r="AZ369" i="3"/>
  <c r="BL370" i="3"/>
  <c r="G371" i="3"/>
  <c r="BA373" i="3"/>
  <c r="AZ373" i="3"/>
  <c r="BL374" i="3"/>
  <c r="AZ374" i="3" s="1"/>
  <c r="G375" i="3"/>
  <c r="BA377" i="3"/>
  <c r="AZ377" i="3"/>
  <c r="AZ229" i="3"/>
  <c r="AZ233" i="3"/>
  <c r="AZ269" i="3"/>
  <c r="BA379" i="3"/>
  <c r="AZ379" i="3" s="1"/>
  <c r="BL380" i="3"/>
  <c r="G381" i="3"/>
  <c r="BA383" i="3"/>
  <c r="AZ383" i="3" s="1"/>
  <c r="BL384" i="3"/>
  <c r="G385" i="3"/>
  <c r="BA387" i="3"/>
  <c r="BL388" i="3"/>
  <c r="G389" i="3"/>
  <c r="BA391" i="3"/>
  <c r="BL392" i="3"/>
  <c r="G393" i="3"/>
  <c r="BJ5" i="3"/>
  <c r="AZ325" i="3"/>
  <c r="AZ341" i="3"/>
  <c r="AZ506" i="3"/>
  <c r="AZ496" i="3"/>
  <c r="G548" i="3"/>
  <c r="G538" i="3"/>
  <c r="G520" i="3"/>
  <c r="G502" i="3"/>
  <c r="BS5" i="3"/>
  <c r="G17" i="3"/>
  <c r="BA17" i="3"/>
  <c r="AZ17" i="3" s="1"/>
  <c r="AZ356" i="3"/>
  <c r="AZ368" i="3"/>
  <c r="BA15" i="3"/>
  <c r="BB5" i="3"/>
  <c r="AZ392" i="3"/>
  <c r="G509" i="3"/>
  <c r="BL493" i="3"/>
  <c r="AZ493" i="3" s="1"/>
  <c r="U36" i="40"/>
  <c r="F83" i="43"/>
  <c r="H85" i="43" s="1"/>
  <c r="F50" i="43"/>
  <c r="H54" i="43" s="1"/>
  <c r="F72" i="43"/>
  <c r="H75" i="43" s="1"/>
  <c r="U17" i="39"/>
  <c r="S14" i="35"/>
  <c r="U43" i="21"/>
  <c r="U35" i="21"/>
  <c r="AC35" i="21"/>
  <c r="AC11" i="39"/>
  <c r="AZ501"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6" i="3"/>
  <c r="AZ271" i="3"/>
  <c r="AZ82"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C39" i="40"/>
  <c r="W39" i="40"/>
  <c r="AZ433" i="3"/>
  <c r="W12" i="33"/>
  <c r="AC12" i="33"/>
  <c r="AA32" i="36"/>
  <c r="S32" i="36"/>
  <c r="AZ437" i="3"/>
  <c r="BL14" i="3"/>
  <c r="U30" i="33"/>
  <c r="AC13" i="34"/>
  <c r="AA47" i="34"/>
  <c r="W28" i="37"/>
  <c r="S19" i="39"/>
  <c r="F12" i="33"/>
  <c r="H12" i="39"/>
  <c r="AB12" i="39"/>
  <c r="F39" i="40"/>
  <c r="AZ254" i="3"/>
  <c r="AZ286" i="3"/>
  <c r="AZ157" i="3"/>
  <c r="AZ173" i="3"/>
  <c r="AZ181" i="3"/>
  <c r="B12" i="1"/>
  <c r="E12" i="1" s="1"/>
  <c r="B10" i="1"/>
  <c r="E10" i="1" s="1"/>
  <c r="K12" i="1"/>
  <c r="M12" i="1" s="1"/>
  <c r="S13" i="1"/>
  <c r="AR13" i="1" s="1"/>
  <c r="R13" i="1"/>
  <c r="J51" i="67"/>
  <c r="C42" i="1"/>
  <c r="B41" i="1"/>
  <c r="S35" i="40"/>
  <c r="U35" i="40"/>
  <c r="AC36" i="40"/>
  <c r="W38" i="40"/>
  <c r="AA32" i="40"/>
  <c r="S17" i="40"/>
  <c r="S23" i="40"/>
  <c r="AC17" i="40"/>
  <c r="AC15" i="40"/>
  <c r="AB27" i="40"/>
  <c r="S30" i="40"/>
  <c r="S28" i="40"/>
  <c r="AA27"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AC13" i="39"/>
  <c r="U12" i="39"/>
  <c r="S23" i="36"/>
  <c r="U13" i="36"/>
  <c r="U26" i="36"/>
  <c r="AA26" i="36"/>
  <c r="AC26" i="36"/>
  <c r="AA22" i="36"/>
  <c r="W14" i="36"/>
  <c r="AB14" i="36"/>
  <c r="U22" i="36"/>
  <c r="S16" i="36"/>
  <c r="AA25" i="36"/>
  <c r="S24" i="36"/>
  <c r="U24" i="36"/>
  <c r="U23" i="36"/>
  <c r="AB20" i="36"/>
  <c r="U16" i="36"/>
  <c r="S14" i="36"/>
  <c r="AA25" i="35"/>
  <c r="S23" i="35"/>
  <c r="AB13" i="35"/>
  <c r="U29" i="35"/>
  <c r="U28" i="35"/>
  <c r="U36" i="35"/>
  <c r="U32" i="35"/>
  <c r="AA33" i="35"/>
  <c r="AC30" i="35"/>
  <c r="S32" i="35"/>
  <c r="AA36" i="35"/>
  <c r="S28" i="35"/>
  <c r="AB16" i="35"/>
  <c r="U22" i="35"/>
  <c r="S20" i="35"/>
  <c r="AC20" i="35"/>
  <c r="U14" i="35"/>
  <c r="AA11" i="35"/>
  <c r="W13" i="35"/>
  <c r="F9" i="35"/>
  <c r="S9" i="35" s="1"/>
  <c r="AB40" i="37"/>
  <c r="W27" i="37"/>
  <c r="AC29" i="37"/>
  <c r="U29" i="37"/>
  <c r="S32" i="37"/>
  <c r="AB31" i="37"/>
  <c r="W30" i="37"/>
  <c r="S36" i="37"/>
  <c r="AA38" i="37"/>
  <c r="U32" i="37"/>
  <c r="W38" i="37"/>
  <c r="AC35" i="37"/>
  <c r="W39" i="37"/>
  <c r="S30" i="37"/>
  <c r="AC15" i="37"/>
  <c r="J17" i="37"/>
  <c r="W17" i="37"/>
  <c r="G73" i="37"/>
  <c r="F17" i="37"/>
  <c r="AA17" i="37" s="1"/>
  <c r="F75" i="37"/>
  <c r="F19" i="37"/>
  <c r="S19" i="37" s="1"/>
  <c r="F79" i="37"/>
  <c r="G79" i="37" s="1"/>
  <c r="F23" i="37"/>
  <c r="S23" i="37" s="1"/>
  <c r="U23" i="37"/>
  <c r="U15" i="37"/>
  <c r="AC13" i="37"/>
  <c r="AA13" i="37"/>
  <c r="H10" i="37"/>
  <c r="AB10" i="37" s="1"/>
  <c r="F63" i="37"/>
  <c r="F11" i="37"/>
  <c r="S11" i="37" s="1"/>
  <c r="W25" i="34"/>
  <c r="AB8" i="34"/>
  <c r="AA33" i="34"/>
  <c r="U43" i="34"/>
  <c r="AC39" i="34"/>
  <c r="W41" i="34"/>
  <c r="AB35" i="34"/>
  <c r="U39"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J56" i="9"/>
  <c r="J57" i="9" s="1"/>
  <c r="J59" i="9" s="1"/>
  <c r="J61" i="9" s="1"/>
  <c r="A24" i="51"/>
  <c r="B18" i="72" s="1"/>
  <c r="U29" i="34"/>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U30" i="40"/>
  <c r="B56" i="43"/>
  <c r="B67" i="43"/>
  <c r="B51" i="43"/>
  <c r="B54" i="43"/>
  <c r="B58" i="43"/>
  <c r="B62" i="43"/>
  <c r="B65" i="43"/>
  <c r="B69" i="43"/>
  <c r="D23" i="15"/>
  <c r="D22" i="15"/>
  <c r="E4" i="4"/>
  <c r="B5" i="62" s="1"/>
  <c r="B73" i="72" s="1"/>
  <c r="C4" i="4"/>
  <c r="F28" i="67"/>
  <c r="F32" i="67"/>
  <c r="F60" i="67" s="1"/>
  <c r="F28" i="15"/>
  <c r="AA39" i="40"/>
  <c r="S39" i="40"/>
  <c r="S12" i="33"/>
  <c r="AA12" i="33"/>
  <c r="J32" i="39"/>
  <c r="H32" i="39"/>
  <c r="AB32" i="39" s="1"/>
  <c r="U21" i="39"/>
  <c r="AA21" i="39"/>
  <c r="S21" i="39"/>
  <c r="AC17" i="37"/>
  <c r="S17" i="37"/>
  <c r="J19" i="37"/>
  <c r="W19" i="37" s="1"/>
  <c r="G75" i="37"/>
  <c r="AA19" i="37"/>
  <c r="AA23" i="37"/>
  <c r="J23" i="37"/>
  <c r="W23" i="37" s="1"/>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G85" i="33"/>
  <c r="AA19" i="33"/>
  <c r="H19" i="33"/>
  <c r="G81" i="33"/>
  <c r="H17" i="33"/>
  <c r="U17" i="33" s="1"/>
  <c r="F17" i="33"/>
  <c r="S17" i="33" s="1"/>
  <c r="W17" i="33"/>
  <c r="AC17" i="33"/>
  <c r="S37" i="21"/>
  <c r="AA23" i="21"/>
  <c r="AB15" i="21"/>
  <c r="J23" i="21"/>
  <c r="AC23" i="21" s="1"/>
  <c r="F85" i="21"/>
  <c r="G85" i="21" s="1"/>
  <c r="H23" i="21"/>
  <c r="S13" i="21"/>
  <c r="D6" i="52"/>
  <c r="AP7" i="1"/>
  <c r="U9" i="21"/>
  <c r="AA32" i="21"/>
  <c r="W9" i="21"/>
  <c r="AC9" i="21"/>
  <c r="AB32" i="21"/>
  <c r="U32" i="39"/>
  <c r="AC32" i="39"/>
  <c r="W32" i="39"/>
  <c r="AC23" i="37"/>
  <c r="J63" i="37"/>
  <c r="K63" i="37" s="1"/>
  <c r="L63" i="37" s="1"/>
  <c r="M63" i="37" s="1"/>
  <c r="J11" i="37"/>
  <c r="AC11" i="37" s="1"/>
  <c r="H70" i="34"/>
  <c r="I70" i="34" s="1"/>
  <c r="J70" i="34" s="1"/>
  <c r="K70" i="34"/>
  <c r="L70" i="34" s="1"/>
  <c r="M70" i="34" s="1"/>
  <c r="J11" i="34"/>
  <c r="W11" i="34" s="1"/>
  <c r="AB36" i="33"/>
  <c r="AC27" i="33"/>
  <c r="W25" i="33"/>
  <c r="AB19" i="33"/>
  <c r="U19" i="33"/>
  <c r="AA17" i="33"/>
  <c r="U23" i="21"/>
  <c r="AB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82"/>
  <c r="M29" i="83"/>
  <c r="F20" i="31"/>
  <c r="B10" i="76"/>
  <c r="F6" i="73"/>
  <c r="B12" i="76"/>
  <c r="E2" i="68"/>
  <c r="E9" i="76"/>
  <c r="F40" i="67"/>
  <c r="F7" i="73"/>
  <c r="F37" i="67"/>
  <c r="F26" i="67"/>
  <c r="F36" i="67"/>
  <c r="M23" i="67"/>
  <c r="F42" i="67"/>
  <c r="E13" i="76"/>
  <c r="E2" i="69"/>
  <c r="M8" i="67"/>
  <c r="F43" i="82"/>
  <c r="J15" i="67"/>
  <c r="F6" i="67"/>
  <c r="L47" i="67"/>
  <c r="M28" i="67"/>
  <c r="M24" i="67"/>
  <c r="F13" i="67"/>
  <c r="M22" i="67"/>
  <c r="F5" i="73"/>
  <c r="B13" i="76"/>
  <c r="E8" i="76"/>
  <c r="F7" i="67"/>
  <c r="E10" i="76"/>
  <c r="C76" i="67"/>
  <c r="F43" i="83"/>
  <c r="B7" i="76"/>
  <c r="M6" i="67"/>
  <c r="F3" i="73"/>
  <c r="F7" i="83"/>
  <c r="E12" i="76"/>
  <c r="B8" i="76"/>
  <c r="F38" i="67"/>
  <c r="F16" i="67"/>
  <c r="M29" i="67"/>
  <c r="F9" i="67"/>
  <c r="F4" i="73"/>
  <c r="E7" i="76"/>
  <c r="D6" i="73"/>
  <c r="M26" i="67"/>
  <c r="F43" i="67"/>
  <c r="B11" i="76"/>
  <c r="E11" i="76"/>
  <c r="M29" i="82"/>
  <c r="M9" i="67"/>
  <c r="F8" i="67"/>
  <c r="B9" i="76"/>
  <c r="AO13" i="1"/>
  <c r="C21" i="68" l="1"/>
  <c r="F71" i="83"/>
  <c r="F50" i="83"/>
  <c r="C49" i="83" s="1"/>
  <c r="C61" i="83" s="1"/>
  <c r="C6" i="83"/>
  <c r="C33" i="83" s="1"/>
  <c r="M7" i="83"/>
  <c r="J6" i="83" s="1"/>
  <c r="J19" i="83" s="1"/>
  <c r="F71" i="82"/>
  <c r="M7" i="82"/>
  <c r="J6" i="82" s="1"/>
  <c r="J19" i="82" s="1"/>
  <c r="F50" i="82"/>
  <c r="C49" i="82" s="1"/>
  <c r="C61" i="82" s="1"/>
  <c r="C6" i="82"/>
  <c r="C33" i="82" s="1"/>
  <c r="M8" i="1"/>
  <c r="M7" i="1"/>
  <c r="O7" i="1"/>
  <c r="P7" i="1" s="1"/>
  <c r="M20" i="15"/>
  <c r="M20" i="82"/>
  <c r="F34" i="82"/>
  <c r="F62" i="82" s="1"/>
  <c r="F34" i="83"/>
  <c r="F62" i="83" s="1"/>
  <c r="M20" i="83"/>
  <c r="C24" i="12"/>
  <c r="F48" i="9"/>
  <c r="O52" i="9" s="1"/>
  <c r="F32" i="82"/>
  <c r="M18" i="82"/>
  <c r="M18" i="83"/>
  <c r="F28" i="83"/>
  <c r="C28" i="83" s="1"/>
  <c r="F28" i="82"/>
  <c r="C28" i="82" s="1"/>
  <c r="F32" i="83"/>
  <c r="C40" i="69"/>
  <c r="F34" i="68"/>
  <c r="M59" i="83"/>
  <c r="M59" i="82"/>
  <c r="D54" i="43"/>
  <c r="D52" i="43"/>
  <c r="G1" i="69"/>
  <c r="G1" i="15"/>
  <c r="K1" i="12"/>
  <c r="BA16" i="3"/>
  <c r="BR5" i="3"/>
  <c r="BK5" i="3"/>
  <c r="BG5" i="3"/>
  <c r="BP5" i="3"/>
  <c r="G29" i="6" s="1"/>
  <c r="BE5" i="3"/>
  <c r="BC5" i="3"/>
  <c r="BO5" i="3"/>
  <c r="F29" i="6" s="1"/>
  <c r="E29" i="6" s="1"/>
  <c r="K15" i="1" s="1"/>
  <c r="BL13" i="3"/>
  <c r="BA18" i="3"/>
  <c r="BD5" i="3"/>
  <c r="H5" i="3"/>
  <c r="G15" i="3"/>
  <c r="E5" i="6"/>
  <c r="D19" i="12" s="1"/>
  <c r="C19" i="12" s="1"/>
  <c r="C21" i="40"/>
  <c r="B68" i="43"/>
  <c r="B57" i="43"/>
  <c r="C29" i="39"/>
  <c r="W23" i="21"/>
  <c r="AA32" i="39"/>
  <c r="D68" i="9"/>
  <c r="F30" i="69"/>
  <c r="F48" i="69" s="1"/>
  <c r="F31" i="12"/>
  <c r="AB20" i="35"/>
  <c r="S43" i="34"/>
  <c r="AB17" i="37"/>
  <c r="AZ391" i="3"/>
  <c r="AZ364" i="3"/>
  <c r="AZ203" i="3"/>
  <c r="AZ306" i="3"/>
  <c r="AA11" i="39"/>
  <c r="U41" i="34"/>
  <c r="AB41" i="34"/>
  <c r="AZ508" i="3"/>
  <c r="AZ546" i="3"/>
  <c r="AC44" i="33"/>
  <c r="S14" i="33"/>
  <c r="S13" i="33"/>
  <c r="AA13" i="33"/>
  <c r="AB37" i="40"/>
  <c r="U37" i="40"/>
  <c r="S11" i="40"/>
  <c r="AA11" i="40"/>
  <c r="AB40" i="33"/>
  <c r="U40" i="33"/>
  <c r="AZ370" i="3"/>
  <c r="AZ366" i="3"/>
  <c r="AZ183" i="3"/>
  <c r="AZ155" i="3"/>
  <c r="S25" i="21"/>
  <c r="AA25" i="21"/>
  <c r="AZ579" i="3"/>
  <c r="AA14" i="40"/>
  <c r="S14" i="40"/>
  <c r="AC35" i="40"/>
  <c r="W35" i="40"/>
  <c r="AB13" i="37"/>
  <c r="U13" i="37"/>
  <c r="S14" i="34"/>
  <c r="AA14" i="34"/>
  <c r="AC11" i="40"/>
  <c r="W11" i="40"/>
  <c r="U34" i="39"/>
  <c r="AB34" i="39"/>
  <c r="U38" i="21"/>
  <c r="AB38" i="21"/>
  <c r="BA586" i="3"/>
  <c r="BL585" i="3"/>
  <c r="AZ585" i="3" s="1"/>
  <c r="H25" i="37"/>
  <c r="F25" i="37"/>
  <c r="J25" i="37"/>
  <c r="U8" i="39"/>
  <c r="AB8" i="39"/>
  <c r="AC9" i="39"/>
  <c r="W9" i="39"/>
  <c r="AC40" i="39"/>
  <c r="W40" i="39"/>
  <c r="S40" i="33"/>
  <c r="AA40" i="33"/>
  <c r="W42" i="34"/>
  <c r="AC42" i="34"/>
  <c r="M18" i="15"/>
  <c r="M18" i="67"/>
  <c r="F30" i="11"/>
  <c r="C48" i="11" s="1"/>
  <c r="W17" i="21"/>
  <c r="AA35" i="33"/>
  <c r="AA34" i="33"/>
  <c r="AZ344" i="3"/>
  <c r="AZ305" i="3"/>
  <c r="S19" i="40"/>
  <c r="AA19" i="40"/>
  <c r="AA37" i="37"/>
  <c r="S37" i="37"/>
  <c r="G557" i="3"/>
  <c r="AC5" i="3"/>
  <c r="AZ537" i="3"/>
  <c r="AZ552" i="3"/>
  <c r="AB14" i="39"/>
  <c r="U14" i="39"/>
  <c r="AC31" i="34"/>
  <c r="AB17" i="34"/>
  <c r="U17" i="34"/>
  <c r="AC16" i="35"/>
  <c r="W16" i="35"/>
  <c r="S34" i="36"/>
  <c r="AA34" i="36"/>
  <c r="AB36" i="39"/>
  <c r="U36" i="39"/>
  <c r="J30" i="21"/>
  <c r="H30" i="21"/>
  <c r="B101" i="43"/>
  <c r="B79" i="43"/>
  <c r="C25" i="39"/>
  <c r="J9" i="35"/>
  <c r="H9" i="35"/>
  <c r="U9" i="35" s="1"/>
  <c r="J24" i="35"/>
  <c r="F24" i="35"/>
  <c r="U27" i="35"/>
  <c r="AB27" i="35"/>
  <c r="H33" i="36"/>
  <c r="F33" i="36"/>
  <c r="J33" i="36"/>
  <c r="AC33" i="36" s="1"/>
  <c r="AB31" i="36"/>
  <c r="U31" i="36"/>
  <c r="AB45" i="21"/>
  <c r="F54" i="9"/>
  <c r="F32" i="15"/>
  <c r="F60" i="15" s="1"/>
  <c r="F52" i="9"/>
  <c r="F30" i="68"/>
  <c r="F48" i="68" s="1"/>
  <c r="AC34" i="33"/>
  <c r="AZ14" i="3"/>
  <c r="AZ387" i="3"/>
  <c r="AZ338" i="3"/>
  <c r="AZ371" i="3"/>
  <c r="AZ329" i="3"/>
  <c r="AZ304" i="3"/>
  <c r="AZ204" i="3"/>
  <c r="AZ199" i="3"/>
  <c r="AZ360" i="3"/>
  <c r="AC45" i="33"/>
  <c r="AB23" i="34"/>
  <c r="AA22" i="35"/>
  <c r="S22" i="35"/>
  <c r="U32" i="33"/>
  <c r="AB32" i="33"/>
  <c r="J27" i="21"/>
  <c r="F27" i="21"/>
  <c r="AZ487" i="3"/>
  <c r="AZ535" i="3"/>
  <c r="AZ557" i="3"/>
  <c r="AZ513" i="3"/>
  <c r="AZ575" i="3"/>
  <c r="AZ528" i="3"/>
  <c r="AZ548" i="3"/>
  <c r="AZ574" i="3"/>
  <c r="AZ540" i="3"/>
  <c r="AZ502" i="3"/>
  <c r="F9" i="34"/>
  <c r="AA9" i="34" s="1"/>
  <c r="H9" i="34"/>
  <c r="S9" i="40"/>
  <c r="AA9" i="40"/>
  <c r="AZ357" i="3"/>
  <c r="AZ322" i="3"/>
  <c r="AZ313" i="3"/>
  <c r="AZ394" i="3"/>
  <c r="AZ519" i="3"/>
  <c r="AZ531" i="3"/>
  <c r="AZ573" i="3"/>
  <c r="AZ583" i="3"/>
  <c r="AZ568" i="3"/>
  <c r="AZ576" i="3"/>
  <c r="S44" i="34"/>
  <c r="U33" i="33"/>
  <c r="U34" i="34"/>
  <c r="G585" i="3"/>
  <c r="BL587" i="3"/>
  <c r="AZ587" i="3" s="1"/>
  <c r="BL586" i="3"/>
  <c r="B72" i="43"/>
  <c r="C15" i="39"/>
  <c r="B75" i="43"/>
  <c r="F9" i="33"/>
  <c r="AA9" i="33" s="1"/>
  <c r="J9" i="33"/>
  <c r="J9" i="34"/>
  <c r="J12" i="34"/>
  <c r="F12" i="34"/>
  <c r="S12" i="34" s="1"/>
  <c r="AZ419" i="3"/>
  <c r="AZ443" i="3"/>
  <c r="H23" i="35"/>
  <c r="W27" i="35"/>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L448" i="3"/>
  <c r="AZ448" i="3" s="1"/>
  <c r="AZ454" i="3"/>
  <c r="BL466" i="3"/>
  <c r="AZ466" i="3" s="1"/>
  <c r="AZ483" i="3"/>
  <c r="G574" i="3"/>
  <c r="BL16" i="3"/>
  <c r="AZ16" i="3" s="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AZ445" i="3" s="1"/>
  <c r="BL446" i="3"/>
  <c r="BL449" i="3"/>
  <c r="BL450" i="3"/>
  <c r="BL452" i="3"/>
  <c r="G454" i="3"/>
  <c r="G455" i="3"/>
  <c r="BL456" i="3"/>
  <c r="AZ456" i="3" s="1"/>
  <c r="BA464" i="3"/>
  <c r="AZ464" i="3" s="1"/>
  <c r="BL467" i="3"/>
  <c r="BL468" i="3"/>
  <c r="BL470" i="3"/>
  <c r="G472" i="3"/>
  <c r="G473" i="3"/>
  <c r="BL473" i="3"/>
  <c r="AZ473" i="3" s="1"/>
  <c r="BL474" i="3"/>
  <c r="G475" i="3"/>
  <c r="BA482" i="3"/>
  <c r="BA484" i="3"/>
  <c r="AZ484" i="3" s="1"/>
  <c r="W31" i="40"/>
  <c r="S31" i="35"/>
  <c r="F39" i="37"/>
  <c r="S39" i="37" s="1"/>
  <c r="U30" i="37"/>
  <c r="J44" i="39"/>
  <c r="G587" i="3"/>
  <c r="J12" i="35"/>
  <c r="BA551" i="3"/>
  <c r="AZ551" i="3" s="1"/>
  <c r="BA550" i="3"/>
  <c r="AZ550" i="3" s="1"/>
  <c r="BL548" i="3"/>
  <c r="BL429" i="3"/>
  <c r="BL432" i="3"/>
  <c r="BL435" i="3"/>
  <c r="AZ435" i="3" s="1"/>
  <c r="BL436" i="3"/>
  <c r="BA439" i="3"/>
  <c r="BA440" i="3"/>
  <c r="AZ440" i="3" s="1"/>
  <c r="BA442" i="3"/>
  <c r="AZ442" i="3" s="1"/>
  <c r="BA445" i="3"/>
  <c r="BA447" i="3"/>
  <c r="AZ447" i="3" s="1"/>
  <c r="BA449" i="3"/>
  <c r="BL453" i="3"/>
  <c r="BL454" i="3"/>
  <c r="BL459" i="3"/>
  <c r="AZ459" i="3" s="1"/>
  <c r="BA465" i="3"/>
  <c r="AZ465" i="3" s="1"/>
  <c r="BA467" i="3"/>
  <c r="AZ467" i="3" s="1"/>
  <c r="BL471" i="3"/>
  <c r="BL475" i="3"/>
  <c r="BA477" i="3"/>
  <c r="AZ477" i="3" s="1"/>
  <c r="BA478" i="3"/>
  <c r="AZ478" i="3" s="1"/>
  <c r="BA481" i="3"/>
  <c r="BA488" i="3"/>
  <c r="AZ488" i="3" s="1"/>
  <c r="BA307" i="3"/>
  <c r="AZ307" i="3" s="1"/>
  <c r="AZ22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AZ446" i="3" s="1"/>
  <c r="BA450" i="3"/>
  <c r="AZ450" i="3" s="1"/>
  <c r="BA453" i="3"/>
  <c r="AZ453" i="3" s="1"/>
  <c r="BA455" i="3"/>
  <c r="AZ455" i="3" s="1"/>
  <c r="BL457" i="3"/>
  <c r="AZ457" i="3" s="1"/>
  <c r="BL460" i="3"/>
  <c r="AZ460" i="3" s="1"/>
  <c r="BL461" i="3"/>
  <c r="AZ461" i="3" s="1"/>
  <c r="BL463" i="3"/>
  <c r="G465" i="3"/>
  <c r="BA471" i="3"/>
  <c r="AZ471" i="3" s="1"/>
  <c r="G486" i="3"/>
  <c r="G488" i="3"/>
  <c r="BL490" i="3"/>
  <c r="G491" i="3"/>
  <c r="BL324" i="3"/>
  <c r="AZ324" i="3" s="1"/>
  <c r="BL314" i="3"/>
  <c r="AZ314" i="3" s="1"/>
  <c r="G315" i="3"/>
  <c r="BA332" i="3"/>
  <c r="BL332" i="3"/>
  <c r="G339" i="3"/>
  <c r="G364" i="3"/>
  <c r="BA367" i="3"/>
  <c r="AZ367" i="3" s="1"/>
  <c r="BA370" i="3"/>
  <c r="BA386" i="3"/>
  <c r="AZ386" i="3" s="1"/>
  <c r="G397" i="3"/>
  <c r="G210" i="3"/>
  <c r="BA216" i="3"/>
  <c r="AZ216" i="3" s="1"/>
  <c r="BA218" i="3"/>
  <c r="BL218" i="3"/>
  <c r="BL220" i="3"/>
  <c r="BL221" i="3"/>
  <c r="G222" i="3"/>
  <c r="BL223" i="3"/>
  <c r="G22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G116" i="3"/>
  <c r="BA117" i="3"/>
  <c r="BA124" i="3"/>
  <c r="AZ124" i="3" s="1"/>
  <c r="BL127" i="3"/>
  <c r="AZ127" i="3" s="1"/>
  <c r="BA130" i="3"/>
  <c r="BL130" i="3"/>
  <c r="BL137" i="3"/>
  <c r="AZ137" i="3" s="1"/>
  <c r="BL328" i="3"/>
  <c r="AZ328" i="3" s="1"/>
  <c r="G329" i="3"/>
  <c r="BA335" i="3"/>
  <c r="AZ335" i="3" s="1"/>
  <c r="BA339" i="3"/>
  <c r="AZ339" i="3" s="1"/>
  <c r="G343" i="3"/>
  <c r="G347" i="3"/>
  <c r="BA348" i="3"/>
  <c r="BA350" i="3"/>
  <c r="AZ350" i="3" s="1"/>
  <c r="BA354" i="3"/>
  <c r="BA366" i="3"/>
  <c r="BL375" i="3"/>
  <c r="AZ375" i="3" s="1"/>
  <c r="BL225" i="3"/>
  <c r="BL226" i="3"/>
  <c r="BA239" i="3"/>
  <c r="BL239" i="3"/>
  <c r="BA241" i="3"/>
  <c r="BL241" i="3"/>
  <c r="BA244" i="3"/>
  <c r="BL244" i="3"/>
  <c r="BA246" i="3"/>
  <c r="BL264" i="3"/>
  <c r="BL266" i="3"/>
  <c r="BA268" i="3"/>
  <c r="BL273" i="3"/>
  <c r="G274" i="3"/>
  <c r="BA277" i="3"/>
  <c r="BL277" i="3"/>
  <c r="BA282" i="3"/>
  <c r="BL282" i="3"/>
  <c r="BA284" i="3"/>
  <c r="BL290" i="3"/>
  <c r="BL291" i="3"/>
  <c r="AZ291" i="3" s="1"/>
  <c r="BL293" i="3"/>
  <c r="AZ293" i="3" s="1"/>
  <c r="BL294" i="3"/>
  <c r="BA297" i="3"/>
  <c r="BL297" i="3"/>
  <c r="BL300" i="3"/>
  <c r="BA302" i="3"/>
  <c r="G115" i="3"/>
  <c r="BA116" i="3"/>
  <c r="AZ116" i="3" s="1"/>
  <c r="BA121" i="3"/>
  <c r="AZ121" i="3" s="1"/>
  <c r="BL121" i="3"/>
  <c r="BL123" i="3"/>
  <c r="AZ123" i="3" s="1"/>
  <c r="G127" i="3"/>
  <c r="BA129" i="3"/>
  <c r="BL133" i="3"/>
  <c r="AZ133" i="3" s="1"/>
  <c r="BL134" i="3"/>
  <c r="AZ134" i="3" s="1"/>
  <c r="BA145" i="3"/>
  <c r="BA388" i="3"/>
  <c r="AZ388" i="3" s="1"/>
  <c r="BA396" i="3"/>
  <c r="BA209" i="3"/>
  <c r="BL217" i="3"/>
  <c r="AZ217" i="3" s="1"/>
  <c r="BA219" i="3"/>
  <c r="AZ219" i="3" s="1"/>
  <c r="BA221" i="3"/>
  <c r="BA223" i="3"/>
  <c r="BL228" i="3"/>
  <c r="BA230" i="3"/>
  <c r="AZ230" i="3" s="1"/>
  <c r="BL232" i="3"/>
  <c r="BL234" i="3"/>
  <c r="BA236" i="3"/>
  <c r="BA238" i="3"/>
  <c r="AZ238" i="3" s="1"/>
  <c r="BA243" i="3"/>
  <c r="AZ243" i="3" s="1"/>
  <c r="BL248" i="3"/>
  <c r="AZ248" i="3" s="1"/>
  <c r="BL250" i="3"/>
  <c r="AZ250" i="3" s="1"/>
  <c r="BA259" i="3"/>
  <c r="AZ259" i="3" s="1"/>
  <c r="BL138"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2" i="3"/>
  <c r="BA126" i="3"/>
  <c r="BL177" i="3"/>
  <c r="AZ177" i="3" s="1"/>
  <c r="BL183" i="3"/>
  <c r="BA186" i="3"/>
  <c r="AZ186" i="3" s="1"/>
  <c r="BA197" i="3"/>
  <c r="AZ197" i="3" s="1"/>
  <c r="BL201" i="3"/>
  <c r="AZ201" i="3" s="1"/>
  <c r="BL203" i="3"/>
  <c r="BA204" i="3"/>
  <c r="G33" i="3"/>
  <c r="G34" i="3"/>
  <c r="BA37" i="3"/>
  <c r="G39" i="3"/>
  <c r="BL39" i="3"/>
  <c r="AZ39" i="3" s="1"/>
  <c r="G43" i="3"/>
  <c r="G44" i="3"/>
  <c r="BA45" i="3"/>
  <c r="BA46" i="3"/>
  <c r="AZ46" i="3" s="1"/>
  <c r="BL49" i="3"/>
  <c r="BL50" i="3"/>
  <c r="AZ50" i="3" s="1"/>
  <c r="BL51" i="3"/>
  <c r="G53" i="3"/>
  <c r="BL53" i="3"/>
  <c r="AZ53" i="3" s="1"/>
  <c r="BL64" i="3"/>
  <c r="G65" i="3"/>
  <c r="BL65" i="3"/>
  <c r="AZ70" i="3"/>
  <c r="BL91" i="3"/>
  <c r="V24" i="71"/>
  <c r="E23" i="71"/>
  <c r="E22" i="71" s="1"/>
  <c r="E21" i="71" s="1"/>
  <c r="E20" i="71" s="1"/>
  <c r="V20" i="71" s="1"/>
  <c r="BA146" i="3"/>
  <c r="AZ146" i="3" s="1"/>
  <c r="BA150" i="3"/>
  <c r="BL167" i="3"/>
  <c r="AZ167" i="3" s="1"/>
  <c r="BL178" i="3"/>
  <c r="BA180" i="3"/>
  <c r="AZ180" i="3" s="1"/>
  <c r="BL182" i="3"/>
  <c r="AZ182" i="3" s="1"/>
  <c r="BA185" i="3"/>
  <c r="BL191" i="3"/>
  <c r="AZ191" i="3" s="1"/>
  <c r="BA193" i="3"/>
  <c r="BA196" i="3"/>
  <c r="AZ196" i="3" s="1"/>
  <c r="G203" i="3"/>
  <c r="BA205" i="3"/>
  <c r="AZ205" i="3" s="1"/>
  <c r="BL20" i="3"/>
  <c r="BA21" i="3"/>
  <c r="AZ21" i="3" s="1"/>
  <c r="BA25" i="3"/>
  <c r="BL28" i="3"/>
  <c r="BA29" i="3"/>
  <c r="AZ29" i="3" s="1"/>
  <c r="AZ52" i="3"/>
  <c r="AZ65" i="3"/>
  <c r="G67" i="3"/>
  <c r="BL83" i="3"/>
  <c r="D31" i="71"/>
  <c r="C32" i="71"/>
  <c r="C52" i="71"/>
  <c r="D51" i="71"/>
  <c r="C55" i="71"/>
  <c r="D54" i="71"/>
  <c r="C60" i="71"/>
  <c r="D59" i="71"/>
  <c r="N67" i="71"/>
  <c r="B66" i="71"/>
  <c r="F66" i="71"/>
  <c r="Q65" i="71" s="1"/>
  <c r="Q67" i="71"/>
  <c r="BL113" i="3"/>
  <c r="BL115" i="3"/>
  <c r="AZ115" i="3" s="1"/>
  <c r="BA118" i="3"/>
  <c r="AZ118" i="3" s="1"/>
  <c r="BL118" i="3"/>
  <c r="BA122" i="3"/>
  <c r="AZ122" i="3" s="1"/>
  <c r="BL125" i="3"/>
  <c r="AZ125" i="3" s="1"/>
  <c r="BL126" i="3"/>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BA200" i="3"/>
  <c r="AZ200" i="3" s="1"/>
  <c r="BA202" i="3"/>
  <c r="BL207" i="3"/>
  <c r="BL18" i="3"/>
  <c r="AZ18" i="3" s="1"/>
  <c r="G19" i="3"/>
  <c r="BL19" i="3"/>
  <c r="BA20" i="3"/>
  <c r="BL25" i="3"/>
  <c r="BL27" i="3"/>
  <c r="AZ27" i="3" s="1"/>
  <c r="BA28" i="3"/>
  <c r="BA31" i="3"/>
  <c r="BA32" i="3"/>
  <c r="G38" i="3"/>
  <c r="BA38" i="3"/>
  <c r="AZ38" i="3" s="1"/>
  <c r="BA41" i="3"/>
  <c r="BA42" i="3"/>
  <c r="G47" i="3"/>
  <c r="BL48" i="3"/>
  <c r="BL54" i="3"/>
  <c r="BL55" i="3"/>
  <c r="AZ55" i="3" s="1"/>
  <c r="G58" i="3"/>
  <c r="BA59" i="3"/>
  <c r="BL61" i="3"/>
  <c r="G64" i="3"/>
  <c r="BA64" i="3"/>
  <c r="AZ64" i="3" s="1"/>
  <c r="BA68" i="3"/>
  <c r="BL70" i="3"/>
  <c r="BL71" i="3"/>
  <c r="BA140" i="3"/>
  <c r="AZ140" i="3" s="1"/>
  <c r="BA142" i="3"/>
  <c r="BL149" i="3"/>
  <c r="AZ149" i="3" s="1"/>
  <c r="BL150" i="3"/>
  <c r="G151" i="3"/>
  <c r="BA152" i="3"/>
  <c r="AZ152" i="3" s="1"/>
  <c r="BA154" i="3"/>
  <c r="AZ154" i="3" s="1"/>
  <c r="BA160" i="3"/>
  <c r="AZ160" i="3" s="1"/>
  <c r="G162" i="3"/>
  <c r="BL162" i="3"/>
  <c r="AZ162" i="3" s="1"/>
  <c r="BL193" i="3"/>
  <c r="G194" i="3"/>
  <c r="BL194" i="3"/>
  <c r="AZ194" i="3" s="1"/>
  <c r="BA19" i="3"/>
  <c r="AZ19" i="3" s="1"/>
  <c r="G22" i="3"/>
  <c r="G24" i="3"/>
  <c r="G25" i="3"/>
  <c r="BA27" i="3"/>
  <c r="G30" i="3"/>
  <c r="BL30" i="3"/>
  <c r="BL31" i="3"/>
  <c r="BL40" i="3"/>
  <c r="BL41" i="3"/>
  <c r="BL45" i="3"/>
  <c r="BA48" i="3"/>
  <c r="AZ48" i="3" s="1"/>
  <c r="BA49" i="3"/>
  <c r="BA51" i="3"/>
  <c r="AZ51" i="3" s="1"/>
  <c r="BL56" i="3"/>
  <c r="BA58" i="3"/>
  <c r="BL59" i="3"/>
  <c r="BL60" i="3"/>
  <c r="BA61" i="3"/>
  <c r="AZ61" i="3" s="1"/>
  <c r="BA72" i="3"/>
  <c r="AZ72" i="3" s="1"/>
  <c r="BA73" i="3"/>
  <c r="BA80" i="3"/>
  <c r="BL84" i="3"/>
  <c r="BA90" i="3"/>
  <c r="AZ90" i="3" s="1"/>
  <c r="C44" i="71"/>
  <c r="D43" i="7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A103" i="3"/>
  <c r="AZ103" i="3" s="1"/>
  <c r="BA104" i="3"/>
  <c r="AZ104" i="3" s="1"/>
  <c r="BA106" i="3"/>
  <c r="AZ106" i="3" s="1"/>
  <c r="BL108"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94" i="3"/>
  <c r="AZ94" i="3" s="1"/>
  <c r="AZ100" i="3"/>
  <c r="AB28" i="71"/>
  <c r="AB33" i="71"/>
  <c r="AA30" i="71"/>
  <c r="E35" i="71"/>
  <c r="E36" i="71" s="1"/>
  <c r="U36" i="71" s="1"/>
  <c r="AB31" i="71"/>
  <c r="AA36" i="71"/>
  <c r="B47" i="71"/>
  <c r="B48" i="71" s="1"/>
  <c r="S48" i="71" s="1"/>
  <c r="F9" i="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10" i="3"/>
  <c r="AZ439" i="3"/>
  <c r="AZ449" i="3"/>
  <c r="AZ452" i="3"/>
  <c r="AZ468" i="3"/>
  <c r="AZ470" i="3"/>
  <c r="W35" i="39"/>
  <c r="F27" i="34"/>
  <c r="C21" i="39"/>
  <c r="U9" i="36"/>
  <c r="U14" i="37"/>
  <c r="H12" i="21"/>
  <c r="G526" i="3"/>
  <c r="AZ420" i="3"/>
  <c r="AZ424" i="3"/>
  <c r="AZ434" i="3"/>
  <c r="AZ436" i="3"/>
  <c r="AZ438"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90" i="3"/>
  <c r="AZ153"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C31" i="12" s="1"/>
  <c r="E14" i="6"/>
  <c r="E63" i="39" s="1"/>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F66" i="67"/>
  <c r="Q71" i="67"/>
  <c r="C27" i="67"/>
  <c r="F71" i="67"/>
  <c r="N59" i="67"/>
  <c r="L59" i="67"/>
  <c r="M59" i="67"/>
  <c r="B13" i="70"/>
  <c r="M7" i="67"/>
  <c r="J6" i="67" s="1"/>
  <c r="F50" i="67"/>
  <c r="F68" i="67"/>
  <c r="F64" i="67"/>
  <c r="C36" i="69"/>
  <c r="C76" i="15"/>
  <c r="C36" i="68"/>
  <c r="F9" i="15"/>
  <c r="M23" i="15"/>
  <c r="F37" i="15"/>
  <c r="M26" i="15"/>
  <c r="M29" i="15"/>
  <c r="F38" i="15"/>
  <c r="F40" i="15"/>
  <c r="D4" i="73"/>
  <c r="C16" i="83"/>
  <c r="F16" i="15"/>
  <c r="F43" i="15"/>
  <c r="M8" i="15"/>
  <c r="M22" i="15"/>
  <c r="M6" i="15"/>
  <c r="M24" i="15"/>
  <c r="L47" i="15"/>
  <c r="D7" i="73"/>
  <c r="F6" i="15"/>
  <c r="F13" i="15"/>
  <c r="C16" i="82"/>
  <c r="M9" i="15"/>
  <c r="F26" i="15"/>
  <c r="J15" i="15"/>
  <c r="F42" i="15"/>
  <c r="F8" i="15"/>
  <c r="M28" i="15"/>
  <c r="C16" i="67"/>
  <c r="D3" i="73"/>
  <c r="L48" i="67"/>
  <c r="L48" i="15"/>
  <c r="F7" i="15"/>
  <c r="F36" i="15"/>
  <c r="D5" i="73"/>
  <c r="J18" i="82" l="1"/>
  <c r="J18" i="83"/>
  <c r="F60" i="83"/>
  <c r="C32" i="83"/>
  <c r="F60" i="82"/>
  <c r="C32" i="82"/>
  <c r="F11" i="83"/>
  <c r="M11" i="83"/>
  <c r="J10" i="83" s="1"/>
  <c r="J5" i="83" s="1"/>
  <c r="F11" i="82"/>
  <c r="M11" i="82"/>
  <c r="J10" i="82" s="1"/>
  <c r="J5" i="82" s="1"/>
  <c r="L56" i="67"/>
  <c r="I54" i="67"/>
  <c r="J53" i="67"/>
  <c r="F1" i="67" s="1"/>
  <c r="J57" i="67"/>
  <c r="J55" i="67" s="1"/>
  <c r="J58" i="67" s="1"/>
  <c r="Q50" i="67" s="1"/>
  <c r="L58" i="67"/>
  <c r="Q60" i="67" s="1"/>
  <c r="G9" i="1"/>
  <c r="L59" i="15"/>
  <c r="Q74" i="15" s="1"/>
  <c r="L58" i="15"/>
  <c r="Q60" i="15" s="1"/>
  <c r="N59" i="15"/>
  <c r="M59" i="15"/>
  <c r="F68" i="15"/>
  <c r="F64" i="15"/>
  <c r="F66" i="15"/>
  <c r="Q71" i="15"/>
  <c r="F51" i="15"/>
  <c r="M7" i="15"/>
  <c r="J6" i="15" s="1"/>
  <c r="J18" i="15" s="1"/>
  <c r="F50" i="15"/>
  <c r="F65" i="15"/>
  <c r="J53" i="15"/>
  <c r="L56" i="15" s="1"/>
  <c r="I54" i="15"/>
  <c r="J57" i="15"/>
  <c r="J55" i="15" s="1"/>
  <c r="J58" i="15" s="1"/>
  <c r="Q50" i="15" s="1"/>
  <c r="C27" i="15"/>
  <c r="F71" i="15"/>
  <c r="C6" i="15"/>
  <c r="C32" i="15" s="1"/>
  <c r="G5" i="3"/>
  <c r="B3" i="3" s="1"/>
  <c r="E539" i="3" s="1"/>
  <c r="D9" i="69"/>
  <c r="C9" i="69" s="1"/>
  <c r="E59" i="40"/>
  <c r="J7" i="36"/>
  <c r="T52" i="71"/>
  <c r="D52" i="71"/>
  <c r="T28" i="71"/>
  <c r="D28" i="71"/>
  <c r="U28" i="71" s="1"/>
  <c r="C27" i="71"/>
  <c r="D79" i="71"/>
  <c r="C78" i="71"/>
  <c r="D78" i="71" s="1"/>
  <c r="AZ58" i="3"/>
  <c r="U30" i="21"/>
  <c r="AB30" i="21"/>
  <c r="P6" i="1"/>
  <c r="C13" i="12" s="1"/>
  <c r="AZ300" i="3"/>
  <c r="AZ129" i="3"/>
  <c r="AZ213" i="3"/>
  <c r="D83" i="71"/>
  <c r="C82" i="71"/>
  <c r="D82" i="71" s="1"/>
  <c r="AZ282" i="3"/>
  <c r="AZ241" i="3"/>
  <c r="AZ218" i="3"/>
  <c r="AA27" i="21"/>
  <c r="S27" i="21"/>
  <c r="AA33" i="36"/>
  <c r="S33" i="36"/>
  <c r="AC30" i="21"/>
  <c r="W30" i="21"/>
  <c r="AC25" i="37"/>
  <c r="W25" i="37"/>
  <c r="E28" i="6"/>
  <c r="K14" i="1" s="1"/>
  <c r="K16" i="1" s="1"/>
  <c r="W33" i="36"/>
  <c r="AZ299" i="3"/>
  <c r="AZ287" i="3"/>
  <c r="AZ264" i="3"/>
  <c r="AZ354" i="3"/>
  <c r="AA12" i="34"/>
  <c r="C40" i="71"/>
  <c r="D39" i="71"/>
  <c r="AZ108" i="3"/>
  <c r="AZ41" i="3"/>
  <c r="AZ31" i="3"/>
  <c r="AZ20" i="3"/>
  <c r="AZ5" i="3" s="1"/>
  <c r="C56" i="71"/>
  <c r="D55" i="71"/>
  <c r="AZ25" i="3"/>
  <c r="AZ45" i="3"/>
  <c r="AZ126" i="3"/>
  <c r="AZ223" i="3"/>
  <c r="AZ297" i="3"/>
  <c r="AZ251" i="3"/>
  <c r="AZ247" i="3"/>
  <c r="W12" i="35"/>
  <c r="AC12" i="35"/>
  <c r="AZ415" i="3"/>
  <c r="AZ398" i="3"/>
  <c r="AC9" i="34"/>
  <c r="W9" i="34"/>
  <c r="W27" i="21"/>
  <c r="AC27" i="21"/>
  <c r="AB33" i="36"/>
  <c r="U33" i="36"/>
  <c r="AC24" i="35"/>
  <c r="W24" i="35"/>
  <c r="AA25" i="37"/>
  <c r="S25" i="37"/>
  <c r="D60" i="71"/>
  <c r="T60" i="71"/>
  <c r="AC44" i="39"/>
  <c r="W44" i="39"/>
  <c r="U23" i="35"/>
  <c r="AB23" i="35"/>
  <c r="W9" i="35"/>
  <c r="AC9" i="35"/>
  <c r="G16" i="1"/>
  <c r="F10" i="39" s="1"/>
  <c r="AA10" i="39" s="1"/>
  <c r="O65" i="71"/>
  <c r="D66" i="71"/>
  <c r="O66" i="71"/>
  <c r="N65" i="71"/>
  <c r="N66" i="71"/>
  <c r="T32" i="71"/>
  <c r="D32" i="71"/>
  <c r="AZ425" i="3"/>
  <c r="W12" i="34"/>
  <c r="AC12" i="34"/>
  <c r="AA24" i="35"/>
  <c r="S24" i="35"/>
  <c r="AZ586" i="3"/>
  <c r="B20" i="31"/>
  <c r="B21" i="31" s="1"/>
  <c r="D20" i="53"/>
  <c r="B40" i="72" s="1"/>
  <c r="C48" i="68"/>
  <c r="AZ85" i="3"/>
  <c r="D17" i="53"/>
  <c r="B36" i="72" s="1"/>
  <c r="C30" i="11"/>
  <c r="S9" i="33"/>
  <c r="S9" i="34"/>
  <c r="AZ80" i="3"/>
  <c r="AZ138" i="3"/>
  <c r="AZ114" i="3"/>
  <c r="AZ285" i="3"/>
  <c r="AZ474" i="3"/>
  <c r="AZ333" i="3"/>
  <c r="AZ71" i="3"/>
  <c r="C70" i="71"/>
  <c r="D70" i="71" s="1"/>
  <c r="D71" i="71"/>
  <c r="C36" i="71"/>
  <c r="D35" i="71"/>
  <c r="D44" i="71"/>
  <c r="T44" i="71"/>
  <c r="AZ49" i="3"/>
  <c r="AZ59" i="3"/>
  <c r="AZ28" i="3"/>
  <c r="AZ150" i="3"/>
  <c r="AZ302" i="3"/>
  <c r="AZ284" i="3"/>
  <c r="AZ277" i="3"/>
  <c r="AZ244" i="3"/>
  <c r="AZ239" i="3"/>
  <c r="AZ130" i="3"/>
  <c r="AZ332" i="3"/>
  <c r="AZ422" i="3"/>
  <c r="AZ403" i="3"/>
  <c r="AZ421" i="3"/>
  <c r="AZ414" i="3"/>
  <c r="AC9" i="33"/>
  <c r="W9" i="33"/>
  <c r="U9" i="34"/>
  <c r="AB9" i="34"/>
  <c r="U25" i="37"/>
  <c r="AB25" i="37"/>
  <c r="J7" i="37"/>
  <c r="W7" i="37" s="1"/>
  <c r="K1" i="73"/>
  <c r="E541" i="3"/>
  <c r="E467" i="3"/>
  <c r="E81" i="3"/>
  <c r="E174" i="3"/>
  <c r="E405" i="3"/>
  <c r="E428" i="3"/>
  <c r="E16" i="3"/>
  <c r="E40" i="3"/>
  <c r="E79" i="3"/>
  <c r="E20" i="3"/>
  <c r="E24" i="3"/>
  <c r="E110" i="3"/>
  <c r="E323" i="3"/>
  <c r="E373" i="3"/>
  <c r="E179" i="3"/>
  <c r="E187" i="3"/>
  <c r="E136" i="3"/>
  <c r="E529" i="3"/>
  <c r="E475" i="3"/>
  <c r="E397" i="3"/>
  <c r="E411" i="3"/>
  <c r="E71" i="3"/>
  <c r="E317" i="3"/>
  <c r="E53" i="3"/>
  <c r="E328" i="3"/>
  <c r="E574" i="3"/>
  <c r="S6" i="3"/>
  <c r="E523" i="3"/>
  <c r="E169" i="3"/>
  <c r="E237" i="3"/>
  <c r="E17" i="3"/>
  <c r="E302" i="3"/>
  <c r="E303" i="3"/>
  <c r="AN6" i="3"/>
  <c r="E156" i="3"/>
  <c r="E238" i="3"/>
  <c r="E120" i="3"/>
  <c r="E177" i="3"/>
  <c r="E437" i="3"/>
  <c r="E481" i="3"/>
  <c r="AE6" i="3"/>
  <c r="E429" i="3"/>
  <c r="E73" i="3"/>
  <c r="E203" i="3"/>
  <c r="E394" i="3"/>
  <c r="E580" i="3"/>
  <c r="E236" i="3"/>
  <c r="E252" i="3"/>
  <c r="AG6" i="3"/>
  <c r="E448" i="3"/>
  <c r="E558" i="3"/>
  <c r="E581" i="3"/>
  <c r="E88" i="3"/>
  <c r="E121" i="3"/>
  <c r="E316" i="3"/>
  <c r="E334" i="3"/>
  <c r="E125" i="3"/>
  <c r="E366" i="3"/>
  <c r="N6" i="3"/>
  <c r="E239" i="3"/>
  <c r="E396" i="3"/>
  <c r="E229" i="3"/>
  <c r="E559" i="3"/>
  <c r="E551" i="3"/>
  <c r="E320" i="3"/>
  <c r="E294" i="3"/>
  <c r="E114" i="3"/>
  <c r="E415" i="3"/>
  <c r="E550" i="3"/>
  <c r="E117" i="3"/>
  <c r="E245" i="3"/>
  <c r="E382" i="3"/>
  <c r="E293" i="3"/>
  <c r="E336" i="3"/>
  <c r="E453" i="3"/>
  <c r="E85" i="3"/>
  <c r="E99" i="3"/>
  <c r="E45" i="3"/>
  <c r="E573" i="3"/>
  <c r="E458" i="3"/>
  <c r="E562" i="3"/>
  <c r="E571" i="3"/>
  <c r="E72" i="3"/>
  <c r="E111" i="3"/>
  <c r="E351" i="3"/>
  <c r="E318" i="3"/>
  <c r="E549" i="3"/>
  <c r="E269" i="3"/>
  <c r="E585" i="3"/>
  <c r="E515" i="3"/>
  <c r="E477" i="3"/>
  <c r="E505" i="3"/>
  <c r="E447" i="3"/>
  <c r="E27" i="3"/>
  <c r="E210" i="3"/>
  <c r="E331" i="3"/>
  <c r="E441" i="3"/>
  <c r="E175"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56" i="39"/>
  <c r="H7" i="34"/>
  <c r="AB7" i="34" s="1"/>
  <c r="T49" i="34" s="1"/>
  <c r="G49" i="34" s="1"/>
  <c r="E67" i="39"/>
  <c r="E69" i="39" s="1"/>
  <c r="J7" i="34"/>
  <c r="W7" i="34" s="1"/>
  <c r="F7" i="34"/>
  <c r="S7" i="34" s="1"/>
  <c r="AA26" i="35"/>
  <c r="S26" i="35"/>
  <c r="AC26" i="35"/>
  <c r="W26" i="35"/>
  <c r="AB26" i="35"/>
  <c r="U26" i="35"/>
  <c r="E61" i="39"/>
  <c r="E56" i="40"/>
  <c r="C47" i="69"/>
  <c r="D45" i="69" s="1"/>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59" i="67"/>
  <c r="H7" i="37"/>
  <c r="AB7" i="37" s="1"/>
  <c r="H7" i="33"/>
  <c r="J7" i="33"/>
  <c r="D65" i="40"/>
  <c r="E63" i="40"/>
  <c r="F48" i="35"/>
  <c r="AC7" i="37"/>
  <c r="F7" i="33"/>
  <c r="E58" i="21"/>
  <c r="AC7" i="36"/>
  <c r="V36" i="36" s="1"/>
  <c r="I36" i="36" s="1"/>
  <c r="W7" i="36"/>
  <c r="F7" i="37"/>
  <c r="M17" i="67"/>
  <c r="M17" i="15"/>
  <c r="F59" i="15"/>
  <c r="P28" i="43"/>
  <c r="B66" i="40" s="1"/>
  <c r="P25" i="43"/>
  <c r="C49" i="67"/>
  <c r="P29" i="43"/>
  <c r="P27" i="43"/>
  <c r="B70" i="39" s="1"/>
  <c r="C32" i="67"/>
  <c r="M11" i="67"/>
  <c r="J10" i="67" s="1"/>
  <c r="J5" i="67" s="1"/>
  <c r="F11" i="15"/>
  <c r="M11" i="15"/>
  <c r="J10" i="15" s="1"/>
  <c r="F11" i="67"/>
  <c r="J18" i="67"/>
  <c r="Q61" i="67"/>
  <c r="Q74" i="67"/>
  <c r="AE11" i="1"/>
  <c r="AE9" i="1"/>
  <c r="AE12" i="1"/>
  <c r="AE10" i="1"/>
  <c r="C16" i="15"/>
  <c r="AE8" i="1"/>
  <c r="G1" i="73"/>
  <c r="AE7" i="1"/>
  <c r="F27" i="68"/>
  <c r="F41" i="83"/>
  <c r="D9" i="68"/>
  <c r="F41" i="82"/>
  <c r="F41" i="67"/>
  <c r="AA7" i="36" l="1"/>
  <c r="R36" i="36" s="1"/>
  <c r="C9" i="68"/>
  <c r="Q73" i="67"/>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280" i="3"/>
  <c r="E159" i="3"/>
  <c r="E213" i="3"/>
  <c r="E321" i="3"/>
  <c r="E390" i="3"/>
  <c r="E153" i="3"/>
  <c r="E291" i="3"/>
  <c r="E547" i="3"/>
  <c r="E207" i="3"/>
  <c r="E257" i="3"/>
  <c r="W6" i="3"/>
  <c r="E157" i="3"/>
  <c r="E127" i="3"/>
  <c r="E87" i="3"/>
  <c r="E259" i="3"/>
  <c r="E297" i="3"/>
  <c r="E48" i="3"/>
  <c r="E222" i="3"/>
  <c r="E398" i="3"/>
  <c r="E52" i="3"/>
  <c r="E276" i="3"/>
  <c r="E507" i="3"/>
  <c r="E80" i="3"/>
  <c r="E452" i="3"/>
  <c r="E287" i="3"/>
  <c r="AL6" i="3"/>
  <c r="E300" i="3"/>
  <c r="E152" i="3"/>
  <c r="E510"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434" i="3"/>
  <c r="E353" i="3"/>
  <c r="E254" i="3"/>
  <c r="E304" i="3"/>
  <c r="E338" i="3"/>
  <c r="E359" i="3"/>
  <c r="E319" i="3"/>
  <c r="E272" i="3"/>
  <c r="E432" i="3"/>
  <c r="E196" i="3"/>
  <c r="E168" i="3"/>
  <c r="E474" i="3"/>
  <c r="E306" i="3"/>
  <c r="E307" i="3"/>
  <c r="AD6" i="3"/>
  <c r="E374" i="3"/>
  <c r="E436" i="3"/>
  <c r="E446" i="3"/>
  <c r="E51" i="3"/>
  <c r="E365" i="3"/>
  <c r="E194" i="3"/>
  <c r="E226" i="3"/>
  <c r="E564" i="3"/>
  <c r="E78" i="3"/>
  <c r="E408" i="3"/>
  <c r="E102" i="3"/>
  <c r="E494" i="3"/>
  <c r="E46" i="3"/>
  <c r="E435" i="3"/>
  <c r="E546" i="3"/>
  <c r="U6" i="3"/>
  <c r="E357" i="3"/>
  <c r="E537" i="3"/>
  <c r="E532" i="3"/>
  <c r="E122" i="3"/>
  <c r="E167" i="3"/>
  <c r="Y6" i="3"/>
  <c r="E266" i="3"/>
  <c r="E19" i="3"/>
  <c r="E500" i="3"/>
  <c r="E566" i="3"/>
  <c r="E147" i="3"/>
  <c r="E455" i="3"/>
  <c r="AH6" i="3"/>
  <c r="E158" i="3"/>
  <c r="E41" i="3"/>
  <c r="E140" i="3"/>
  <c r="E129" i="3"/>
  <c r="E184" i="3"/>
  <c r="E192" i="3"/>
  <c r="E286" i="3"/>
  <c r="E418" i="3"/>
  <c r="E285" i="3"/>
  <c r="E426" i="3"/>
  <c r="E29" i="3"/>
  <c r="E92" i="3"/>
  <c r="E367" i="3"/>
  <c r="E379" i="3"/>
  <c r="E14" i="3"/>
  <c r="E54" i="3"/>
  <c r="E288" i="3"/>
  <c r="E224" i="3"/>
  <c r="E461" i="3"/>
  <c r="E98" i="3"/>
  <c r="E195" i="3"/>
  <c r="E462" i="3"/>
  <c r="E584" i="3"/>
  <c r="E582" i="3"/>
  <c r="E209" i="3"/>
  <c r="E416" i="3"/>
  <c r="E348" i="3"/>
  <c r="E62" i="3"/>
  <c r="E392" i="3"/>
  <c r="L6" i="3"/>
  <c r="E498" i="3"/>
  <c r="E493" i="3"/>
  <c r="E342" i="3"/>
  <c r="E470" i="3"/>
  <c r="T6" i="3"/>
  <c r="E86" i="3"/>
  <c r="E198" i="3"/>
  <c r="E33" i="3"/>
  <c r="E349" i="3"/>
  <c r="E255" i="3"/>
  <c r="F69" i="83"/>
  <c r="J26" i="83"/>
  <c r="J29" i="83" s="1"/>
  <c r="J24" i="83"/>
  <c r="C53" i="83"/>
  <c r="C48" i="83" s="1"/>
  <c r="C10" i="83"/>
  <c r="C5" i="83" s="1"/>
  <c r="F69" i="82"/>
  <c r="J24" i="82"/>
  <c r="J26" i="82"/>
  <c r="J29" i="82" s="1"/>
  <c r="C53" i="82"/>
  <c r="C48" i="82" s="1"/>
  <c r="C10" i="82"/>
  <c r="C5" i="82" s="1"/>
  <c r="C49" i="15"/>
  <c r="Q52" i="15"/>
  <c r="Q52" i="67"/>
  <c r="F1" i="15"/>
  <c r="Q61" i="15"/>
  <c r="Q73" i="15"/>
  <c r="J5" i="15"/>
  <c r="J24" i="15" s="1"/>
  <c r="E421" i="3"/>
  <c r="E58" i="3"/>
  <c r="E101" i="3"/>
  <c r="E289" i="3"/>
  <c r="E234" i="3"/>
  <c r="E43" i="3"/>
  <c r="E25" i="3"/>
  <c r="E422" i="3"/>
  <c r="E223" i="3"/>
  <c r="E35" i="3"/>
  <c r="E115" i="3"/>
  <c r="E360" i="3"/>
  <c r="E197" i="3"/>
  <c r="E34" i="3"/>
  <c r="E75" i="3"/>
  <c r="E264" i="3"/>
  <c r="E371" i="3"/>
  <c r="E76" i="3"/>
  <c r="E491" i="3"/>
  <c r="E499"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356" i="3"/>
  <c r="E104" i="3"/>
  <c r="E497" i="3"/>
  <c r="E512" i="3"/>
  <c r="E534" i="3"/>
  <c r="E22" i="3"/>
  <c r="AF6" i="3"/>
  <c r="E522" i="3"/>
  <c r="E18" i="3"/>
  <c r="E391" i="3"/>
  <c r="E21" i="3"/>
  <c r="E381" i="3"/>
  <c r="E84" i="3"/>
  <c r="E249" i="3"/>
  <c r="E484" i="3"/>
  <c r="E363" i="3"/>
  <c r="E37" i="3"/>
  <c r="AP6" i="3"/>
  <c r="E466" i="3"/>
  <c r="E199" i="3"/>
  <c r="E65" i="3"/>
  <c r="E460" i="3"/>
  <c r="E165" i="3"/>
  <c r="E218" i="3"/>
  <c r="E340" i="3"/>
  <c r="E36" i="3"/>
  <c r="E339" i="3"/>
  <c r="E38" i="3"/>
  <c r="E540" i="3"/>
  <c r="E333" i="3"/>
  <c r="E108" i="3"/>
  <c r="E419" i="3"/>
  <c r="E490" i="3"/>
  <c r="E543" i="3"/>
  <c r="E116" i="3"/>
  <c r="E83" i="3"/>
  <c r="E49" i="3"/>
  <c r="E190" i="3"/>
  <c r="E243" i="3"/>
  <c r="E420" i="3"/>
  <c r="E556" i="3"/>
  <c r="E469" i="3"/>
  <c r="E173" i="3"/>
  <c r="E308" i="3"/>
  <c r="E251" i="3"/>
  <c r="E235" i="3"/>
  <c r="E482" i="3"/>
  <c r="E332" i="3"/>
  <c r="E283" i="3"/>
  <c r="E355" i="3"/>
  <c r="E23" i="3"/>
  <c r="E103" i="3"/>
  <c r="E59" i="3"/>
  <c r="E292" i="3"/>
  <c r="E479" i="3"/>
  <c r="I3" i="6"/>
  <c r="E502" i="3"/>
  <c r="E536" i="3"/>
  <c r="E212" i="3"/>
  <c r="R6" i="3"/>
  <c r="E430" i="3"/>
  <c r="E517" i="3"/>
  <c r="E56" i="3"/>
  <c r="E258" i="3"/>
  <c r="E544" i="3"/>
  <c r="E425" i="3"/>
  <c r="E160" i="3"/>
  <c r="E492" i="3"/>
  <c r="E144" i="3"/>
  <c r="E68"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09" i="3"/>
  <c r="E63" i="3"/>
  <c r="E233" i="3"/>
  <c r="E67" i="3"/>
  <c r="E310" i="3"/>
  <c r="E267" i="3"/>
  <c r="E64" i="3"/>
  <c r="E409" i="3"/>
  <c r="E389" i="3"/>
  <c r="E241" i="3"/>
  <c r="E95" i="3"/>
  <c r="E417" i="3"/>
  <c r="E554" i="3"/>
  <c r="E449" i="3"/>
  <c r="E442" i="3"/>
  <c r="E575" i="3"/>
  <c r="S10" i="39"/>
  <c r="H10" i="39"/>
  <c r="U10" i="39" s="1"/>
  <c r="U7" i="36"/>
  <c r="F67" i="39"/>
  <c r="AY6" i="3"/>
  <c r="AY236" i="3" s="1"/>
  <c r="E3" i="6"/>
  <c r="D37" i="11" s="1"/>
  <c r="J10" i="39"/>
  <c r="W10" i="39" s="1"/>
  <c r="E30" i="6"/>
  <c r="K26" i="6"/>
  <c r="M26" i="6" s="1"/>
  <c r="I26" i="6" s="1"/>
  <c r="S26" i="6" s="1"/>
  <c r="T36" i="71"/>
  <c r="D36" i="71"/>
  <c r="T42" i="37"/>
  <c r="G42" i="37" s="1"/>
  <c r="H10" i="40"/>
  <c r="AB10" i="40" s="1"/>
  <c r="J10" i="40"/>
  <c r="AC10" i="40" s="1"/>
  <c r="T40" i="71"/>
  <c r="D40" i="71"/>
  <c r="F10" i="40"/>
  <c r="S10" i="40" s="1"/>
  <c r="M14" i="1"/>
  <c r="O14" i="1" s="1"/>
  <c r="O16" i="1" s="1"/>
  <c r="D56" i="71"/>
  <c r="T56" i="71"/>
  <c r="C26" i="71"/>
  <c r="D26" i="71" s="1"/>
  <c r="D27" i="71"/>
  <c r="B40" i="1"/>
  <c r="L36" i="88"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E6" i="6"/>
  <c r="D14" i="12"/>
  <c r="D3" i="34"/>
  <c r="L18" i="9"/>
  <c r="D3" i="3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10" i="15"/>
  <c r="C5" i="15" s="1"/>
  <c r="M27" i="82"/>
  <c r="M27" i="83"/>
  <c r="AE6" i="1"/>
  <c r="C17" i="83"/>
  <c r="M27" i="15"/>
  <c r="F41" i="15"/>
  <c r="M27" i="67"/>
  <c r="Q36" i="88" l="1"/>
  <c r="M36" i="88"/>
  <c r="P36" i="88"/>
  <c r="O36" i="88"/>
  <c r="L37" i="88"/>
  <c r="N36" i="88"/>
  <c r="F22" i="84"/>
  <c r="F41" i="84" s="1"/>
  <c r="F22" i="85"/>
  <c r="C38" i="15"/>
  <c r="H34" i="15"/>
  <c r="H6" i="3"/>
  <c r="E6" i="3" s="1"/>
  <c r="AC6" i="3"/>
  <c r="E8" i="70"/>
  <c r="F24" i="82"/>
  <c r="C24" i="82" s="1"/>
  <c r="F24" i="83"/>
  <c r="C38" i="83"/>
  <c r="C66" i="83"/>
  <c r="C60" i="83"/>
  <c r="C48" i="15"/>
  <c r="C66" i="15" s="1"/>
  <c r="C38" i="82"/>
  <c r="C66" i="82"/>
  <c r="C60" i="82"/>
  <c r="L36" i="43"/>
  <c r="L37" i="43" s="1"/>
  <c r="M37" i="43" s="1"/>
  <c r="L36" i="81"/>
  <c r="W10" i="40"/>
  <c r="F25" i="12"/>
  <c r="C26" i="12" s="1"/>
  <c r="D25" i="12" s="1"/>
  <c r="AC10" i="39"/>
  <c r="F22" i="68"/>
  <c r="AY71" i="3"/>
  <c r="AY321" i="3"/>
  <c r="AY550" i="3"/>
  <c r="AY143" i="3"/>
  <c r="AY536" i="3"/>
  <c r="AY479" i="3"/>
  <c r="AY221" i="3"/>
  <c r="AY57" i="3"/>
  <c r="BT6" i="3"/>
  <c r="AY413" i="3"/>
  <c r="AY94" i="3"/>
  <c r="AY581" i="3"/>
  <c r="AY189" i="3"/>
  <c r="AY443" i="3"/>
  <c r="AY500" i="3"/>
  <c r="AY528" i="3"/>
  <c r="AY273" i="3"/>
  <c r="AY579" i="3"/>
  <c r="AY72" i="3"/>
  <c r="AY149" i="3"/>
  <c r="AY386" i="3"/>
  <c r="AY19" i="3"/>
  <c r="AY110" i="3"/>
  <c r="AY512" i="3"/>
  <c r="AY313" i="3"/>
  <c r="AY84" i="3"/>
  <c r="AY123" i="3"/>
  <c r="AY566" i="3"/>
  <c r="AY477" i="3"/>
  <c r="AY240" i="3"/>
  <c r="AY164" i="3"/>
  <c r="AY107" i="3"/>
  <c r="AY408" i="3"/>
  <c r="BP6" i="3"/>
  <c r="AY361" i="3"/>
  <c r="AY339" i="3"/>
  <c r="AY482" i="3"/>
  <c r="AY537" i="3"/>
  <c r="AY235" i="3"/>
  <c r="AY459" i="3"/>
  <c r="AY159" i="3"/>
  <c r="AY405" i="3"/>
  <c r="AY280" i="3"/>
  <c r="AY531" i="3"/>
  <c r="AY410" i="3"/>
  <c r="AY369" i="3"/>
  <c r="AY80" i="3"/>
  <c r="AY406" i="3"/>
  <c r="AY373" i="3"/>
  <c r="AY229" i="3"/>
  <c r="AY178" i="3"/>
  <c r="AY317" i="3"/>
  <c r="AY77"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42" i="3"/>
  <c r="AY366" i="3"/>
  <c r="AY252" i="3"/>
  <c r="AY245" i="3"/>
  <c r="AY513" i="3"/>
  <c r="AY60" i="3"/>
  <c r="AY299" i="3"/>
  <c r="AY357" i="3"/>
  <c r="AY114" i="3"/>
  <c r="AY491" i="3"/>
  <c r="AY561" i="3"/>
  <c r="AY237" i="3"/>
  <c r="AY535" i="3"/>
  <c r="AY117" i="3"/>
  <c r="AY130" i="3"/>
  <c r="AY516" i="3"/>
  <c r="AY132" i="3"/>
  <c r="AY326"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1" i="3"/>
  <c r="AY281" i="3"/>
  <c r="AY67" i="3"/>
  <c r="AY318" i="3"/>
  <c r="AY395" i="3"/>
  <c r="AY569" i="3"/>
  <c r="AY206" i="3"/>
  <c r="AY263" i="3"/>
  <c r="BJ6" i="3"/>
  <c r="AY274" i="3"/>
  <c r="AY457" i="3"/>
  <c r="AY546" i="3"/>
  <c r="AY444" i="3"/>
  <c r="AY555" i="3"/>
  <c r="AY254" i="3"/>
  <c r="AY393" i="3"/>
  <c r="AY559" i="3"/>
  <c r="AY220" i="3"/>
  <c r="AY557"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207" i="3"/>
  <c r="AY168" i="3"/>
  <c r="AY139" i="3"/>
  <c r="AY428" i="3"/>
  <c r="AY342" i="3"/>
  <c r="AY553" i="3"/>
  <c r="AY170" i="3"/>
  <c r="AY246" i="3"/>
  <c r="AY41" i="3"/>
  <c r="AY377" i="3"/>
  <c r="AY414" i="3"/>
  <c r="AY16" i="3"/>
  <c r="AY269" i="3"/>
  <c r="AY68" i="3"/>
  <c r="AY365" i="3"/>
  <c r="AY308" i="3"/>
  <c r="AY496" i="3"/>
  <c r="AY412" i="3"/>
  <c r="AY105"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U10" i="40"/>
  <c r="AY521" i="3"/>
  <c r="AY307" i="3"/>
  <c r="AY257" i="3"/>
  <c r="AY200" i="3"/>
  <c r="AY568" i="3"/>
  <c r="AY315" i="3"/>
  <c r="AY522" i="3"/>
  <c r="AY113" i="3"/>
  <c r="AY288" i="3"/>
  <c r="AY216" i="3"/>
  <c r="AY399" i="3"/>
  <c r="AY205" i="3"/>
  <c r="AY323" i="3"/>
  <c r="AY27" i="3"/>
  <c r="AY466" i="3"/>
  <c r="AY167" i="3"/>
  <c r="AY509" i="3"/>
  <c r="AY453" i="3"/>
  <c r="AY266" i="3"/>
  <c r="AY519" i="3"/>
  <c r="AY324" i="3"/>
  <c r="AY286" i="3"/>
  <c r="AY81" i="3"/>
  <c r="AY311" i="3"/>
  <c r="AY197" i="3"/>
  <c r="AY452" i="3"/>
  <c r="AY124" i="3"/>
  <c r="AA10" i="40"/>
  <c r="AY400" i="3"/>
  <c r="AY351" i="3"/>
  <c r="AY293" i="3"/>
  <c r="AY54" i="3"/>
  <c r="AY547" i="3"/>
  <c r="AY265" i="3"/>
  <c r="AY402" i="3"/>
  <c r="AY64" i="3"/>
  <c r="AY22" i="3"/>
  <c r="AY140" i="3"/>
  <c r="AY461" i="3"/>
  <c r="AY504" i="3"/>
  <c r="AY213" i="3"/>
  <c r="AY86" i="3"/>
  <c r="AY331" i="3"/>
  <c r="AY35" i="3"/>
  <c r="D3" i="6"/>
  <c r="D15" i="6" s="1"/>
  <c r="AY487" i="3"/>
  <c r="AY129" i="3"/>
  <c r="AY584" i="3"/>
  <c r="AY275" i="3"/>
  <c r="AY162" i="3"/>
  <c r="AY422" i="3"/>
  <c r="AY171" i="3"/>
  <c r="AY392" i="3"/>
  <c r="AY106" i="3"/>
  <c r="C17" i="4"/>
  <c r="B4" i="52" s="1"/>
  <c r="B43" i="72" s="1"/>
  <c r="M18" i="9"/>
  <c r="B118" i="9" s="1"/>
  <c r="B1" i="74" s="1"/>
  <c r="D3" i="21"/>
  <c r="M16" i="1"/>
  <c r="N16" i="1" s="1"/>
  <c r="AB10" i="39"/>
  <c r="D3" i="37"/>
  <c r="D19" i="11"/>
  <c r="C19" i="11" s="1"/>
  <c r="C20" i="11" s="1"/>
  <c r="C28" i="11" s="1"/>
  <c r="C27" i="11" s="1"/>
  <c r="G47" i="37"/>
  <c r="H47" i="37" s="1"/>
  <c r="I53" i="34"/>
  <c r="J53" i="34" s="1"/>
  <c r="F22" i="11"/>
  <c r="C23" i="11" s="1"/>
  <c r="F24" i="67"/>
  <c r="C24" i="67" s="1"/>
  <c r="F24" i="15"/>
  <c r="C24" i="15" s="1"/>
  <c r="F22" i="69"/>
  <c r="F41" i="69"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0" i="11"/>
  <c r="C10" i="11" s="1"/>
  <c r="D20" i="12"/>
  <c r="C20" i="12" s="1"/>
  <c r="D25"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7" i="82"/>
  <c r="C17" i="67"/>
  <c r="C14" i="83"/>
  <c r="C14" i="67"/>
  <c r="C42" i="84" l="1"/>
  <c r="C43" i="84"/>
  <c r="C26" i="84"/>
  <c r="D22" i="84" s="1"/>
  <c r="C24" i="84"/>
  <c r="C44" i="84"/>
  <c r="D41" i="84" s="1"/>
  <c r="Q37" i="88"/>
  <c r="M37" i="88"/>
  <c r="P37" i="88"/>
  <c r="O37" i="88"/>
  <c r="N37" i="88"/>
  <c r="F41" i="85"/>
  <c r="C24" i="85"/>
  <c r="C26" i="85"/>
  <c r="D22" i="85" s="1"/>
  <c r="C44" i="85"/>
  <c r="D41" i="85" s="1"/>
  <c r="C42" i="85"/>
  <c r="C43" i="85"/>
  <c r="C60" i="15"/>
  <c r="E7" i="70"/>
  <c r="C15" i="83"/>
  <c r="C18" i="83"/>
  <c r="P37" i="43"/>
  <c r="N37" i="43"/>
  <c r="M36" i="43"/>
  <c r="C24" i="83"/>
  <c r="O37" i="43"/>
  <c r="N36" i="43"/>
  <c r="Q37" i="43"/>
  <c r="Q36" i="43"/>
  <c r="P36" i="43"/>
  <c r="O36" i="43"/>
  <c r="N36" i="81"/>
  <c r="Q36" i="81"/>
  <c r="M36" i="81"/>
  <c r="P36" i="81"/>
  <c r="O36" i="81"/>
  <c r="L37" i="81"/>
  <c r="C44" i="68"/>
  <c r="D41" i="68" s="1"/>
  <c r="C26" i="68"/>
  <c r="D22" i="68" s="1"/>
  <c r="F41" i="68"/>
  <c r="H22" i="6"/>
  <c r="H26" i="6"/>
  <c r="D10" i="6"/>
  <c r="D11" i="6"/>
  <c r="D8" i="6"/>
  <c r="C18" i="4"/>
  <c r="D24" i="6"/>
  <c r="E61" i="40"/>
  <c r="D12" i="6"/>
  <c r="D19" i="6"/>
  <c r="H25" i="6"/>
  <c r="R25" i="6" s="1"/>
  <c r="R12" i="1" s="1"/>
  <c r="D9" i="6"/>
  <c r="D26" i="6"/>
  <c r="D21" i="6"/>
  <c r="D28" i="6"/>
  <c r="D30" i="6" s="1"/>
  <c r="D5" i="6"/>
  <c r="H24" i="6"/>
  <c r="D29" i="6"/>
  <c r="D6" i="6"/>
  <c r="M19" i="9"/>
  <c r="C118" i="9" s="1"/>
  <c r="B2" i="74" s="1"/>
  <c r="D22" i="6"/>
  <c r="D13" i="6"/>
  <c r="D23" i="6"/>
  <c r="H21" i="6"/>
  <c r="R21" i="6" s="1"/>
  <c r="R8" i="1" s="1"/>
  <c r="L19" i="9"/>
  <c r="D14" i="6"/>
  <c r="D20" i="6"/>
  <c r="L16" i="1"/>
  <c r="C44" i="11"/>
  <c r="D41" i="11" s="1"/>
  <c r="E53" i="34"/>
  <c r="F53" i="34" s="1"/>
  <c r="C26" i="11"/>
  <c r="D22" i="11" s="1"/>
  <c r="C25" i="11"/>
  <c r="C24" i="11"/>
  <c r="C44" i="69"/>
  <c r="D41" i="69" s="1"/>
  <c r="C26" i="69"/>
  <c r="D22" i="69" s="1"/>
  <c r="C16" i="71"/>
  <c r="D17" i="71"/>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C5" i="69" s="1"/>
  <c r="D19" i="69"/>
  <c r="F50" i="69"/>
  <c r="F50" i="11"/>
  <c r="F50" i="68"/>
  <c r="C4" i="52"/>
  <c r="B45" i="72" s="1"/>
  <c r="A10" i="51"/>
  <c r="B9" i="72" s="1"/>
  <c r="A7" i="51"/>
  <c r="B7" i="72" s="1"/>
  <c r="C10" i="68"/>
  <c r="B29" i="1" s="1"/>
  <c r="C8" i="85"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C34" i="68"/>
  <c r="C14" i="82"/>
  <c r="B6" i="76"/>
  <c r="C41" i="84" l="1"/>
  <c r="C49" i="84" s="1"/>
  <c r="C51" i="84" s="1"/>
  <c r="C41" i="85"/>
  <c r="C49" i="85" s="1"/>
  <c r="C51" i="85" s="1"/>
  <c r="C8" i="68"/>
  <c r="C8" i="84"/>
  <c r="C19" i="83"/>
  <c r="C20" i="83" s="1"/>
  <c r="C23" i="83" s="1"/>
  <c r="R20" i="6"/>
  <c r="R7" i="1" s="1"/>
  <c r="C18" i="82"/>
  <c r="C15" i="82"/>
  <c r="C18" i="12"/>
  <c r="R26" i="6"/>
  <c r="R22" i="6"/>
  <c r="R9" i="1" s="1"/>
  <c r="N37" i="81"/>
  <c r="Q37" i="81"/>
  <c r="M37" i="81"/>
  <c r="P37" i="81"/>
  <c r="O37" i="81"/>
  <c r="D27" i="6"/>
  <c r="D31" i="6" s="1"/>
  <c r="D16" i="6"/>
  <c r="R24" i="6"/>
  <c r="R11" i="1" s="1"/>
  <c r="R23" i="6"/>
  <c r="R10" i="1"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M21" i="82"/>
  <c r="F35" i="83"/>
  <c r="F35" i="82"/>
  <c r="M21" i="83"/>
  <c r="I5" i="6" l="1"/>
  <c r="I6" i="6"/>
  <c r="C21" i="12"/>
  <c r="C22" i="12" s="1"/>
  <c r="C19" i="82"/>
  <c r="C20" i="82" s="1"/>
  <c r="C26" i="83"/>
  <c r="C29" i="83" s="1"/>
  <c r="J20" i="83"/>
  <c r="J17" i="83" s="1"/>
  <c r="C34" i="83"/>
  <c r="C31" i="83" s="1"/>
  <c r="F63" i="83"/>
  <c r="C62" i="83" s="1"/>
  <c r="C59" i="83" s="1"/>
  <c r="C34" i="82"/>
  <c r="C31" i="82" s="1"/>
  <c r="F63" i="82"/>
  <c r="C62" i="82" s="1"/>
  <c r="C59" i="82" s="1"/>
  <c r="J20" i="82"/>
  <c r="J17" i="82" s="1"/>
  <c r="G3" i="81"/>
  <c r="G3"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Q49" i="83" l="1"/>
  <c r="J59" i="83"/>
  <c r="J60" i="83" s="1"/>
  <c r="Q48" i="83" s="1"/>
  <c r="C27" i="12"/>
  <c r="C25" i="12" s="1"/>
  <c r="C30" i="12"/>
  <c r="C28" i="12" s="1"/>
  <c r="C26" i="82"/>
  <c r="C23" i="82"/>
  <c r="C36" i="83"/>
  <c r="J14" i="83"/>
  <c r="C13" i="83"/>
  <c r="C57" i="83"/>
  <c r="C64" i="83" s="1"/>
  <c r="H26" i="43"/>
  <c r="J26" i="43"/>
  <c r="N370" i="46"/>
  <c r="Z7" i="43"/>
  <c r="N94" i="46"/>
  <c r="G26" i="43"/>
  <c r="E26" i="43"/>
  <c r="F26" i="43"/>
  <c r="B116" i="43"/>
  <c r="F26" i="81"/>
  <c r="J26" i="81"/>
  <c r="E26" i="81"/>
  <c r="H26" i="81"/>
  <c r="G26" i="81"/>
  <c r="Z7" i="81"/>
  <c r="B116"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67"/>
  <c r="M21" i="15"/>
  <c r="F35" i="15"/>
  <c r="C32" i="12" l="1"/>
  <c r="B2" i="12" s="1"/>
  <c r="B3" i="12" s="1"/>
  <c r="C29" i="82"/>
  <c r="J13" i="83"/>
  <c r="J23" i="83" s="1"/>
  <c r="J22" i="83"/>
  <c r="C75" i="83"/>
  <c r="C56" i="83"/>
  <c r="C65" i="83" s="1"/>
  <c r="C58" i="83" s="1"/>
  <c r="C67" i="83" s="1"/>
  <c r="C68" i="83" s="1"/>
  <c r="C71" i="83" s="1"/>
  <c r="Q70" i="83"/>
  <c r="C37" i="83"/>
  <c r="C30" i="83" s="1"/>
  <c r="C39" i="83" s="1"/>
  <c r="Q69" i="83" s="1"/>
  <c r="I121" i="81"/>
  <c r="J121" i="81" s="1"/>
  <c r="K121" i="81" s="1"/>
  <c r="L121" i="81" s="1"/>
  <c r="M121" i="81" s="1"/>
  <c r="D122" i="81"/>
  <c r="E122" i="81" s="1"/>
  <c r="F122" i="81" s="1"/>
  <c r="G122" i="81" s="1"/>
  <c r="H122" i="81" s="1"/>
  <c r="D118" i="81"/>
  <c r="E118" i="81" s="1"/>
  <c r="F118" i="81" s="1"/>
  <c r="G118" i="81" s="1"/>
  <c r="H118" i="81" s="1"/>
  <c r="B121" i="81"/>
  <c r="C121" i="81" s="1"/>
  <c r="I120" i="81"/>
  <c r="J120" i="81" s="1"/>
  <c r="K120" i="81" s="1"/>
  <c r="L120" i="81" s="1"/>
  <c r="M120" i="81" s="1"/>
  <c r="D121" i="81"/>
  <c r="E121" i="81" s="1"/>
  <c r="F121" i="81" s="1"/>
  <c r="G121" i="81"/>
  <c r="H121" i="81" s="1"/>
  <c r="B122" i="81"/>
  <c r="C122" i="81" s="1"/>
  <c r="I119" i="81"/>
  <c r="J119" i="81" s="1"/>
  <c r="K119" i="81" s="1"/>
  <c r="L119" i="81" s="1"/>
  <c r="M119" i="81" s="1"/>
  <c r="D120" i="81"/>
  <c r="E120" i="81" s="1"/>
  <c r="F120" i="81" s="1"/>
  <c r="G120" i="81" s="1"/>
  <c r="H120" i="81" s="1"/>
  <c r="B120" i="81"/>
  <c r="C120" i="81" s="1"/>
  <c r="B118" i="81"/>
  <c r="I122" i="81"/>
  <c r="J122" i="81" s="1"/>
  <c r="K122" i="81" s="1"/>
  <c r="L122" i="81" s="1"/>
  <c r="M122" i="81" s="1"/>
  <c r="I118" i="81"/>
  <c r="J118" i="81" s="1"/>
  <c r="K118" i="81" s="1"/>
  <c r="L118" i="81" s="1"/>
  <c r="M118" i="81" s="1"/>
  <c r="D119" i="81"/>
  <c r="E119" i="81" s="1"/>
  <c r="F119" i="81" s="1"/>
  <c r="G119" i="81" s="1"/>
  <c r="H119" i="81" s="1"/>
  <c r="B119" i="81"/>
  <c r="C119" i="81" s="1"/>
  <c r="B119" i="43"/>
  <c r="C119" i="43" s="1"/>
  <c r="B120" i="43"/>
  <c r="C120" i="43" s="1"/>
  <c r="B121" i="43"/>
  <c r="C121" i="43" s="1"/>
  <c r="B122" i="43"/>
  <c r="C122" i="43" s="1"/>
  <c r="I121" i="43"/>
  <c r="J121" i="43" s="1"/>
  <c r="K121" i="43" s="1"/>
  <c r="L121" i="43" s="1"/>
  <c r="M121" i="43" s="1"/>
  <c r="I118" i="43"/>
  <c r="J118" i="43" s="1"/>
  <c r="K118" i="43" s="1"/>
  <c r="L118" i="43" s="1"/>
  <c r="M118" i="43" s="1"/>
  <c r="D118" i="43"/>
  <c r="E118" i="43" s="1"/>
  <c r="F118" i="43" s="1"/>
  <c r="G118" i="43" s="1"/>
  <c r="H118" i="43" s="1"/>
  <c r="D120" i="43"/>
  <c r="E120" i="43" s="1"/>
  <c r="F120" i="43" s="1"/>
  <c r="G120" i="43" s="1"/>
  <c r="H120" i="43" s="1"/>
  <c r="D121" i="43"/>
  <c r="E121" i="43" s="1"/>
  <c r="F121" i="43" s="1"/>
  <c r="I122" i="43"/>
  <c r="J122" i="43" s="1"/>
  <c r="K122" i="43" s="1"/>
  <c r="L122" i="43" s="1"/>
  <c r="M122" i="43" s="1"/>
  <c r="G121" i="43"/>
  <c r="H121" i="43" s="1"/>
  <c r="I119" i="43"/>
  <c r="J119" i="43" s="1"/>
  <c r="K119" i="43" s="1"/>
  <c r="L119" i="43" s="1"/>
  <c r="M119" i="43" s="1"/>
  <c r="D122" i="43"/>
  <c r="E122" i="43" s="1"/>
  <c r="F122" i="43" s="1"/>
  <c r="G122" i="43" s="1"/>
  <c r="H122" i="43" s="1"/>
  <c r="I120" i="43"/>
  <c r="J120" i="43" s="1"/>
  <c r="K120" i="43" s="1"/>
  <c r="L120" i="43" s="1"/>
  <c r="M120" i="43" s="1"/>
  <c r="D119" i="43"/>
  <c r="E119" i="43" s="1"/>
  <c r="F119" i="43" s="1"/>
  <c r="G119" i="43" s="1"/>
  <c r="H119" i="43" s="1"/>
  <c r="B118" i="43"/>
  <c r="D26" i="81"/>
  <c r="C25" i="81" s="1"/>
  <c r="C33" i="81" s="1"/>
  <c r="D26" i="43"/>
  <c r="C25" i="43" s="1"/>
  <c r="C33" i="43"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L51" i="83"/>
  <c r="I42" i="35" l="1"/>
  <c r="J42" i="35" s="1"/>
  <c r="J14" i="82"/>
  <c r="J22" i="82" s="1"/>
  <c r="J59" i="82"/>
  <c r="J60" i="82" s="1"/>
  <c r="Q48" i="82" s="1"/>
  <c r="Q68" i="83"/>
  <c r="C36" i="82"/>
  <c r="Q49" i="82"/>
  <c r="C13" i="82"/>
  <c r="C56" i="82" s="1"/>
  <c r="C65" i="82" s="1"/>
  <c r="C57" i="82"/>
  <c r="C64" i="82" s="1"/>
  <c r="J16" i="83"/>
  <c r="J25" i="83" s="1"/>
  <c r="C80" i="83"/>
  <c r="C79" i="83" s="1"/>
  <c r="C40" i="83"/>
  <c r="Q47" i="83" s="1"/>
  <c r="Q53" i="83" s="1"/>
  <c r="J13" i="82"/>
  <c r="J23" i="82" s="1"/>
  <c r="Q67" i="83"/>
  <c r="L57" i="83"/>
  <c r="L60" i="83" s="1"/>
  <c r="L46" i="83" s="1"/>
  <c r="C118" i="81"/>
  <c r="D116" i="81" s="1"/>
  <c r="E33" i="43"/>
  <c r="C30" i="43" s="1"/>
  <c r="B2" i="43" s="1"/>
  <c r="C6" i="68" s="1"/>
  <c r="C34" i="43"/>
  <c r="E34" i="43" s="1"/>
  <c r="C31" i="43" s="1"/>
  <c r="C118" i="43"/>
  <c r="D116" i="43" s="1"/>
  <c r="E33" i="81"/>
  <c r="C30" i="81" s="1"/>
  <c r="B2" i="81" s="1"/>
  <c r="C34" i="81"/>
  <c r="E34" i="81" s="1"/>
  <c r="C31"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2" i="83" l="1"/>
  <c r="B3" i="83" s="1"/>
  <c r="B3" i="81"/>
  <c r="C6" i="84"/>
  <c r="C75" i="82"/>
  <c r="Q70" i="82"/>
  <c r="C37" i="82"/>
  <c r="C30" i="82" s="1"/>
  <c r="C39" i="82" s="1"/>
  <c r="C40" i="82" s="1"/>
  <c r="C58" i="82"/>
  <c r="C67" i="82" s="1"/>
  <c r="C68" i="82" s="1"/>
  <c r="C71" i="82" s="1"/>
  <c r="Q65" i="83"/>
  <c r="C46" i="83"/>
  <c r="C83" i="83"/>
  <c r="C82" i="83" s="1"/>
  <c r="C43" i="83"/>
  <c r="Q56" i="83"/>
  <c r="J16" i="82"/>
  <c r="J25" i="82" s="1"/>
  <c r="Q57" i="83"/>
  <c r="Q66" i="83"/>
  <c r="B3" i="43"/>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L51" i="67"/>
  <c r="D2" i="33"/>
  <c r="L51" i="82"/>
  <c r="C7" i="85" l="1"/>
  <c r="C5" i="85" s="1"/>
  <c r="C7" i="84"/>
  <c r="C5" i="84" s="1"/>
  <c r="C39" i="15"/>
  <c r="Q69" i="15" s="1"/>
  <c r="Q68" i="15" s="1"/>
  <c r="H33" i="15"/>
  <c r="Q69" i="82"/>
  <c r="Q68" i="82" s="1"/>
  <c r="C80" i="82"/>
  <c r="C79" i="82" s="1"/>
  <c r="Q75" i="83"/>
  <c r="C46" i="82"/>
  <c r="L57" i="82"/>
  <c r="L60" i="82" s="1"/>
  <c r="Q66" i="82" s="1"/>
  <c r="Q67" i="82"/>
  <c r="Q62" i="83"/>
  <c r="Q65" i="82"/>
  <c r="C43" i="82"/>
  <c r="Q47" i="82"/>
  <c r="Q53" i="82" s="1"/>
  <c r="Q56" i="82"/>
  <c r="C83" i="82"/>
  <c r="C82" i="82" s="1"/>
  <c r="C7" i="68"/>
  <c r="C5" i="68" s="1"/>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6"/>
  <c r="D2" i="34"/>
  <c r="D2" i="37"/>
  <c r="C80" i="15" l="1"/>
  <c r="C79" i="15" s="1"/>
  <c r="C40" i="15"/>
  <c r="C46" i="15" s="1"/>
  <c r="C23" i="85"/>
  <c r="C20" i="85"/>
  <c r="C25" i="85" s="1"/>
  <c r="C23" i="84"/>
  <c r="C20" i="84"/>
  <c r="C25" i="84" s="1"/>
  <c r="Q57" i="82"/>
  <c r="Q62" i="82" s="1"/>
  <c r="L46" i="82"/>
  <c r="B2" i="82" s="1"/>
  <c r="B3" i="82" s="1"/>
  <c r="Q75" i="82"/>
  <c r="C23" i="68"/>
  <c r="C20" i="68"/>
  <c r="C8" i="71"/>
  <c r="D9" i="71"/>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L51" i="15"/>
  <c r="AO12" i="1"/>
  <c r="AO8" i="1"/>
  <c r="AO9" i="1"/>
  <c r="AO10" i="1"/>
  <c r="AO11" i="1"/>
  <c r="AO7" i="1"/>
  <c r="C83" i="15" l="1"/>
  <c r="C82" i="15" s="1"/>
  <c r="Q65" i="15"/>
  <c r="Q67" i="15"/>
  <c r="C43" i="15"/>
  <c r="Q56" i="15"/>
  <c r="Q47" i="15"/>
  <c r="Q53" i="15" s="1"/>
  <c r="C22" i="85"/>
  <c r="C28" i="85"/>
  <c r="C27" i="85" s="1"/>
  <c r="C22" i="84"/>
  <c r="C28" i="84"/>
  <c r="C27" i="84" s="1"/>
  <c r="C28" i="68"/>
  <c r="C27" i="68" s="1"/>
  <c r="C25" i="68"/>
  <c r="C2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85" l="1"/>
  <c r="C52" i="85" s="1"/>
  <c r="B2" i="85" s="1"/>
  <c r="C31" i="84"/>
  <c r="C52" i="84" s="1"/>
  <c r="B2" i="84" s="1"/>
  <c r="B6" i="70"/>
  <c r="B2" i="70" s="1"/>
  <c r="B3" i="15"/>
  <c r="C31" i="68"/>
  <c r="C52" i="68" s="1"/>
  <c r="C57" i="68" s="1"/>
  <c r="C56" i="68"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86"/>
  <c r="B3" i="84"/>
  <c r="C19" i="87"/>
  <c r="D19" i="87"/>
  <c r="B3" i="85"/>
  <c r="D19" i="86"/>
  <c r="D19" i="9"/>
  <c r="C21" i="87" l="1"/>
  <c r="C102" i="87"/>
  <c r="C57" i="85"/>
  <c r="C56" i="85" s="1"/>
  <c r="C102" i="86"/>
  <c r="C21" i="86"/>
  <c r="D102" i="87"/>
  <c r="D21" i="87"/>
  <c r="G19" i="87"/>
  <c r="D16" i="74" s="1"/>
  <c r="D22" i="87"/>
  <c r="C57" i="84"/>
  <c r="C56" i="84" s="1"/>
  <c r="D102" i="86"/>
  <c r="D21" i="86"/>
  <c r="G19" i="86"/>
  <c r="D15" i="74" s="1"/>
  <c r="D22" i="86"/>
  <c r="D102" i="9"/>
  <c r="D21" i="9"/>
  <c r="B3" i="70"/>
  <c r="B2" i="68"/>
  <c r="D6" i="71"/>
  <c r="C5" i="71"/>
  <c r="D5" i="71" s="1"/>
  <c r="M24" i="43" s="1"/>
  <c r="C42" i="40"/>
  <c r="C43" i="40"/>
  <c r="E47" i="40"/>
  <c r="F47" i="40" s="1"/>
  <c r="E46" i="40"/>
  <c r="F46" i="40" s="1"/>
  <c r="I47" i="40"/>
  <c r="J47" i="40" s="1"/>
  <c r="C20" i="87"/>
  <c r="C19" i="9"/>
  <c r="D20" i="9"/>
  <c r="C20" i="86"/>
  <c r="D20" i="87"/>
  <c r="D20" i="86"/>
  <c r="C103" i="86" l="1"/>
  <c r="C103" i="87"/>
  <c r="E16" i="74"/>
  <c r="F16" i="74"/>
  <c r="E15" i="74"/>
  <c r="F15" i="74"/>
  <c r="D103" i="87"/>
  <c r="G20" i="87"/>
  <c r="C32" i="87"/>
  <c r="G21" i="87"/>
  <c r="D103" i="86"/>
  <c r="G20" i="86"/>
  <c r="C32" i="86"/>
  <c r="G21" i="86"/>
  <c r="D103" i="9"/>
  <c r="C21" i="9"/>
  <c r="C102" i="9"/>
  <c r="G19" i="9"/>
  <c r="D22" i="9"/>
  <c r="B58" i="40"/>
  <c r="F58" i="40" s="1"/>
  <c r="B54" i="40"/>
  <c r="F54" i="40" s="1"/>
  <c r="B53" i="40"/>
  <c r="F53" i="40" s="1"/>
  <c r="B59" i="40"/>
  <c r="F59" i="40" s="1"/>
  <c r="B52" i="40"/>
  <c r="F52" i="40" s="1"/>
  <c r="B56" i="40"/>
  <c r="F56" i="40" s="1"/>
  <c r="B60" i="40"/>
  <c r="F60" i="40" s="1"/>
  <c r="B57" i="40"/>
  <c r="F57" i="40" s="1"/>
  <c r="B51" i="40"/>
  <c r="F51" i="40" s="1"/>
  <c r="F61" i="40"/>
  <c r="B2" i="40" s="1"/>
  <c r="B3" i="40" s="1"/>
  <c r="D34" i="9"/>
  <c r="B3" i="68"/>
  <c r="C20" i="9"/>
  <c r="D35" i="9"/>
  <c r="G21" i="9" l="1"/>
  <c r="D14" i="74"/>
  <c r="E14" i="74" s="1"/>
  <c r="C35" i="87"/>
  <c r="F118" i="87" s="1"/>
  <c r="H118" i="87"/>
  <c r="C35" i="86"/>
  <c r="F118" i="86" s="1"/>
  <c r="H118" i="86"/>
  <c r="C103" i="9"/>
  <c r="G20" i="9"/>
  <c r="C32" i="9" s="1"/>
  <c r="C35" i="9" s="1"/>
  <c r="C34" i="9" s="1"/>
  <c r="F14" i="74" l="1"/>
  <c r="B5" i="74"/>
  <c r="D5" i="74" s="1"/>
  <c r="C34" i="87"/>
  <c r="D118" i="87" s="1"/>
  <c r="D119" i="87" s="1"/>
  <c r="I118" i="87"/>
  <c r="H119" i="87"/>
  <c r="H101" i="87"/>
  <c r="C104" i="87"/>
  <c r="F119" i="87"/>
  <c r="G118" i="87"/>
  <c r="C34" i="86"/>
  <c r="D118" i="86" s="1"/>
  <c r="D119" i="86" s="1"/>
  <c r="I118" i="86"/>
  <c r="H119" i="86"/>
  <c r="H101" i="86"/>
  <c r="C104" i="86"/>
  <c r="F119" i="86"/>
  <c r="G118" i="86"/>
  <c r="B6" i="74"/>
  <c r="D6" i="74" s="1"/>
  <c r="D118" i="9"/>
  <c r="D119" i="9" s="1"/>
  <c r="D5" i="52" s="1"/>
  <c r="B49" i="72" s="1"/>
  <c r="F118" i="9"/>
  <c r="F4" i="52" s="1"/>
  <c r="B51" i="72" s="1"/>
  <c r="H118" i="9"/>
  <c r="C104" i="9" s="1"/>
  <c r="H107" i="87" l="1"/>
  <c r="M48" i="87"/>
  <c r="D45" i="87"/>
  <c r="E118" i="87"/>
  <c r="C105" i="87"/>
  <c r="H102" i="87"/>
  <c r="H107" i="86"/>
  <c r="M48" i="86"/>
  <c r="D45" i="86"/>
  <c r="E118" i="86"/>
  <c r="C105" i="86"/>
  <c r="H102" i="86"/>
  <c r="F119" i="9"/>
  <c r="F5" i="52" s="1"/>
  <c r="B53" i="72" s="1"/>
  <c r="H101" i="9"/>
  <c r="I118" i="9"/>
  <c r="G118" i="9"/>
  <c r="G4" i="52" s="1"/>
  <c r="B52" i="72" s="1"/>
  <c r="D4" i="52"/>
  <c r="B47" i="72" s="1"/>
  <c r="H119" i="9"/>
  <c r="H5" i="52" s="1"/>
  <c r="H4" i="52"/>
  <c r="C93" i="87" l="1"/>
  <c r="C86" i="87" s="1"/>
  <c r="C85" i="87"/>
  <c r="D55" i="87"/>
  <c r="M53" i="87" s="1"/>
  <c r="C72" i="87"/>
  <c r="C64" i="87"/>
  <c r="C63" i="87" s="1"/>
  <c r="C67" i="87" s="1"/>
  <c r="D53" i="87"/>
  <c r="C78" i="87"/>
  <c r="C73" i="87" s="1"/>
  <c r="D52" i="87"/>
  <c r="H108" i="87"/>
  <c r="M49" i="87"/>
  <c r="D122" i="87"/>
  <c r="D123" i="87" s="1"/>
  <c r="C85" i="86"/>
  <c r="D55" i="86"/>
  <c r="M53" i="86" s="1"/>
  <c r="C72" i="86"/>
  <c r="C64" i="86"/>
  <c r="C63" i="86" s="1"/>
  <c r="C67" i="86" s="1"/>
  <c r="D53" i="86"/>
  <c r="C93" i="86"/>
  <c r="C86" i="86" s="1"/>
  <c r="C78" i="86"/>
  <c r="C73" i="86" s="1"/>
  <c r="D52" i="86"/>
  <c r="H108" i="86"/>
  <c r="M49" i="86"/>
  <c r="D122" i="86"/>
  <c r="D123" i="86" s="1"/>
  <c r="E118" i="9"/>
  <c r="E4" i="52" s="1"/>
  <c r="B48" i="72" s="1"/>
  <c r="I4" i="52"/>
  <c r="C105" i="9"/>
  <c r="H102" i="9"/>
  <c r="M48" i="9"/>
  <c r="D45" i="9"/>
  <c r="H107" i="9"/>
  <c r="D5" i="53"/>
  <c r="C79" i="87" l="1"/>
  <c r="L66" i="87"/>
  <c r="M66" i="87" s="1"/>
  <c r="L64" i="87"/>
  <c r="M64" i="87" s="1"/>
  <c r="L63" i="87"/>
  <c r="M63" i="87" s="1"/>
  <c r="L68" i="87"/>
  <c r="M68" i="87" s="1"/>
  <c r="L67" i="87"/>
  <c r="M67" i="87" s="1"/>
  <c r="L65" i="87"/>
  <c r="M65" i="87" s="1"/>
  <c r="C95" i="87"/>
  <c r="D59" i="87"/>
  <c r="M55" i="87" s="1"/>
  <c r="C68" i="87"/>
  <c r="D54" i="87" s="1"/>
  <c r="D59" i="86"/>
  <c r="M55" i="86" s="1"/>
  <c r="C68" i="86"/>
  <c r="D54" i="86" s="1"/>
  <c r="L66" i="86"/>
  <c r="M66" i="86" s="1"/>
  <c r="L64" i="86"/>
  <c r="M64" i="86" s="1"/>
  <c r="L63" i="86"/>
  <c r="M63" i="86" s="1"/>
  <c r="L68" i="86"/>
  <c r="M68" i="86" s="1"/>
  <c r="L67" i="86"/>
  <c r="M67" i="86" s="1"/>
  <c r="L65" i="86"/>
  <c r="M65" i="86" s="1"/>
  <c r="C79" i="86"/>
  <c r="C95" i="86"/>
  <c r="B20" i="72"/>
  <c r="D6" i="53"/>
  <c r="B22" i="72" s="1"/>
  <c r="C5" i="74"/>
  <c r="D7" i="53"/>
  <c r="B21" i="72" s="1"/>
  <c r="D122" i="9"/>
  <c r="H108" i="9"/>
  <c r="M49" i="9"/>
  <c r="D13" i="53"/>
  <c r="D55" i="9"/>
  <c r="M53" i="9" s="1"/>
  <c r="C85" i="9"/>
  <c r="D52" i="9"/>
  <c r="C78" i="9"/>
  <c r="C73" i="9" s="1"/>
  <c r="C72" i="9"/>
  <c r="C64" i="9"/>
  <c r="C63" i="9" s="1"/>
  <c r="C67" i="9" s="1"/>
  <c r="C93" i="9"/>
  <c r="C86" i="9" s="1"/>
  <c r="D53" i="9"/>
  <c r="M69" i="87" l="1"/>
  <c r="N69" i="87" s="1"/>
  <c r="M69" i="86"/>
  <c r="N69" i="86" s="1"/>
  <c r="C96" i="87"/>
  <c r="E96" i="87" s="1"/>
  <c r="E97" i="87" s="1"/>
  <c r="C80" i="87"/>
  <c r="E80" i="87" s="1"/>
  <c r="E81" i="87" s="1"/>
  <c r="C96" i="86"/>
  <c r="E96" i="86" s="1"/>
  <c r="E97" i="86" s="1"/>
  <c r="C80" i="86"/>
  <c r="E80" i="86" s="1"/>
  <c r="E81" i="86" s="1"/>
  <c r="C79" i="9"/>
  <c r="C80" i="9" s="1"/>
  <c r="E80" i="9" s="1"/>
  <c r="E81" i="9" s="1"/>
  <c r="C95" i="9"/>
  <c r="C6" i="74"/>
  <c r="D15" i="53"/>
  <c r="B31" i="72" s="1"/>
  <c r="D14" i="53"/>
  <c r="B32" i="72" s="1"/>
  <c r="B30" i="72"/>
  <c r="L68" i="9"/>
  <c r="M68" i="9" s="1"/>
  <c r="L65" i="9"/>
  <c r="M65" i="9" s="1"/>
  <c r="L64" i="9"/>
  <c r="M64" i="9" s="1"/>
  <c r="L67" i="9"/>
  <c r="M67" i="9" s="1"/>
  <c r="L66" i="9"/>
  <c r="M66" i="9" s="1"/>
  <c r="L63" i="9"/>
  <c r="M63" i="9" s="1"/>
  <c r="D59" i="9"/>
  <c r="M55" i="9" s="1"/>
  <c r="C68" i="9"/>
  <c r="D54" i="9" s="1"/>
  <c r="D8" i="52"/>
  <c r="D123" i="9"/>
  <c r="D9" i="52" s="1"/>
  <c r="C81" i="86" l="1"/>
  <c r="C97" i="86"/>
  <c r="D58" i="86" s="1"/>
  <c r="D56" i="86" s="1"/>
  <c r="M54" i="86" s="1"/>
  <c r="N57" i="86" s="1"/>
  <c r="N58" i="86" s="1"/>
  <c r="C97" i="87"/>
  <c r="D58" i="87" s="1"/>
  <c r="D56" i="87" s="1"/>
  <c r="M54" i="87" s="1"/>
  <c r="N57" i="87" s="1"/>
  <c r="N58" i="87" s="1"/>
  <c r="C81" i="87"/>
  <c r="M69" i="9"/>
  <c r="N69" i="9" s="1"/>
  <c r="C81" i="9"/>
  <c r="C96" i="9"/>
  <c r="E96" i="9" s="1"/>
  <c r="E97" i="9" s="1"/>
  <c r="N59" i="86" l="1"/>
  <c r="N60" i="86" s="1"/>
  <c r="N59" i="87"/>
  <c r="N61" i="87" s="1"/>
  <c r="P57" i="87"/>
  <c r="P57" i="86"/>
  <c r="C97" i="9"/>
  <c r="D58" i="9" s="1"/>
  <c r="D56" i="9" s="1"/>
  <c r="M54" i="9" s="1"/>
  <c r="N57" i="9" s="1"/>
  <c r="P57" i="9" s="1"/>
  <c r="N61" i="86" l="1"/>
  <c r="N60" i="87"/>
  <c r="N59" i="9"/>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F9937B8-1AE4-4747-B4E3-F5E5430DB09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C8696BD0-9DF2-42FA-A78F-90F69FA206DA}">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13AC9C9-CD9B-43D5-93C7-2B4F774F90B9}">
      <text>
        <r>
          <rPr>
            <sz val="11"/>
            <color indexed="81"/>
            <rFont val="宋体"/>
            <family val="3"/>
            <charset val="134"/>
          </rPr>
          <t>需在下方列示计算过程</t>
        </r>
        <r>
          <rPr>
            <sz val="9"/>
            <color indexed="81"/>
            <rFont val="宋体"/>
            <family val="3"/>
            <charset val="134"/>
          </rPr>
          <t xml:space="preserve">
</t>
        </r>
      </text>
    </comment>
    <comment ref="H75" authorId="2" shapeId="0" xr:uid="{F423985F-09A7-42B3-99AD-FF83AB1A34C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A355B00D-695F-41D0-B4D3-A6192A7510C1}">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551913-00E0-41EE-857D-6257285A841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05379E3-2071-4BBB-A043-8AF57FE9C7F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B1B7C233-D65D-4508-9CB0-3EE7216FDDC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B537B43-A430-45C5-B16D-6450F3D7472D}">
      <text>
        <r>
          <rPr>
            <sz val="11"/>
            <color indexed="81"/>
            <rFont val="宋体"/>
            <family val="3"/>
            <charset val="134"/>
          </rPr>
          <t>在建项目均选择“是”</t>
        </r>
      </text>
    </comment>
    <comment ref="F59" authorId="1" shapeId="0" xr:uid="{BF2D5869-6FD7-4A1A-9E91-D5F64C84B86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9DC20061-9738-4C63-8B3A-CA51EB97D100}">
      <text>
        <r>
          <rPr>
            <sz val="10"/>
            <color indexed="81"/>
            <rFont val="宋体"/>
            <family val="3"/>
            <charset val="134"/>
          </rPr>
          <t xml:space="preserve">在建
</t>
        </r>
      </text>
    </comment>
    <comment ref="N59" authorId="0" shapeId="0" xr:uid="{28DBC72B-A668-4A7D-A175-FCC374A258A4}">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271A1670-A17B-4DB5-ABE6-5BBAB292E025}">
      <text>
        <r>
          <rPr>
            <b/>
            <sz val="9"/>
            <color indexed="81"/>
            <rFont val="宋体"/>
            <family val="3"/>
            <charset val="134"/>
          </rPr>
          <t>对应区片地价表</t>
        </r>
        <r>
          <rPr>
            <sz val="9"/>
            <color indexed="81"/>
            <rFont val="宋体"/>
            <family val="3"/>
            <charset val="134"/>
          </rPr>
          <t xml:space="preserve">
</t>
        </r>
      </text>
    </comment>
    <comment ref="Y9" authorId="1" shapeId="0" xr:uid="{3C5AD215-9DD2-4EE7-AED0-0CBC8070BAB2}">
      <text>
        <r>
          <rPr>
            <sz val="11"/>
            <color indexed="81"/>
            <rFont val="宋体"/>
            <family val="3"/>
            <charset val="134"/>
          </rPr>
          <t xml:space="preserve">录入层数，将对应的结果录入至左侧相应层的楼层修正系数单元格中
</t>
        </r>
      </text>
    </comment>
    <comment ref="C16" authorId="1" shapeId="0" xr:uid="{421FCEB2-0ADA-4E08-B5B1-1E4088C4D8B2}">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8C681054-DE7C-4741-B5BA-5885AEB00C9D}">
      <text>
        <r>
          <rPr>
            <sz val="12"/>
            <color indexed="81"/>
            <rFont val="宋体"/>
            <family val="3"/>
            <charset val="134"/>
          </rPr>
          <t>1.05~1.1</t>
        </r>
        <r>
          <rPr>
            <sz val="9"/>
            <color indexed="81"/>
            <rFont val="宋体"/>
            <family val="3"/>
            <charset val="134"/>
          </rPr>
          <t xml:space="preserve">
</t>
        </r>
      </text>
    </comment>
    <comment ref="E16" authorId="1" shapeId="0" xr:uid="{76EC292A-3B7B-40B0-97F4-96E7545838E8}">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65AD3E0C-E04A-48CD-BA36-DEA6EE9A6427}">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E9157070-2C43-432C-8E02-1FCE3329F277}">
      <text>
        <r>
          <rPr>
            <b/>
            <sz val="14"/>
            <color indexed="81"/>
            <rFont val="宋体"/>
            <family val="3"/>
            <charset val="134"/>
          </rPr>
          <t>工业选“中心城区”</t>
        </r>
        <r>
          <rPr>
            <sz val="9"/>
            <color indexed="81"/>
            <rFont val="宋体"/>
            <family val="3"/>
            <charset val="134"/>
          </rPr>
          <t xml:space="preserve">
</t>
        </r>
      </text>
    </comment>
    <comment ref="B35" authorId="4" shapeId="0" xr:uid="{766BF5C4-800D-4049-9676-52061E694477}">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3F611D98-87D5-4C67-8C66-F4E4D87B6EDE}">
      <text>
        <r>
          <rPr>
            <sz val="9"/>
            <color indexed="81"/>
            <rFont val="宋体"/>
            <family val="3"/>
            <charset val="134"/>
          </rPr>
          <t xml:space="preserve">需在此处填写剩余土地年限
</t>
        </r>
      </text>
    </comment>
    <comment ref="C111" authorId="0" shapeId="0" xr:uid="{8CC7313F-95D6-4916-9B14-0816FC9E3D7B}">
      <text>
        <r>
          <rPr>
            <b/>
            <sz val="9"/>
            <color indexed="81"/>
            <rFont val="宋体"/>
            <family val="3"/>
            <charset val="134"/>
          </rPr>
          <t xml:space="preserve">所在楼层
</t>
        </r>
        <r>
          <rPr>
            <sz val="9"/>
            <color indexed="81"/>
            <rFont val="宋体"/>
            <family val="3"/>
            <charset val="134"/>
          </rPr>
          <t xml:space="preserve">
</t>
        </r>
      </text>
    </comment>
    <comment ref="D111" authorId="0" shapeId="0" xr:uid="{E12208A0-5EB7-468E-A90B-00485FDA59CB}">
      <text>
        <r>
          <rPr>
            <b/>
            <sz val="9"/>
            <color indexed="81"/>
            <rFont val="宋体"/>
            <family val="3"/>
            <charset val="134"/>
          </rPr>
          <t xml:space="preserve">所在楼层
</t>
        </r>
        <r>
          <rPr>
            <sz val="9"/>
            <color indexed="81"/>
            <rFont val="宋体"/>
            <family val="3"/>
            <charset val="134"/>
          </rPr>
          <t xml:space="preserve">
</t>
        </r>
      </text>
    </comment>
    <comment ref="E111" authorId="0" shapeId="0" xr:uid="{0547514E-AC63-46EB-8145-2934E931205F}">
      <text>
        <r>
          <rPr>
            <b/>
            <sz val="9"/>
            <color indexed="81"/>
            <rFont val="宋体"/>
            <family val="3"/>
            <charset val="134"/>
          </rPr>
          <t xml:space="preserve">所在楼层
</t>
        </r>
        <r>
          <rPr>
            <sz val="9"/>
            <color indexed="81"/>
            <rFont val="宋体"/>
            <family val="3"/>
            <charset val="134"/>
          </rPr>
          <t xml:space="preserve">
</t>
        </r>
      </text>
    </comment>
    <comment ref="F111" authorId="0" shapeId="0" xr:uid="{CAB1F84A-86FB-4E3F-A3A7-F577EDBCDC18}">
      <text>
        <r>
          <rPr>
            <b/>
            <sz val="9"/>
            <color indexed="81"/>
            <rFont val="宋体"/>
            <family val="3"/>
            <charset val="134"/>
          </rPr>
          <t xml:space="preserve">所在楼层
</t>
        </r>
        <r>
          <rPr>
            <sz val="9"/>
            <color indexed="81"/>
            <rFont val="宋体"/>
            <family val="3"/>
            <charset val="134"/>
          </rPr>
          <t xml:space="preserve">
</t>
        </r>
      </text>
    </comment>
    <comment ref="G111" authorId="0" shapeId="0" xr:uid="{7C392A54-6067-4561-BF0A-C439C76B16F0}">
      <text>
        <r>
          <rPr>
            <b/>
            <sz val="9"/>
            <color indexed="81"/>
            <rFont val="宋体"/>
            <family val="3"/>
            <charset val="134"/>
          </rPr>
          <t xml:space="preserve">所在楼层
</t>
        </r>
        <r>
          <rPr>
            <sz val="9"/>
            <color indexed="81"/>
            <rFont val="宋体"/>
            <family val="3"/>
            <charset val="134"/>
          </rPr>
          <t xml:space="preserve">
</t>
        </r>
      </text>
    </comment>
    <comment ref="H111" authorId="0" shapeId="0" xr:uid="{96CB878E-1250-4A4B-99C5-F8D0F38452E2}">
      <text>
        <r>
          <rPr>
            <b/>
            <sz val="9"/>
            <color indexed="81"/>
            <rFont val="宋体"/>
            <family val="3"/>
            <charset val="134"/>
          </rPr>
          <t xml:space="preserve">所在楼层
</t>
        </r>
        <r>
          <rPr>
            <sz val="9"/>
            <color indexed="81"/>
            <rFont val="宋体"/>
            <family val="3"/>
            <charset val="134"/>
          </rPr>
          <t xml:space="preserve">
</t>
        </r>
      </text>
    </comment>
    <comment ref="I111" authorId="0" shapeId="0" xr:uid="{FAFAC0DB-9E3C-4B32-8CB5-639B1F733CCB}">
      <text>
        <r>
          <rPr>
            <b/>
            <sz val="9"/>
            <color indexed="81"/>
            <rFont val="宋体"/>
            <family val="3"/>
            <charset val="134"/>
          </rPr>
          <t xml:space="preserve">所在楼层
</t>
        </r>
        <r>
          <rPr>
            <sz val="9"/>
            <color indexed="81"/>
            <rFont val="宋体"/>
            <family val="3"/>
            <charset val="134"/>
          </rPr>
          <t xml:space="preserve">
</t>
        </r>
      </text>
    </comment>
    <comment ref="J111" authorId="0" shapeId="0" xr:uid="{65AAF705-8F91-4100-88CB-11CD02F6DBEA}">
      <text>
        <r>
          <rPr>
            <b/>
            <sz val="9"/>
            <color indexed="81"/>
            <rFont val="宋体"/>
            <family val="3"/>
            <charset val="134"/>
          </rPr>
          <t xml:space="preserve">所在楼层
</t>
        </r>
        <r>
          <rPr>
            <sz val="9"/>
            <color indexed="81"/>
            <rFont val="宋体"/>
            <family val="3"/>
            <charset val="134"/>
          </rPr>
          <t xml:space="preserve">
</t>
        </r>
      </text>
    </comment>
    <comment ref="K111" authorId="0" shapeId="0" xr:uid="{DFD3D8EB-F345-4F06-8628-E23865666FA7}">
      <text>
        <r>
          <rPr>
            <b/>
            <sz val="9"/>
            <color indexed="81"/>
            <rFont val="宋体"/>
            <family val="3"/>
            <charset val="134"/>
          </rPr>
          <t xml:space="preserve">所在楼层
</t>
        </r>
        <r>
          <rPr>
            <sz val="9"/>
            <color indexed="81"/>
            <rFont val="宋体"/>
            <family val="3"/>
            <charset val="134"/>
          </rPr>
          <t xml:space="preserve">
</t>
        </r>
      </text>
    </comment>
    <comment ref="L111" authorId="0" shapeId="0" xr:uid="{3CE70716-8067-45CA-90F4-3028763A947D}">
      <text>
        <r>
          <rPr>
            <b/>
            <sz val="9"/>
            <color indexed="81"/>
            <rFont val="宋体"/>
            <family val="3"/>
            <charset val="134"/>
          </rPr>
          <t xml:space="preserve">所在楼层
</t>
        </r>
        <r>
          <rPr>
            <sz val="9"/>
            <color indexed="81"/>
            <rFont val="宋体"/>
            <family val="3"/>
            <charset val="134"/>
          </rPr>
          <t xml:space="preserve">
</t>
        </r>
      </text>
    </comment>
    <comment ref="M111" authorId="0" shapeId="0" xr:uid="{8E556259-162D-4181-8B7B-9DEC8C1DC5F3}">
      <text>
        <r>
          <rPr>
            <b/>
            <sz val="9"/>
            <color indexed="81"/>
            <rFont val="宋体"/>
            <family val="3"/>
            <charset val="134"/>
          </rPr>
          <t xml:space="preserve">所在楼层
</t>
        </r>
        <r>
          <rPr>
            <sz val="9"/>
            <color indexed="81"/>
            <rFont val="宋体"/>
            <family val="3"/>
            <charset val="134"/>
          </rPr>
          <t xml:space="preserve">
</t>
        </r>
      </text>
    </comment>
    <comment ref="N111" authorId="0" shapeId="0" xr:uid="{D294042E-0310-47A8-B3C9-F36A531479BE}">
      <text>
        <r>
          <rPr>
            <b/>
            <sz val="9"/>
            <color indexed="81"/>
            <rFont val="宋体"/>
            <family val="3"/>
            <charset val="134"/>
          </rPr>
          <t xml:space="preserve">所在楼层
</t>
        </r>
        <r>
          <rPr>
            <sz val="9"/>
            <color indexed="81"/>
            <rFont val="宋体"/>
            <family val="3"/>
            <charset val="134"/>
          </rPr>
          <t xml:space="preserve">
</t>
        </r>
      </text>
    </comment>
    <comment ref="D116" authorId="0" shapeId="0" xr:uid="{4793D4AB-F8AC-4020-8DC1-F4164BB8DD9C}">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D72CBF9-44C1-4DDE-A2F8-C1E43EEB63C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27343F7-8BB2-4D1E-BE1D-FEC33A62625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F27E73F-4DD0-4BDF-8D12-3311EB290891}">
      <text>
        <r>
          <rPr>
            <sz val="11"/>
            <color indexed="81"/>
            <rFont val="宋体"/>
            <family val="3"/>
            <charset val="134"/>
          </rPr>
          <t>需在下方列示计算过程</t>
        </r>
        <r>
          <rPr>
            <sz val="9"/>
            <color indexed="81"/>
            <rFont val="宋体"/>
            <family val="3"/>
            <charset val="134"/>
          </rPr>
          <t xml:space="preserve">
</t>
        </r>
      </text>
    </comment>
    <comment ref="H75" authorId="2" shapeId="0" xr:uid="{188EE063-7263-4D24-AE0B-50337D5A36A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7116AA9C-4423-4B3F-878E-FEE90157618E}">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AB38DA94-2B48-4B25-93B4-7F34928E766F}">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9DAB5A8-6A26-4366-8F7C-8B2FE04F305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DB6D58A7-4800-464E-938B-B0195A1E3176}">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3871512-93EC-46B6-9CD8-12568479920A}">
      <text>
        <r>
          <rPr>
            <sz val="11"/>
            <color indexed="81"/>
            <rFont val="宋体"/>
            <family val="3"/>
            <charset val="134"/>
          </rPr>
          <t>在建项目均选择“是”</t>
        </r>
      </text>
    </comment>
    <comment ref="F59" authorId="1" shapeId="0" xr:uid="{6FA572FA-5A15-4FBA-AD87-9221AD5BA35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C094A53-E798-411D-BFC5-7B31FDE7BD4F}">
      <text>
        <r>
          <rPr>
            <sz val="10"/>
            <color indexed="81"/>
            <rFont val="宋体"/>
            <family val="3"/>
            <charset val="134"/>
          </rPr>
          <t xml:space="preserve">在建
</t>
        </r>
      </text>
    </comment>
    <comment ref="N59" authorId="0" shapeId="0" xr:uid="{5AB6F872-2A53-43D8-B4D8-4416A944DCFE}">
      <text>
        <r>
          <rPr>
            <sz val="10"/>
            <color indexed="81"/>
            <rFont val="宋体"/>
            <family val="3"/>
            <charset val="134"/>
          </rPr>
          <t xml:space="preserve">土地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ED903EF4-3B7E-47A8-8827-8FCD7E0E36FE}">
      <text>
        <r>
          <rPr>
            <b/>
            <sz val="9"/>
            <color indexed="81"/>
            <rFont val="宋体"/>
            <family val="3"/>
            <charset val="134"/>
          </rPr>
          <t>对应区片地价表</t>
        </r>
        <r>
          <rPr>
            <sz val="9"/>
            <color indexed="81"/>
            <rFont val="宋体"/>
            <family val="3"/>
            <charset val="134"/>
          </rPr>
          <t xml:space="preserve">
</t>
        </r>
      </text>
    </comment>
    <comment ref="Y9" authorId="1" shapeId="0" xr:uid="{04E98762-64C1-4F49-918E-D5A3C0BE8622}">
      <text>
        <r>
          <rPr>
            <sz val="11"/>
            <color indexed="81"/>
            <rFont val="宋体"/>
            <family val="3"/>
            <charset val="134"/>
          </rPr>
          <t xml:space="preserve">录入层数，将对应的结果录入至左侧相应层的楼层修正系数单元格中
</t>
        </r>
      </text>
    </comment>
    <comment ref="C16" authorId="1" shapeId="0" xr:uid="{DE7EBFC3-7431-4F5A-B025-551F29E33F0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5ED7C254-A4F0-4E52-976E-1DB3FD483DE3}">
      <text>
        <r>
          <rPr>
            <sz val="12"/>
            <color indexed="81"/>
            <rFont val="宋体"/>
            <family val="3"/>
            <charset val="134"/>
          </rPr>
          <t>1.05~1.1</t>
        </r>
        <r>
          <rPr>
            <sz val="9"/>
            <color indexed="81"/>
            <rFont val="宋体"/>
            <family val="3"/>
            <charset val="134"/>
          </rPr>
          <t xml:space="preserve">
</t>
        </r>
      </text>
    </comment>
    <comment ref="E16" authorId="1" shapeId="0" xr:uid="{733BE2CE-FCAC-41D3-8A25-0FF428D1602A}">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48C03572-C1FC-4050-830C-041FB964FC9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E57C6799-EC12-41FC-9FB9-88EC76242516}">
      <text>
        <r>
          <rPr>
            <b/>
            <sz val="14"/>
            <color indexed="81"/>
            <rFont val="宋体"/>
            <family val="3"/>
            <charset val="134"/>
          </rPr>
          <t>工业选“中心城区”</t>
        </r>
        <r>
          <rPr>
            <sz val="9"/>
            <color indexed="81"/>
            <rFont val="宋体"/>
            <family val="3"/>
            <charset val="134"/>
          </rPr>
          <t xml:space="preserve">
</t>
        </r>
      </text>
    </comment>
    <comment ref="B35" authorId="4" shapeId="0" xr:uid="{BB038DFC-DE62-4117-822E-8C92DE1916AC}">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83838E31-FEA6-461F-A150-46EDCA350860}">
      <text>
        <r>
          <rPr>
            <sz val="9"/>
            <color indexed="81"/>
            <rFont val="宋体"/>
            <family val="3"/>
            <charset val="134"/>
          </rPr>
          <t xml:space="preserve">需在此处填写剩余土地年限
</t>
        </r>
      </text>
    </comment>
    <comment ref="C111" authorId="0" shapeId="0" xr:uid="{2F4F48D1-B9C7-4BCD-A551-15AA7AC5BD07}">
      <text>
        <r>
          <rPr>
            <b/>
            <sz val="9"/>
            <color indexed="81"/>
            <rFont val="宋体"/>
            <family val="3"/>
            <charset val="134"/>
          </rPr>
          <t xml:space="preserve">所在楼层
</t>
        </r>
        <r>
          <rPr>
            <sz val="9"/>
            <color indexed="81"/>
            <rFont val="宋体"/>
            <family val="3"/>
            <charset val="134"/>
          </rPr>
          <t xml:space="preserve">
</t>
        </r>
      </text>
    </comment>
    <comment ref="D111" authorId="0" shapeId="0" xr:uid="{EC473E0F-155A-42E5-BD01-E9117D6D5AC2}">
      <text>
        <r>
          <rPr>
            <b/>
            <sz val="9"/>
            <color indexed="81"/>
            <rFont val="宋体"/>
            <family val="3"/>
            <charset val="134"/>
          </rPr>
          <t xml:space="preserve">所在楼层
</t>
        </r>
        <r>
          <rPr>
            <sz val="9"/>
            <color indexed="81"/>
            <rFont val="宋体"/>
            <family val="3"/>
            <charset val="134"/>
          </rPr>
          <t xml:space="preserve">
</t>
        </r>
      </text>
    </comment>
    <comment ref="E111" authorId="0" shapeId="0" xr:uid="{8C15E747-8D28-487E-ADDE-47E54BB8FC34}">
      <text>
        <r>
          <rPr>
            <b/>
            <sz val="9"/>
            <color indexed="81"/>
            <rFont val="宋体"/>
            <family val="3"/>
            <charset val="134"/>
          </rPr>
          <t xml:space="preserve">所在楼层
</t>
        </r>
        <r>
          <rPr>
            <sz val="9"/>
            <color indexed="81"/>
            <rFont val="宋体"/>
            <family val="3"/>
            <charset val="134"/>
          </rPr>
          <t xml:space="preserve">
</t>
        </r>
      </text>
    </comment>
    <comment ref="F111" authorId="0" shapeId="0" xr:uid="{87ECB5B7-6AE3-468E-871A-5754CEC9DD1B}">
      <text>
        <r>
          <rPr>
            <b/>
            <sz val="9"/>
            <color indexed="81"/>
            <rFont val="宋体"/>
            <family val="3"/>
            <charset val="134"/>
          </rPr>
          <t xml:space="preserve">所在楼层
</t>
        </r>
        <r>
          <rPr>
            <sz val="9"/>
            <color indexed="81"/>
            <rFont val="宋体"/>
            <family val="3"/>
            <charset val="134"/>
          </rPr>
          <t xml:space="preserve">
</t>
        </r>
      </text>
    </comment>
    <comment ref="G111" authorId="0" shapeId="0" xr:uid="{D3909847-1A8F-4717-9429-FF3A2808C87F}">
      <text>
        <r>
          <rPr>
            <b/>
            <sz val="9"/>
            <color indexed="81"/>
            <rFont val="宋体"/>
            <family val="3"/>
            <charset val="134"/>
          </rPr>
          <t xml:space="preserve">所在楼层
</t>
        </r>
        <r>
          <rPr>
            <sz val="9"/>
            <color indexed="81"/>
            <rFont val="宋体"/>
            <family val="3"/>
            <charset val="134"/>
          </rPr>
          <t xml:space="preserve">
</t>
        </r>
      </text>
    </comment>
    <comment ref="H111" authorId="0" shapeId="0" xr:uid="{41228FCF-A817-4C7E-AABC-60218C6C6715}">
      <text>
        <r>
          <rPr>
            <b/>
            <sz val="9"/>
            <color indexed="81"/>
            <rFont val="宋体"/>
            <family val="3"/>
            <charset val="134"/>
          </rPr>
          <t xml:space="preserve">所在楼层
</t>
        </r>
        <r>
          <rPr>
            <sz val="9"/>
            <color indexed="81"/>
            <rFont val="宋体"/>
            <family val="3"/>
            <charset val="134"/>
          </rPr>
          <t xml:space="preserve">
</t>
        </r>
      </text>
    </comment>
    <comment ref="I111" authorId="0" shapeId="0" xr:uid="{17461CE8-2E35-4322-B753-D50E366AB806}">
      <text>
        <r>
          <rPr>
            <b/>
            <sz val="9"/>
            <color indexed="81"/>
            <rFont val="宋体"/>
            <family val="3"/>
            <charset val="134"/>
          </rPr>
          <t xml:space="preserve">所在楼层
</t>
        </r>
        <r>
          <rPr>
            <sz val="9"/>
            <color indexed="81"/>
            <rFont val="宋体"/>
            <family val="3"/>
            <charset val="134"/>
          </rPr>
          <t xml:space="preserve">
</t>
        </r>
      </text>
    </comment>
    <comment ref="J111" authorId="0" shapeId="0" xr:uid="{EAF754B6-715F-49F7-A939-C2E4AD6174AE}">
      <text>
        <r>
          <rPr>
            <b/>
            <sz val="9"/>
            <color indexed="81"/>
            <rFont val="宋体"/>
            <family val="3"/>
            <charset val="134"/>
          </rPr>
          <t xml:space="preserve">所在楼层
</t>
        </r>
        <r>
          <rPr>
            <sz val="9"/>
            <color indexed="81"/>
            <rFont val="宋体"/>
            <family val="3"/>
            <charset val="134"/>
          </rPr>
          <t xml:space="preserve">
</t>
        </r>
      </text>
    </comment>
    <comment ref="K111" authorId="0" shapeId="0" xr:uid="{668253B1-089A-4AD6-AECE-40838DC08F78}">
      <text>
        <r>
          <rPr>
            <b/>
            <sz val="9"/>
            <color indexed="81"/>
            <rFont val="宋体"/>
            <family val="3"/>
            <charset val="134"/>
          </rPr>
          <t xml:space="preserve">所在楼层
</t>
        </r>
        <r>
          <rPr>
            <sz val="9"/>
            <color indexed="81"/>
            <rFont val="宋体"/>
            <family val="3"/>
            <charset val="134"/>
          </rPr>
          <t xml:space="preserve">
</t>
        </r>
      </text>
    </comment>
    <comment ref="L111" authorId="0" shapeId="0" xr:uid="{0E5F51D3-F519-49E1-BA67-80AB730D7ADF}">
      <text>
        <r>
          <rPr>
            <b/>
            <sz val="9"/>
            <color indexed="81"/>
            <rFont val="宋体"/>
            <family val="3"/>
            <charset val="134"/>
          </rPr>
          <t xml:space="preserve">所在楼层
</t>
        </r>
        <r>
          <rPr>
            <sz val="9"/>
            <color indexed="81"/>
            <rFont val="宋体"/>
            <family val="3"/>
            <charset val="134"/>
          </rPr>
          <t xml:space="preserve">
</t>
        </r>
      </text>
    </comment>
    <comment ref="M111" authorId="0" shapeId="0" xr:uid="{DB890265-6905-4ECD-903F-1497740FEE25}">
      <text>
        <r>
          <rPr>
            <b/>
            <sz val="9"/>
            <color indexed="81"/>
            <rFont val="宋体"/>
            <family val="3"/>
            <charset val="134"/>
          </rPr>
          <t xml:space="preserve">所在楼层
</t>
        </r>
        <r>
          <rPr>
            <sz val="9"/>
            <color indexed="81"/>
            <rFont val="宋体"/>
            <family val="3"/>
            <charset val="134"/>
          </rPr>
          <t xml:space="preserve">
</t>
        </r>
      </text>
    </comment>
    <comment ref="N111" authorId="0" shapeId="0" xr:uid="{A9984A3B-16E0-4CE8-BD02-267B9A74FA58}">
      <text>
        <r>
          <rPr>
            <b/>
            <sz val="9"/>
            <color indexed="81"/>
            <rFont val="宋体"/>
            <family val="3"/>
            <charset val="134"/>
          </rPr>
          <t xml:space="preserve">所在楼层
</t>
        </r>
        <r>
          <rPr>
            <sz val="9"/>
            <color indexed="81"/>
            <rFont val="宋体"/>
            <family val="3"/>
            <charset val="134"/>
          </rPr>
          <t xml:space="preserve">
</t>
        </r>
      </text>
    </comment>
    <comment ref="D116" authorId="0" shapeId="0" xr:uid="{89AF3DF2-5B57-42CC-9B89-FA8F5BC4E8AB}">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<sst xmlns="http://schemas.openxmlformats.org/spreadsheetml/2006/main" count="10358" uniqueCount="3485">
  <si>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</si>
  <si>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</si>
  <si>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</si>
  <si>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</si>
  <si>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</si>
  <si>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</si>
  <si>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</si>
  <si>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</si>
  <si>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</si>
  <si>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</si>
  <si>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</si>
  <si>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</si>
  <si>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</si>
  <si>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</si>
  <si>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</si>
  <si>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</si>
  <si>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</si>
  <si>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</si>
  <si>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</si>
  <si>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</si>
  <si>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</si>
  <si>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</si>
  <si>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</si>
  <si>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</si>
  <si>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</si>
  <si>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</si>
  <si>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</si>
  <si>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</si>
  <si>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</si>
  <si>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</si>
  <si>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</si>
  <si>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</si>
  <si>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</si>
  <si>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</si>
  <si>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</si>
  <si>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</si>
  <si>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</si>
  <si>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</si>
  <si>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</si>
  <si>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</si>
  <si>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</si>
  <si>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</si>
  <si>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</si>
  <si>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</si>
  <si>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</si>
  <si>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</si>
  <si>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</si>
  <si>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</si>
  <si>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</si>
  <si>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</si>
  <si>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</si>
  <si>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</si>
  <si>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</si>
  <si>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</si>
  <si>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</si>
  <si>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</si>
  <si>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</si>
  <si>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</si>
  <si>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</si>
  <si>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</si>
  <si>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</si>
  <si>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</si>
  <si>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</si>
  <si>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</si>
  <si>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</si>
  <si>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</si>
  <si>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</si>
  <si>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</si>
  <si>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</si>
  <si>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</si>
  <si>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</si>
  <si>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</si>
  <si>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</si>
  <si>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</si>
  <si>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</si>
  <si>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</si>
  <si>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</si>
  <si>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</si>
  <si>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</si>
  <si>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</si>
  <si>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</si>
  <si>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</si>
  <si>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</si>
  <si>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</si>
  <si>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</si>
  <si>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</si>
  <si>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</si>
  <si>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</si>
  <si>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</si>
  <si>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</si>
  <si>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</si>
  <si>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</si>
  <si>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</si>
  <si>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</si>
  <si>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</si>
  <si>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</si>
  <si>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</si>
  <si>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</si>
  <si>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</si>
  <si>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</si>
  <si>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</si>
  <si>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</si>
  <si>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</si>
  <si>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</si>
  <si>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</si>
  <si>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</si>
  <si>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</si>
  <si>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</si>
  <si>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</si>
  <si>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</si>
  <si>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</si>
  <si>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</si>
  <si>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</si>
  <si>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</si>
  <si>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</si>
  <si>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</si>
  <si>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</si>
  <si>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</si>
  <si>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</si>
  <si>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</si>
  <si>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</si>
  <si>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</si>
  <si>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</si>
  <si>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</si>
  <si>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</si>
  <si>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</si>
  <si>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</si>
  <si>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</si>
  <si>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</si>
  <si>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</si>
  <si>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</si>
  <si>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</si>
  <si>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</si>
  <si>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</si>
  <si>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</si>
  <si>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</si>
  <si>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</si>
  <si>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</si>
  <si>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</si>
  <si>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</si>
  <si>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</si>
  <si>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</si>
  <si>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</si>
  <si>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</si>
  <si>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</si>
  <si>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</si>
  <si>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</si>
  <si>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</si>
  <si>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</si>
  <si>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</si>
  <si>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</si>
  <si>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</si>
  <si>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</si>
  <si>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</si>
  <si>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</si>
  <si>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</si>
  <si>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</si>
  <si>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</si>
  <si>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</si>
  <si>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</si>
  <si>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</si>
  <si>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</si>
  <si>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</si>
  <si>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</si>
  <si>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</si>
  <si>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</si>
  <si>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</si>
  <si>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</si>
  <si>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</si>
  <si>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</si>
  <si>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</si>
  <si>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</si>
  <si>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</si>
  <si>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</si>
  <si>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</si>
  <si>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</si>
  <si>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</si>
  <si>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</si>
  <si>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</si>
  <si>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</si>
  <si>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</si>
  <si>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</si>
  <si>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</si>
  <si>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</si>
  <si>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</si>
  <si>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</si>
  <si>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</si>
  <si>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</si>
  <si>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</si>
  <si>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</si>
  <si>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</si>
  <si>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</si>
  <si>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</si>
  <si>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</si>
  <si>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</si>
  <si>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</si>
  <si>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</si>
  <si>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</si>
  <si>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</si>
  <si>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</si>
  <si>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</si>
  <si>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</si>
  <si>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</si>
  <si>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</si>
  <si>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</si>
  <si>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</si>
  <si>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</si>
  <si>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</si>
  <si>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</si>
  <si>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</si>
  <si>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</si>
  <si>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</si>
  <si>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</si>
  <si>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</si>
  <si>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</si>
  <si>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</si>
  <si>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</si>
  <si>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</si>
  <si>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</si>
  <si>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</si>
  <si>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</si>
  <si>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</si>
  <si>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</si>
  <si>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</si>
  <si>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</si>
  <si>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</si>
  <si>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</si>
  <si>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</si>
  <si>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</si>
  <si>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</si>
  <si>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</si>
  <si>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</si>
  <si>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</si>
  <si>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</si>
  <si>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</si>
  <si>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</si>
  <si>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</si>
  <si>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</si>
  <si>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</si>
  <si>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</si>
  <si>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</si>
  <si>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</si>
  <si>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</si>
  <si>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</si>
  <si>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</si>
  <si>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</si>
  <si>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</si>
  <si>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</si>
  <si>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</si>
  <si>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</si>
  <si>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</si>
  <si>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</si>
  <si>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</si>
  <si>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</si>
  <si>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</si>
  <si>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</si>
  <si>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</si>
  <si>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</si>
  <si>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</si>
  <si>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</si>
  <si>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</si>
  <si>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</si>
  <si>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</si>
  <si>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</si>
  <si>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</si>
  <si>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</si>
  <si>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</si>
  <si>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</si>
  <si>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</si>
  <si>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</si>
  <si>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</si>
  <si>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</si>
  <si>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</si>
  <si>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</si>
  <si>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</si>
  <si>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</si>
  <si>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</si>
  <si>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</si>
  <si>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</si>
  <si>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</si>
  <si>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</si>
  <si>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</si>
  <si>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</si>
  <si>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</si>
  <si>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</si>
  <si>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</si>
  <si>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</si>
  <si>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</si>
  <si>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</si>
  <si>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</si>
  <si>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</si>
  <si>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</si>
  <si>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</si>
  <si>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</si>
  <si>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</si>
  <si>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</si>
  <si>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</si>
  <si>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</si>
  <si>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</si>
  <si>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</si>
  <si>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</si>
  <si>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</si>
  <si>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</si>
  <si>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</si>
  <si>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</si>
  <si>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</si>
  <si>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</si>
  <si>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</si>
  <si>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</si>
  <si>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</si>
  <si>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</si>
  <si>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</si>
  <si>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</si>
  <si>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</si>
  <si>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</si>
  <si>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</si>
  <si>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</si>
  <si>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</si>
  <si>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</si>
  <si>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</si>
  <si>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</si>
  <si>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</si>
  <si>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</si>
  <si>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</si>
  <si>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</si>
  <si>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</si>
  <si>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</si>
  <si>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</si>
  <si>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</si>
  <si>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</si>
  <si>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</si>
  <si>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</si>
  <si>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</si>
  <si>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</si>
  <si>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</si>
  <si>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</si>
  <si>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</si>
  <si>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</si>
  <si>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</si>
  <si>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</si>
  <si>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</si>
  <si>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</si>
  <si>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</si>
  <si>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</si>
  <si>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</si>
  <si>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</si>
  <si>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</si>
  <si>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</si>
  <si>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</si>
  <si>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</si>
  <si>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</si>
  <si>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</si>
  <si>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</si>
  <si>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</si>
  <si>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</si>
  <si>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</si>
  <si>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</si>
  <si>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</si>
  <si>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</si>
  <si>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</si>
  <si>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</si>
  <si>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</si>
  <si>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</si>
  <si>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</si>
  <si>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</si>
  <si>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</si>
  <si>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</si>
  <si>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</si>
  <si>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</si>
  <si>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</si>
  <si>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</si>
  <si>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</si>
  <si>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</si>
  <si>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</si>
  <si>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</si>
  <si>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</si>
  <si>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</si>
  <si>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</si>
  <si>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</si>
  <si>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</si>
  <si>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</si>
  <si>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</si>
  <si>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</si>
  <si>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</si>
  <si>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</si>
  <si>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</si>
  <si>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</si>
  <si>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</si>
  <si>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</si>
  <si>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</si>
  <si>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</si>
  <si>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</si>
  <si>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</si>
  <si>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</si>
  <si>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</si>
  <si>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</si>
  <si>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</si>
  <si>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</si>
  <si>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</si>
  <si>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</si>
  <si>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</si>
  <si>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</si>
  <si>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</si>
  <si>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</si>
  <si>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</si>
  <si>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</si>
  <si>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</si>
  <si>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</si>
  <si>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</si>
  <si>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</si>
  <si>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</si>
  <si>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</si>
  <si>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</si>
  <si>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</si>
  <si>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</si>
  <si>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</si>
  <si>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</si>
  <si>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</si>
  <si>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</si>
  <si>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</si>
  <si>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</si>
  <si>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</si>
  <si>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</si>
  <si>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</si>
  <si>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</si>
  <si>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</si>
  <si>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</si>
  <si>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</si>
  <si>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</si>
  <si>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</si>
  <si>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</si>
  <si>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</si>
  <si>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</si>
  <si>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</si>
  <si>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</si>
  <si>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</si>
  <si>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</si>
  <si>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</si>
  <si>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</si>
  <si>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</si>
  <si>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</si>
  <si>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</si>
  <si>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</si>
  <si>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</si>
  <si>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</si>
  <si>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</si>
  <si>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</si>
  <si>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</si>
  <si>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</si>
  <si>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</si>
  <si>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</si>
  <si>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</si>
  <si>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</si>
  <si>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</si>
  <si>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</si>
  <si>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</si>
  <si>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</si>
  <si>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</si>
  <si>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</si>
  <si>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</si>
  <si>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</si>
  <si>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</si>
  <si>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</si>
  <si>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</si>
  <si>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</si>
  <si>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</si>
  <si>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</si>
  <si>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</si>
  <si>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</si>
  <si>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</si>
  <si>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</si>
  <si>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</si>
  <si>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</si>
  <si>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</si>
  <si>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</si>
  <si>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</si>
  <si>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</si>
  <si>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</si>
  <si>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</si>
  <si>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</si>
  <si>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</si>
  <si>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</si>
  <si>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</si>
  <si>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</si>
  <si>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</si>
  <si>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</si>
  <si>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</si>
  <si>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</si>
  <si>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</si>
  <si>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</si>
  <si>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</si>
  <si>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</si>
  <si>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</si>
  <si>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</si>
  <si>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</si>
  <si>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</si>
  <si>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</si>
  <si>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</si>
  <si>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</si>
  <si>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</si>
  <si>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</si>
  <si>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</si>
  <si>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</si>
  <si>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</si>
  <si>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</si>
  <si>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</si>
  <si>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</si>
  <si>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</si>
  <si>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</si>
  <si>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</si>
  <si>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</si>
  <si>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</si>
  <si>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</si>
  <si>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</si>
  <si>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</si>
  <si>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</si>
  <si>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</si>
  <si>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</si>
  <si>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</si>
  <si>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</si>
  <si>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</si>
  <si>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</si>
  <si>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</si>
  <si>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</si>
  <si>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</si>
  <si>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</si>
  <si>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</si>
  <si>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</si>
  <si>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</si>
  <si>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</si>
  <si>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</si>
  <si>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</si>
  <si>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</si>
  <si>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</si>
  <si>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</si>
  <si>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</si>
  <si>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</si>
  <si>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</si>
  <si>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</si>
  <si>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</si>
  <si>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</si>
  <si>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</si>
  <si>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</si>
  <si>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</si>
  <si>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</si>
  <si>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</si>
  <si>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</si>
  <si>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</si>
  <si>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</si>
  <si>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</si>
  <si>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</si>
  <si>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</si>
  <si>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</si>
  <si>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</si>
  <si>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</si>
  <si>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</si>
  <si>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</si>
  <si>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</si>
  <si>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</si>
  <si>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</si>
  <si>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</si>
  <si>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</si>
  <si>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</si>
  <si>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</si>
  <si>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</si>
  <si>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</si>
  <si>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</si>
  <si>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</si>
  <si>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</si>
  <si>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</si>
  <si>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</si>
  <si>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</si>
  <si>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</si>
  <si>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</si>
  <si>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</si>
  <si>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</si>
  <si>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</si>
  <si>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</si>
  <si>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</si>
  <si>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</si>
  <si>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</si>
  <si>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</si>
  <si>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</si>
  <si>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</si>
  <si>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</si>
  <si>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</si>
  <si>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</si>
  <si>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</si>
  <si>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</si>
  <si>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</si>
  <si>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</si>
  <si>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</si>
  <si>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</si>
  <si>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</si>
  <si>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</si>
  <si>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</si>
  <si>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</si>
  <si>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</si>
  <si>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</si>
  <si>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</si>
  <si>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</si>
  <si>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</si>
  <si>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</si>
  <si>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</si>
  <si>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</si>
  <si>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</si>
  <si>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</si>
  <si>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</si>
  <si>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</si>
  <si>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</si>
  <si>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</si>
  <si>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</si>
  <si>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</si>
  <si>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</si>
  <si>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</si>
  <si>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</si>
  <si>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</si>
  <si>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</si>
  <si>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</si>
  <si>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</si>
  <si>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</si>
  <si>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</si>
  <si>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</si>
  <si>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</si>
  <si>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</si>
  <si>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</si>
  <si>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</si>
  <si>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</si>
  <si>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</si>
  <si>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</si>
  <si>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</si>
  <si>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</si>
  <si>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</si>
  <si>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</si>
  <si>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</si>
  <si>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</si>
  <si>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</si>
  <si>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</si>
  <si>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</si>
  <si>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</si>
  <si>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</si>
  <si>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</si>
  <si>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</si>
  <si>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</si>
  <si>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</si>
  <si>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</si>
  <si>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</si>
  <si>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</si>
  <si>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</si>
  <si>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</si>
  <si>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</si>
  <si>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</si>
  <si>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</si>
  <si>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</si>
  <si>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</si>
  <si>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</si>
  <si>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</si>
  <si>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</si>
  <si>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</si>
  <si>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</si>
  <si>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</si>
  <si>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</si>
  <si>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</si>
  <si>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</si>
  <si>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</si>
  <si>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</si>
  <si>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</si>
  <si>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</si>
  <si>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</si>
  <si>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</si>
  <si>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</si>
  <si>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</si>
  <si>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</si>
  <si>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</si>
  <si>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</si>
  <si>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</si>
  <si>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</si>
  <si>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</si>
  <si>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</si>
  <si>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</si>
  <si>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</si>
  <si>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</si>
  <si>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</si>
  <si>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</si>
  <si>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</si>
  <si>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</si>
  <si>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</si>
  <si>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</si>
  <si>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</si>
  <si>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</si>
  <si>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</si>
  <si>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</si>
  <si>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</si>
  <si>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</si>
  <si>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</si>
  <si>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</si>
  <si>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</si>
  <si>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</si>
  <si>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</si>
  <si>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</si>
  <si>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</si>
  <si>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</si>
  <si>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</si>
  <si>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</si>
  <si>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</si>
  <si>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</si>
  <si>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</si>
  <si>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</si>
  <si>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</si>
  <si>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</si>
  <si>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</si>
  <si>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</si>
  <si>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</si>
  <si>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</si>
  <si>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</si>
  <si>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</si>
  <si>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</si>
  <si>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</si>
  <si>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</si>
  <si>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</si>
  <si>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</si>
  <si>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</si>
  <si>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</si>
  <si>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</si>
  <si>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</si>
  <si>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</si>
  <si>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</si>
  <si>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</si>
  <si>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</si>
  <si>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</si>
  <si>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</si>
  <si>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</si>
  <si>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</si>
  <si>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</si>
  <si>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</si>
  <si>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</si>
  <si>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</si>
  <si>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</si>
  <si>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</si>
  <si>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</si>
  <si>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</si>
  <si>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</si>
  <si>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</si>
  <si>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</si>
  <si>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</si>
  <si>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</si>
  <si>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</si>
  <si>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</si>
  <si>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</si>
  <si>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</si>
  <si>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</si>
  <si>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</si>
  <si>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</si>
  <si>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</si>
  <si>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</si>
  <si>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</si>
  <si>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</si>
  <si>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</si>
  <si>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</si>
  <si>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</si>
  <si>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</si>
  <si>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</si>
  <si>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</si>
  <si>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</si>
  <si>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</si>
  <si>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</si>
  <si>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</si>
  <si>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</si>
  <si>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</si>
  <si>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</si>
  <si>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</si>
  <si>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</si>
  <si>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</si>
  <si>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</si>
  <si>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</si>
  <si>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</si>
  <si>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</si>
  <si>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</si>
  <si>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</si>
  <si>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</si>
  <si>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</si>
  <si>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</si>
  <si>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</si>
  <si>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</si>
  <si>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</si>
  <si>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</si>
  <si>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</si>
  <si>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</si>
  <si>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</si>
  <si>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</si>
  <si>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</si>
  <si>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</si>
  <si>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</si>
  <si>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</si>
  <si>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</si>
  <si>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</si>
  <si>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</si>
  <si>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</si>
  <si>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</si>
  <si>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</si>
  <si>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</si>
  <si>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</si>
  <si>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</si>
  <si>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</si>
  <si>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</si>
  <si>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</si>
  <si>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</si>
  <si>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</si>
  <si>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</si>
  <si>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</si>
  <si>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</si>
  <si>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</si>
  <si>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</si>
  <si>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</si>
  <si>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</si>
  <si>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</si>
  <si>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</si>
  <si>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</si>
  <si>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</si>
  <si>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</si>
  <si>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</si>
  <si>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</si>
  <si>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</si>
  <si>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</si>
  <si>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</si>
  <si>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</si>
  <si>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</si>
  <si>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</si>
  <si>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</si>
  <si>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</si>
  <si>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</si>
  <si>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</si>
  <si>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</si>
  <si>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</si>
  <si>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</si>
  <si>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</si>
  <si>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</si>
  <si>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</si>
  <si>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</si>
  <si>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</si>
  <si>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</si>
  <si>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</si>
  <si>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</si>
  <si>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</si>
  <si>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</si>
  <si>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</si>
  <si>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</si>
  <si>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</si>
  <si>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</si>
  <si>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</si>
  <si>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</si>
  <si>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</si>
  <si>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</si>
  <si>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</si>
  <si>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</si>
  <si>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</si>
  <si>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</si>
  <si>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</si>
  <si>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</si>
  <si>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</si>
  <si>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</si>
  <si>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</si>
  <si>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</si>
  <si>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</si>
  <si>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</si>
  <si>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</si>
  <si>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</si>
  <si>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</si>
  <si>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</si>
  <si>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</si>
  <si>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</si>
  <si>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</si>
  <si>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</si>
  <si>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</si>
  <si>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</si>
  <si>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</si>
  <si>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</si>
  <si>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</si>
  <si>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</si>
  <si>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</si>
  <si>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</si>
  <si>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</si>
  <si>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</si>
  <si>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</si>
  <si>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</si>
  <si>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</si>
  <si>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</si>
  <si>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</si>
  <si>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</si>
  <si>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</si>
  <si>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</si>
  <si>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</si>
  <si>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</si>
  <si>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</si>
  <si>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</si>
  <si>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</si>
  <si>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</si>
  <si>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</si>
  <si>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</si>
  <si>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</si>
  <si>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</si>
  <si>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</si>
  <si>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</si>
  <si>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</si>
  <si>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</si>
  <si>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</si>
  <si>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</si>
  <si>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</si>
  <si>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</si>
  <si>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</si>
  <si>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</si>
  <si>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</si>
  <si>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</si>
  <si>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</si>
  <si>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</si>
  <si>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</si>
  <si>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</si>
  <si>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</si>
  <si>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</si>
  <si>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</si>
  <si>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</si>
  <si>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</si>
  <si>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</si>
  <si>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</si>
  <si>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</si>
  <si>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</si>
  <si>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</si>
  <si>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</si>
  <si>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</si>
  <si>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</si>
  <si>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</si>
  <si>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</si>
  <si>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</si>
  <si>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</si>
  <si>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</si>
  <si>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</si>
  <si>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</si>
  <si>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</si>
  <si>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</si>
  <si>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</si>
  <si>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</si>
  <si>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</si>
  <si>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</si>
  <si>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</si>
  <si>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</si>
  <si>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</si>
  <si>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</si>
  <si>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</si>
  <si>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</si>
  <si>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</si>
  <si>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</si>
  <si>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</si>
  <si>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</si>
  <si>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</si>
  <si>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</si>
  <si>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</si>
  <si>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</si>
  <si>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</si>
  <si>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</si>
  <si>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</si>
  <si>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</si>
  <si>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</si>
  <si>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</si>
  <si>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</si>
  <si>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</si>
  <si>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</si>
  <si>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</si>
  <si>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</si>
  <si>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</si>
  <si>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</si>
  <si>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</si>
  <si>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</si>
  <si>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</si>
  <si>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</si>
  <si>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</si>
  <si>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</si>
  <si>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</si>
  <si>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</si>
  <si>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</si>
  <si>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</si>
  <si>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</si>
  <si>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</si>
  <si>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</si>
  <si>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</si>
  <si>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</si>
  <si>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</si>
  <si>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</si>
  <si>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</si>
  <si>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</si>
  <si>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</si>
  <si>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</si>
  <si>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</si>
  <si>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</si>
  <si>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</si>
  <si>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</si>
  <si>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</si>
  <si>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</si>
  <si>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</si>
  <si>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</si>
  <si>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</si>
  <si>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</si>
  <si>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</si>
  <si>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</si>
  <si>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</si>
  <si>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</si>
  <si>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</si>
  <si>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</si>
  <si>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</si>
  <si>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</si>
  <si>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</si>
  <si>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</si>
  <si>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</si>
  <si>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</si>
  <si>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</si>
  <si>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</si>
  <si>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</si>
  <si>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</si>
  <si>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</si>
  <si>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</si>
  <si>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</si>
  <si>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</si>
  <si>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</si>
  <si>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</si>
  <si>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</si>
  <si>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</si>
  <si>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</si>
  <si>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</si>
  <si>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</si>
  <si>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</si>
  <si>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</si>
  <si>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</si>
  <si>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</si>
  <si>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</si>
  <si>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</si>
  <si>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</si>
  <si>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</si>
  <si>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</si>
  <si>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</si>
  <si>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</si>
  <si>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</si>
  <si>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</si>
  <si>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</si>
  <si>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</si>
  <si>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</si>
  <si>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</si>
  <si>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</si>
  <si>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</si>
  <si>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</si>
  <si>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</si>
  <si>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</si>
  <si>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</si>
  <si>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</si>
  <si>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</si>
  <si>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</si>
  <si>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</si>
  <si>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</si>
  <si>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</si>
  <si>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</si>
  <si>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</si>
  <si>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</si>
  <si>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</si>
  <si>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</si>
  <si>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</si>
  <si>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</si>
  <si>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</si>
  <si>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</si>
  <si>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</si>
  <si>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</si>
  <si>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</si>
  <si>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</si>
  <si>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</si>
  <si>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</si>
  <si>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</si>
  <si>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</si>
  <si>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</si>
  <si>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</si>
  <si>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</si>
  <si>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</si>
  <si>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</si>
  <si>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</si>
  <si>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</si>
  <si>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</si>
  <si>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</si>
  <si>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</si>
  <si>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</si>
  <si>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</si>
  <si>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</si>
  <si>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</si>
  <si>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</si>
  <si>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</si>
  <si>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</si>
  <si>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</si>
  <si>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</si>
  <si>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</si>
  <si>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</si>
  <si>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</si>
  <si>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</si>
  <si>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</si>
  <si>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</si>
  <si>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</si>
  <si>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</si>
  <si>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</si>
  <si>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</si>
  <si>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</si>
  <si>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</si>
  <si>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</si>
  <si>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</si>
  <si>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</si>
  <si>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</si>
  <si>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</si>
  <si>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</si>
  <si>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</si>
  <si>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</si>
  <si>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</si>
  <si>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</si>
  <si>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</si>
  <si>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</si>
  <si>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</si>
  <si>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</si>
  <si>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</si>
  <si>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</si>
  <si>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</si>
  <si>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</si>
  <si>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</si>
  <si>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</si>
  <si>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</si>
  <si>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</si>
  <si>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</si>
  <si>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</si>
  <si>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</si>
  <si>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</si>
  <si>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</si>
  <si>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</si>
  <si>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</si>
  <si>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</si>
  <si>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</si>
  <si>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</si>
  <si>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</si>
  <si>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</si>
  <si>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</si>
  <si>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</si>
  <si>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</si>
  <si>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</si>
  <si>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</si>
  <si>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</si>
  <si>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</si>
  <si>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</si>
  <si>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</si>
  <si>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</si>
  <si>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</si>
  <si>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</si>
  <si>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</si>
  <si>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</si>
  <si>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</si>
  <si>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</si>
  <si>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</si>
  <si>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</si>
  <si>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</si>
  <si>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</si>
  <si>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</si>
  <si>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</si>
  <si>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</si>
  <si>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</si>
  <si>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</si>
  <si>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</si>
  <si>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</si>
  <si>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</si>
  <si>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</si>
  <si>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</si>
  <si>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</si>
  <si>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</si>
  <si>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</si>
  <si>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</si>
  <si>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</si>
  <si>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</si>
  <si>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</si>
  <si>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</si>
  <si>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</si>
  <si>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</si>
  <si>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</si>
  <si>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</si>
  <si>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</si>
  <si>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</si>
  <si>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</si>
  <si>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</si>
  <si>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</si>
  <si>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</si>
  <si>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</si>
  <si>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</si>
  <si>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</si>
  <si>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</si>
  <si>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</si>
  <si>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</si>
  <si>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</si>
  <si>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</si>
  <si>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</si>
  <si>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</si>
  <si>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</si>
  <si>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</si>
  <si>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</si>
  <si>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</si>
  <si>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</si>
  <si>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</si>
  <si>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</si>
  <si>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</si>
  <si>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</si>
  <si>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</si>
  <si>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</si>
  <si>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</si>
  <si>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</si>
  <si>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</si>
  <si>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</si>
  <si>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</si>
  <si>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</si>
  <si>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</si>
  <si>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</si>
  <si>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</si>
  <si>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</si>
  <si>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</si>
  <si>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</si>
  <si>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</si>
  <si>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</si>
  <si>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</si>
  <si>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</si>
  <si>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</si>
  <si>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</si>
  <si>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</si>
  <si>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</si>
  <si>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</si>
  <si>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</si>
  <si>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</si>
  <si>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</si>
  <si>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</si>
  <si>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</si>
  <si>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</si>
  <si>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</si>
  <si>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</si>
  <si>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</si>
  <si>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</si>
  <si>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</si>
  <si>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</si>
  <si>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</si>
  <si>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</si>
  <si>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</si>
  <si>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</si>
  <si>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</si>
  <si>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</si>
  <si>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</si>
  <si>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</si>
  <si>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</si>
  <si>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</si>
  <si>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</si>
  <si>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</si>
  <si>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</si>
  <si>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</si>
  <si>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</si>
  <si>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</si>
  <si>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</si>
  <si>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</si>
  <si>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</si>
  <si>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</si>
  <si>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</si>
  <si>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</si>
  <si>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</si>
  <si>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</si>
  <si>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</si>
  <si>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</si>
  <si>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</si>
  <si>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</si>
  <si>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</si>
  <si>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</si>
  <si>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</si>
  <si>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</si>
  <si>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</si>
  <si>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</si>
  <si>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</si>
  <si>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</si>
  <si>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</si>
  <si>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</si>
  <si>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</si>
  <si>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</si>
  <si>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</si>
  <si>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</si>
  <si>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</si>
  <si>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</si>
  <si>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</si>
  <si>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</si>
  <si>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</si>
  <si>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</si>
  <si>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</si>
  <si>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</si>
  <si>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</si>
  <si>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</si>
  <si>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</si>
  <si>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</si>
  <si>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</si>
  <si>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</si>
  <si>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</si>
  <si>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</si>
  <si>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</si>
  <si>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</si>
  <si>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</si>
  <si>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</si>
  <si>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</si>
  <si>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</si>
  <si>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</si>
  <si>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</si>
  <si>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</si>
  <si>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</si>
  <si>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</si>
  <si>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</si>
  <si>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</si>
  <si>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</si>
  <si>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</si>
  <si>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</si>
  <si>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</si>
  <si>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</si>
  <si>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</si>
  <si>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</si>
  <si>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</si>
  <si>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</si>
  <si>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</si>
  <si>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</si>
  <si>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</si>
  <si>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</si>
  <si>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</si>
  <si>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</si>
  <si>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</si>
  <si>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</si>
  <si>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</si>
  <si>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</si>
  <si>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</si>
  <si>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</si>
  <si>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</si>
  <si>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</si>
  <si>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</si>
  <si>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</si>
  <si>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</si>
  <si>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</si>
  <si>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</si>
  <si>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</si>
  <si>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</si>
  <si>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</si>
  <si>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</si>
  <si>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</si>
  <si>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</si>
  <si>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</si>
  <si>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</si>
  <si>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</si>
  <si>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</si>
  <si>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</si>
  <si>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</si>
  <si>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</si>
  <si>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</si>
  <si>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</si>
  <si>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</si>
  <si>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</si>
  <si>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</si>
  <si>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</si>
  <si>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</si>
  <si>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</si>
  <si>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</si>
  <si>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</si>
  <si>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</si>
  <si>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</si>
  <si>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</si>
  <si>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</si>
  <si>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</si>
  <si>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</si>
  <si>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</si>
  <si>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</si>
  <si>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</si>
  <si>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</si>
  <si>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</si>
  <si>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</si>
  <si>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</si>
  <si>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</si>
  <si>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</si>
  <si>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</si>
  <si>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</si>
  <si>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</si>
  <si>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</si>
  <si>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</si>
  <si>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</si>
  <si>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</si>
  <si>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</si>
  <si>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</si>
  <si>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</si>
  <si>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</si>
  <si>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</si>
  <si>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</si>
  <si>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</si>
  <si>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</si>
  <si>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</si>
  <si>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</si>
  <si>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</si>
  <si>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</si>
  <si>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</si>
  <si>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</si>
  <si>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</si>
  <si>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</si>
  <si>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</si>
  <si>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</si>
  <si>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</si>
  <si>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</si>
  <si>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</si>
  <si>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</si>
  <si>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</si>
  <si>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</si>
  <si>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</si>
  <si>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</si>
  <si>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</si>
  <si>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</si>
  <si>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</si>
  <si>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</si>
  <si>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</si>
  <si>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</si>
  <si>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</si>
  <si>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</si>
  <si>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</si>
  <si>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</si>
  <si>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</si>
  <si>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</si>
  <si>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</si>
  <si>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</si>
  <si>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</si>
  <si>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</si>
  <si>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</si>
  <si>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</si>
  <si>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</si>
  <si>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</si>
  <si>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</si>
  <si>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</si>
  <si>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</si>
  <si>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</si>
  <si>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</si>
  <si>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</si>
  <si>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</si>
  <si>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</si>
  <si>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</si>
  <si>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</si>
  <si>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</si>
  <si>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</si>
  <si>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</si>
  <si>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</si>
  <si>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</si>
  <si>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</si>
  <si>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</si>
  <si>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</si>
  <si>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</si>
  <si>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</si>
  <si>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</si>
  <si>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</si>
  <si>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</si>
  <si>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</si>
  <si>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</si>
  <si>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</si>
  <si>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</si>
  <si>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</si>
  <si>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</si>
  <si>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</si>
  <si>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</si>
  <si>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</si>
  <si>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</si>
  <si>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</si>
  <si>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</si>
  <si>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</si>
  <si>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</si>
  <si>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</si>
  <si>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</si>
  <si>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</si>
  <si>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</si>
  <si>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</si>
  <si>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</si>
  <si>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</si>
  <si>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</si>
  <si>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</si>
  <si>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</si>
  <si>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</si>
  <si>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</si>
  <si>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</si>
  <si>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</si>
  <si>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</si>
  <si>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</si>
  <si>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</si>
  <si>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</si>
  <si>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</si>
  <si>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</si>
  <si>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</si>
  <si>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</si>
  <si>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</si>
  <si>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</si>
  <si>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</si>
  <si>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</si>
  <si>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</si>
  <si>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</si>
  <si>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</si>
  <si>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</si>
  <si>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</si>
  <si>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</si>
  <si>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</si>
  <si>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</si>
  <si>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</si>
  <si>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</si>
  <si>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</si>
  <si>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</si>
  <si>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</si>
  <si>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</si>
  <si>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</si>
  <si>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</si>
  <si>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</si>
  <si>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</si>
  <si>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</si>
  <si>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</si>
  <si>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</si>
  <si>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</si>
  <si>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</si>
  <si>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</si>
  <si>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</si>
  <si>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</si>
  <si>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</si>
  <si>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</si>
  <si>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</si>
  <si>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</si>
  <si>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</si>
  <si>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</si>
  <si>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</si>
  <si>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</si>
  <si>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</si>
  <si>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</si>
  <si>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</si>
  <si>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</si>
  <si>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</si>
  <si>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</si>
  <si>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</si>
  <si>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</si>
  <si>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</si>
  <si>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</si>
  <si>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</si>
  <si>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</si>
  <si>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</si>
  <si>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</si>
  <si>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</si>
  <si>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</si>
  <si>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</si>
  <si>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</si>
  <si>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</si>
  <si>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</si>
  <si>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</si>
  <si>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</si>
  <si>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</si>
  <si>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</si>
  <si>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</si>
  <si>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</si>
  <si>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</si>
  <si>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</si>
  <si>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</si>
  <si>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</si>
  <si>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</si>
  <si>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</si>
  <si>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</si>
  <si>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</si>
  <si>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</si>
  <si>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</si>
  <si>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</si>
  <si>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</si>
  <si>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</si>
  <si>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</si>
  <si>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</si>
  <si>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</si>
  <si>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</si>
  <si>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</si>
  <si>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</si>
  <si>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</si>
  <si>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</si>
  <si>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</si>
  <si>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</si>
  <si>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</si>
  <si>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</si>
  <si>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</si>
  <si>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</si>
  <si>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</si>
  <si>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</si>
  <si>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</si>
  <si>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</si>
  <si>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</si>
  <si>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</si>
  <si>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</si>
  <si>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</si>
  <si>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</si>
  <si>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</si>
  <si>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</si>
  <si>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</si>
  <si>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</si>
  <si>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</si>
  <si>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</si>
  <si>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</si>
  <si>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</si>
  <si>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</si>
  <si>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</si>
  <si>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</si>
  <si>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</si>
  <si>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</si>
  <si>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</si>
  <si>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</si>
  <si>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</si>
  <si>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</si>
  <si>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</si>
  <si>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</si>
  <si>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</si>
  <si>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</si>
  <si>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</si>
  <si>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</si>
  <si>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</si>
  <si>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</si>
  <si>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</si>
  <si>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</si>
  <si>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</si>
  <si>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</si>
  <si>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</si>
  <si>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</si>
  <si>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</si>
  <si>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</si>
  <si>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</si>
  <si>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</si>
  <si>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</si>
  <si>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</si>
  <si>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</si>
  <si>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</si>
  <si>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</si>
  <si>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</si>
  <si>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</si>
  <si>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</si>
  <si>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</si>
  <si>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</si>
  <si>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</si>
  <si>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</si>
  <si>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</si>
  <si>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</si>
  <si>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</si>
  <si>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</si>
  <si>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</si>
  <si>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</si>
  <si>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</si>
  <si>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</si>
  <si>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</si>
  <si>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</si>
  <si>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</si>
  <si>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</si>
  <si>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</si>
  <si>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</si>
  <si>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</si>
  <si>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</si>
  <si>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</si>
  <si>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</si>
  <si>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</si>
  <si>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</si>
  <si>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</si>
  <si>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</si>
  <si>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</si>
  <si>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</si>
  <si>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</si>
  <si>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</si>
  <si>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</si>
  <si>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</si>
  <si>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</si>
  <si>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</si>
  <si>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</si>
  <si>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</si>
  <si>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</si>
  <si>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</si>
  <si>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</si>
  <si>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</si>
  <si>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</si>
  <si>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</si>
  <si>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</si>
  <si>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</si>
  <si>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</si>
  <si>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</si>
  <si>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</si>
  <si>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</si>
  <si>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</si>
  <si>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</si>
  <si>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</si>
  <si>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</si>
  <si>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</si>
  <si>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</si>
  <si>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</si>
  <si>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</si>
  <si>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</si>
  <si>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</si>
  <si>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</si>
  <si>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</si>
  <si>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</si>
  <si>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</si>
  <si>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</si>
  <si>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</si>
  <si>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</si>
  <si>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</si>
  <si>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</si>
  <si>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</si>
  <si>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</si>
  <si>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</si>
  <si>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</si>
  <si>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</si>
  <si>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</si>
  <si>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</si>
  <si>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</si>
  <si>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</si>
  <si>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</si>
  <si>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</si>
  <si>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</si>
  <si>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</si>
  <si>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</si>
  <si>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</si>
  <si>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</si>
  <si>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</si>
  <si>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</si>
  <si>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</si>
  <si>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</si>
  <si>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</si>
  <si>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</si>
  <si>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</si>
  <si>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</si>
  <si>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</si>
  <si>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</si>
  <si>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</si>
  <si>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</si>
  <si>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</si>
  <si>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</si>
  <si>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</si>
  <si>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</si>
  <si>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</si>
  <si>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</si>
  <si>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</si>
  <si>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</si>
  <si>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</si>
  <si>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</si>
  <si>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</si>
  <si>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</si>
  <si>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</si>
  <si>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</si>
  <si>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</si>
  <si>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</si>
  <si>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</si>
  <si>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</si>
  <si>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</si>
  <si>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</si>
  <si>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</si>
  <si>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</si>
  <si>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</si>
  <si>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</si>
  <si>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</si>
  <si>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</si>
  <si>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</si>
  <si>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</si>
  <si>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</si>
  <si>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</si>
  <si>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</si>
  <si>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</si>
  <si>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</si>
  <si>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</si>
  <si>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</si>
  <si>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</si>
  <si>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</si>
  <si>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</si>
  <si>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</si>
  <si>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</si>
  <si>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</si>
  <si>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</si>
  <si>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</si>
  <si>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</si>
  <si>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</si>
  <si>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</si>
  <si>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</si>
  <si>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</si>
  <si>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</si>
  <si>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</si>
  <si>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</si>
  <si>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</si>
  <si>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</si>
  <si>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</si>
  <si>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</si>
  <si>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</si>
  <si>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</si>
  <si>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</si>
  <si>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</si>
  <si>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</si>
  <si>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</si>
  <si>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</si>
  <si>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</si>
  <si>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</si>
  <si>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</si>
  <si>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</si>
  <si>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</si>
  <si>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</si>
  <si>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</si>
  <si>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</si>
  <si>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</si>
  <si>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</si>
  <si>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</si>
  <si>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</si>
  <si>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</si>
  <si>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</si>
  <si>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</si>
  <si>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</si>
  <si>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</si>
  <si>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</si>
  <si>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</si>
  <si>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</si>
  <si>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</si>
  <si>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</si>
  <si>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</si>
  <si>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</si>
  <si>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</si>
  <si>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</si>
  <si>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</si>
  <si>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</si>
  <si>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</si>
  <si>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</si>
  <si>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</si>
  <si>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</si>
  <si>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</si>
  <si>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</si>
  <si>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</si>
  <si>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</si>
  <si>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</si>
  <si>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</si>
  <si>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</si>
  <si>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</si>
  <si>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</si>
  <si>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</si>
  <si>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</si>
  <si>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</si>
  <si>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</si>
  <si>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</si>
  <si>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</si>
  <si>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</si>
  <si>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</si>
  <si>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</si>
  <si>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</si>
  <si>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</si>
  <si>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</si>
  <si>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</si>
  <si>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</si>
  <si>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</si>
  <si>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</si>
  <si>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</si>
  <si>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</si>
  <si>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</si>
  <si>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</si>
  <si>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</si>
  <si>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</si>
  <si>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</si>
  <si>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</si>
  <si>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</si>
  <si>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</si>
  <si>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</si>
  <si>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</si>
  <si>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</si>
  <si>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</si>
  <si>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</si>
  <si>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</si>
  <si>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</si>
  <si>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</si>
  <si>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</si>
  <si>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</si>
  <si>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</si>
  <si>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</si>
  <si>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</si>
  <si>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</si>
  <si>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</si>
  <si>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</si>
  <si>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</si>
  <si>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</si>
  <si>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</si>
  <si>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</si>
  <si>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</si>
  <si>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</si>
  <si>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</si>
  <si>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</si>
  <si>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</si>
  <si>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</si>
  <si>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</si>
  <si>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</si>
  <si>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</si>
  <si>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</si>
  <si>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</si>
  <si>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</si>
  <si>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</si>
  <si>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</si>
  <si>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</si>
  <si>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</si>
  <si>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</si>
  <si>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</si>
  <si>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</si>
  <si>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</si>
  <si>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</si>
  <si>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</si>
  <si>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</si>
  <si>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</si>
  <si>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</si>
  <si>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</si>
  <si>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</si>
  <si>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</si>
  <si>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</si>
  <si>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</si>
  <si>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</si>
  <si>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</si>
  <si>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</si>
  <si>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</si>
  <si>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</si>
  <si>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</si>
  <si>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</si>
  <si>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</si>
  <si>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</si>
  <si>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</si>
  <si>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</si>
  <si>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</si>
  <si>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</si>
  <si>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</si>
  <si>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</si>
  <si>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</si>
  <si>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</si>
  <si>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</si>
  <si>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</si>
  <si>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</si>
  <si>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</si>
  <si>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</si>
  <si>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</si>
  <si>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</si>
  <si>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</si>
  <si>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</si>
  <si>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</si>
  <si>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</si>
  <si>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</si>
  <si>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</si>
  <si>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</si>
  <si>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</si>
  <si>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</si>
  <si>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</si>
  <si>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</si>
  <si>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</si>
  <si>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</si>
  <si>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</si>
  <si>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</si>
  <si>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</si>
  <si>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</si>
  <si>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</si>
  <si>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</si>
  <si>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</si>
  <si>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</si>
  <si>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</si>
  <si>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</si>
  <si>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</si>
  <si>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</si>
  <si>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</si>
  <si>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</si>
  <si>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</si>
  <si>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</si>
  <si>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</si>
  <si>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</si>
  <si>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</si>
  <si>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</si>
  <si>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</si>
  <si>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</si>
  <si>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</si>
  <si>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</si>
  <si>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</si>
  <si>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</si>
  <si>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</si>
  <si>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</si>
  <si>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</si>
  <si>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</si>
  <si>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</si>
  <si>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</si>
  <si>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</si>
  <si>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</si>
  <si>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</si>
  <si>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</si>
  <si>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</si>
  <si>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</si>
  <si>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</si>
  <si>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</si>
  <si>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</si>
  <si>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</si>
  <si>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</si>
  <si>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</si>
  <si>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</si>
  <si>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</si>
  <si>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</si>
  <si>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</si>
  <si>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</si>
  <si>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</si>
  <si>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</si>
  <si>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</si>
  <si>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</si>
  <si>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</si>
  <si>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</si>
  <si>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</si>
  <si>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</si>
  <si>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</si>
  <si>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</si>
  <si>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</si>
  <si>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</si>
  <si>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</si>
  <si>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</si>
  <si>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</si>
  <si>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</si>
  <si>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</si>
  <si>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</si>
  <si>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</si>
  <si>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</si>
  <si>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</si>
  <si>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</si>
  <si>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</si>
  <si>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</si>
  <si>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</si>
  <si>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</si>
  <si>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</si>
  <si>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</si>
  <si>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</si>
  <si>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</si>
  <si>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</si>
  <si>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</si>
  <si>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</si>
  <si>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</si>
  <si>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</si>
  <si>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</si>
  <si>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</si>
  <si>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</si>
  <si>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</si>
  <si>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</si>
  <si>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</si>
  <si>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</si>
  <si>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</si>
  <si>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</si>
  <si>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</si>
  <si>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</si>
  <si>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</si>
  <si>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</si>
  <si>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</si>
  <si>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</si>
  <si>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</si>
  <si>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</si>
  <si>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</si>
  <si>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</si>
  <si>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</si>
  <si>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</si>
  <si>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</si>
  <si>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</si>
  <si>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</si>
  <si>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</si>
  <si>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</si>
  <si>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</si>
  <si>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</si>
  <si>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</si>
  <si>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</si>
  <si>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</si>
  <si>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</si>
  <si>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</si>
  <si>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</si>
  <si>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</si>
  <si>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</si>
  <si>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</si>
  <si>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</si>
  <si>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</si>
  <si>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</si>
  <si>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</si>
  <si>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</si>
  <si>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</si>
  <si>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</si>
  <si>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</si>
  <si>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</si>
  <si>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</si>
  <si>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</si>
  <si>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</si>
  <si>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</si>
  <si>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</si>
  <si>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</si>
  <si>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</si>
  <si>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</si>
  <si>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</si>
  <si>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</si>
  <si>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</si>
  <si>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</si>
  <si>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</si>
  <si>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</si>
  <si>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</si>
  <si>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</si>
  <si>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</si>
  <si>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</si>
  <si>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</si>
  <si>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</si>
  <si>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</si>
  <si>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</si>
  <si>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</si>
  <si>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</si>
  <si>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</si>
  <si>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</si>
  <si>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</si>
  <si>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</si>
  <si>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</si>
  <si>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</si>
  <si>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</si>
  <si>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</si>
  <si>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</si>
  <si>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</si>
  <si>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</si>
  <si>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</si>
  <si>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</si>
  <si>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</si>
  <si>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</si>
  <si>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</si>
  <si>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</si>
  <si>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</si>
  <si>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</si>
  <si>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</si>
  <si>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</si>
  <si>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</si>
  <si>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</si>
  <si>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</si>
  <si>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</si>
  <si>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</si>
  <si>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</si>
  <si>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</si>
  <si>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</si>
  <si>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</si>
  <si>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</si>
  <si>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</si>
  <si>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</si>
  <si>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</si>
  <si>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</si>
  <si>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</si>
  <si>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</si>
  <si>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</si>
  <si>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</si>
  <si>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</si>
  <si>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</si>
  <si>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</si>
  <si>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</si>
  <si>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</si>
  <si>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</si>
  <si>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</si>
  <si>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</si>
  <si>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</si>
  <si>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</si>
  <si>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</si>
  <si>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</si>
  <si>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</si>
  <si>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</si>
  <si>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</si>
  <si>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</si>
  <si>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</si>
  <si>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</si>
  <si>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</si>
  <si>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</si>
  <si>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</si>
  <si>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</si>
  <si>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</si>
  <si>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</si>
  <si>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</si>
  <si>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</si>
  <si>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</si>
  <si>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</si>
  <si>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</si>
  <si>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</si>
  <si>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</si>
  <si>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</si>
  <si>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</si>
  <si>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</si>
  <si>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</si>
  <si>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</si>
  <si>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</si>
  <si>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</si>
  <si>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</si>
  <si>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</si>
  <si>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</si>
  <si>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</si>
  <si>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</si>
  <si>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</si>
  <si>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</si>
  <si>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</si>
  <si>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</si>
  <si>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</si>
  <si>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</si>
  <si>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</si>
  <si>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</si>
  <si>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</si>
  <si>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</si>
  <si>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</si>
  <si>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</si>
  <si>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</si>
  <si>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</si>
  <si>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</si>
  <si>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</si>
  <si>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</si>
  <si>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</si>
  <si>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</si>
  <si>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</si>
  <si>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</si>
  <si>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</si>
  <si>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</si>
  <si>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</si>
  <si>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</si>
  <si>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</si>
  <si>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</si>
  <si>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</si>
  <si>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</si>
  <si>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</si>
  <si>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</si>
  <si>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</si>
  <si>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</si>
  <si>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</si>
  <si>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</si>
  <si>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</si>
  <si>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</si>
  <si>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</si>
  <si>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</si>
  <si>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</si>
  <si>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</si>
  <si>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</si>
  <si>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</si>
  <si>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</si>
  <si>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</si>
  <si>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</si>
  <si>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</si>
  <si>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</si>
  <si>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</si>
  <si>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</si>
  <si>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</si>
  <si>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</si>
  <si>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</si>
  <si>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</si>
  <si>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</si>
  <si>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</si>
  <si>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</si>
  <si>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</si>
  <si>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</si>
  <si>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</si>
  <si>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</si>
  <si>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</si>
  <si>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</si>
  <si>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</si>
  <si>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</si>
  <si>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</si>
  <si>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</si>
  <si>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</si>
  <si>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</si>
  <si>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</si>
  <si>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</si>
  <si>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</si>
  <si>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</si>
  <si>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</si>
  <si>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</si>
  <si>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</si>
  <si>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</si>
  <si>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</si>
  <si>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</si>
  <si>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</si>
  <si>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</si>
  <si>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</si>
  <si>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</si>
  <si>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</si>
  <si>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</si>
  <si>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</si>
  <si>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</si>
  <si>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</si>
  <si>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</si>
  <si>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</si>
  <si>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</si>
  <si>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</si>
  <si>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</si>
  <si>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</si>
  <si>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</si>
  <si>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</si>
  <si>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</si>
  <si>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</si>
  <si>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</si>
  <si>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</si>
  <si>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</si>
  <si>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</si>
  <si>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</si>
  <si>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</si>
  <si>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</si>
  <si>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</si>
  <si>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</si>
  <si>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</si>
  <si>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</si>
  <si>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</si>
  <si>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</si>
  <si>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</si>
  <si>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</si>
  <si>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</si>
  <si>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</si>
  <si>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</si>
  <si>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</si>
  <si>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</si>
  <si>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</si>
  <si>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</si>
  <si>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</si>
  <si>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</si>
  <si>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</si>
  <si>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</si>
  <si>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</si>
  <si>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</si>
  <si>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</si>
  <si>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</si>
  <si>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</si>
  <si>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</si>
  <si>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</si>
  <si>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</si>
  <si>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</si>
  <si>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</si>
  <si>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</si>
  <si>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</si>
  <si>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</si>
  <si>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</si>
  <si>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</si>
  <si>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</si>
  <si>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</si>
  <si>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</si>
  <si>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</si>
  <si>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</si>
  <si>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</si>
  <si>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</si>
  <si>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</si>
  <si>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</si>
  <si>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</si>
  <si>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</si>
  <si>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</si>
  <si>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</si>
  <si>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</si>
  <si>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</si>
  <si>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</si>
  <si>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</si>
  <si>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</si>
  <si>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</si>
  <si>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</si>
  <si>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</si>
  <si>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</si>
  <si>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</si>
  <si>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</si>
  <si>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</si>
  <si>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</si>
  <si>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</si>
  <si>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</si>
  <si>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</si>
  <si>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</si>
  <si>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</si>
  <si>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</si>
  <si>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</si>
  <si>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</si>
  <si>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</si>
  <si>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</si>
  <si>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</si>
  <si>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</si>
  <si>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</si>
  <si>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</si>
  <si>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</si>
  <si>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</si>
  <si>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</si>
  <si>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</si>
  <si>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</si>
  <si>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</si>
  <si>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</si>
  <si>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</si>
  <si>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</si>
  <si>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</si>
  <si>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</si>
  <si>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</si>
  <si>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</si>
  <si>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</si>
  <si>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</si>
  <si>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</si>
  <si>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</si>
  <si>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</si>
  <si>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</si>
  <si>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</si>
  <si>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</si>
  <si>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</si>
  <si>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</si>
  <si>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</si>
  <si>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</si>
  <si>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</si>
  <si>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</si>
  <si>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</si>
  <si>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</si>
  <si>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</si>
  <si>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</si>
  <si>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</si>
  <si>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</si>
  <si>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</si>
  <si>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</si>
  <si>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</si>
  <si>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</si>
  <si>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</si>
  <si>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</si>
  <si>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</si>
  <si>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</si>
  <si>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</si>
  <si>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</si>
  <si>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</si>
  <si>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</si>
  <si>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</si>
  <si>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</si>
  <si>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</si>
  <si>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</si>
  <si>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</si>
  <si>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</si>
  <si>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</si>
  <si>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</si>
  <si>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</si>
  <si>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</si>
  <si>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</si>
  <si>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</si>
  <si>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</si>
  <si>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</si>
  <si>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</si>
  <si>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</si>
  <si>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</si>
  <si>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</si>
  <si>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</si>
  <si>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</si>
  <si>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</si>
  <si>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</si>
  <si>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</si>
  <si>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</si>
  <si>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</si>
  <si>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</si>
  <si>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</si>
  <si>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</si>
  <si>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</si>
  <si>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</si>
  <si>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</si>
  <si>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</si>
  <si>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</si>
  <si>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</si>
  <si>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</si>
  <si>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</si>
  <si>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</si>
  <si>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</si>
  <si>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</si>
  <si>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</si>
  <si>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</si>
  <si>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</si>
  <si>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</si>
  <si>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</si>
  <si>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</si>
  <si>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</si>
  <si>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</si>
  <si>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</si>
  <si>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</si>
  <si>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</si>
  <si>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</si>
  <si>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</si>
  <si>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</si>
  <si>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</si>
  <si>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</si>
  <si>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</si>
  <si>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</si>
  <si>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</si>
  <si>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</si>
  <si>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</si>
  <si>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</si>
  <si>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</si>
  <si>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</si>
  <si>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</si>
  <si>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</si>
  <si>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</si>
  <si>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</si>
  <si>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</si>
  <si>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</si>
  <si>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</si>
  <si>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</si>
  <si>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</si>
  <si>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</si>
  <si>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</si>
  <si>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</si>
  <si>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</si>
  <si>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</si>
  <si>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</si>
  <si>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</si>
  <si>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</si>
  <si>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</si>
  <si>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</si>
  <si>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</si>
  <si>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</si>
  <si>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</si>
  <si>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</si>
  <si>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</si>
  <si>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</si>
  <si>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</si>
  <si>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</si>
  <si>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</si>
  <si>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</si>
  <si>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</si>
  <si>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</si>
  <si>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</si>
  <si>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</si>
  <si>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</si>
  <si>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</si>
  <si>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</si>
  <si>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</si>
  <si>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</si>
  <si>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</si>
  <si>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</si>
  <si>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</si>
  <si>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</si>
  <si>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</si>
  <si>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</si>
  <si>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</si>
  <si>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</si>
  <si>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</si>
  <si>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</si>
  <si>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</si>
  <si>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</si>
  <si>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</si>
  <si>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</si>
  <si>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</si>
  <si>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</si>
  <si>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</si>
  <si>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</si>
  <si>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</si>
  <si>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</si>
  <si>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</si>
  <si>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</si>
  <si>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</si>
  <si>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</si>
  <si>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</si>
  <si>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</si>
  <si>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</si>
  <si>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</si>
  <si>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</si>
  <si>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</si>
  <si>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</si>
  <si>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</si>
  <si>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</si>
  <si>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</si>
  <si>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</si>
  <si>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</si>
  <si>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</si>
  <si>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</si>
  <si>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</si>
  <si>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</si>
  <si>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</si>
  <si>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</si>
  <si>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</si>
  <si>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</si>
  <si>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</si>
  <si>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</si>
  <si>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</si>
  <si>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</si>
  <si>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</si>
  <si>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</si>
  <si>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</si>
  <si>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</si>
  <si>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</si>
  <si>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</si>
  <si>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</si>
  <si>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</si>
  <si>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</si>
  <si>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</si>
  <si>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</si>
  <si>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</si>
  <si>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</si>
  <si>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</si>
  <si>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</si>
  <si>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</si>
  <si>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</si>
  <si>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</si>
  <si>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</si>
  <si>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</si>
  <si>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</si>
  <si>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</si>
  <si>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</si>
  <si>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</si>
  <si>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</si>
  <si>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</si>
  <si>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</si>
  <si>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</si>
  <si>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</si>
  <si>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</si>
  <si>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</si>
  <si>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</si>
  <si>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</si>
  <si>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</si>
  <si>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</si>
  <si>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</si>
  <si>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</si>
  <si>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</si>
  <si>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</si>
  <si>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</si>
  <si>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</si>
  <si>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</si>
  <si>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</si>
  <si>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</si>
  <si>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</si>
  <si>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</si>
  <si>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</si>
  <si>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</si>
  <si>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</si>
  <si>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</si>
  <si>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</si>
  <si>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</si>
  <si>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</si>
  <si>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</si>
  <si>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</si>
  <si>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</si>
  <si>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</si>
  <si>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</si>
  <si>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</si>
  <si>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</si>
  <si>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</si>
  <si>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</si>
  <si>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</si>
  <si>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</si>
  <si>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</si>
  <si>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</si>
  <si>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</si>
  <si>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</si>
  <si>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</si>
  <si>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</si>
  <si>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</si>
  <si>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</si>
  <si>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</si>
  <si>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</si>
  <si>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</si>
  <si>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</si>
  <si>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</si>
  <si>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</si>
  <si>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</si>
  <si>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</si>
  <si>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</si>
  <si>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</si>
  <si>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</si>
  <si>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</si>
  <si>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</si>
  <si>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</si>
  <si>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</si>
  <si>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</si>
  <si>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</si>
  <si>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</si>
  <si>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</si>
  <si>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</si>
  <si>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</si>
  <si>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</si>
  <si>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</si>
  <si>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</si>
  <si>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</si>
  <si>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</si>
  <si>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</si>
  <si>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</si>
  <si>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</si>
  <si>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</si>
  <si>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</si>
  <si>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</si>
  <si>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</si>
  <si>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</si>
  <si>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</si>
  <si>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</si>
  <si>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</si>
  <si>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</si>
  <si>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</si>
  <si>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</si>
  <si>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</si>
  <si>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</si>
  <si>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</si>
  <si>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</si>
  <si>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</si>
  <si>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</si>
  <si>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</si>
  <si>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</si>
  <si>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</si>
  <si>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</si>
  <si>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</si>
  <si>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</si>
  <si>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</si>
  <si>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</si>
  <si>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</si>
  <si>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</si>
  <si>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</si>
  <si>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</si>
  <si>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</si>
  <si>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</si>
  <si>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</si>
  <si>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</si>
  <si>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</si>
  <si>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</si>
  <si>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</si>
  <si>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</si>
  <si>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</si>
  <si>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</si>
  <si>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</si>
  <si>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</si>
  <si>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</si>
  <si>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</si>
  <si>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</si>
  <si>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</si>
  <si>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</si>
  <si>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</si>
  <si>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</si>
  <si>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</si>
  <si>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</si>
  <si>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</si>
  <si>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</si>
  <si>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</si>
  <si>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</si>
  <si>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</si>
  <si>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</si>
  <si>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</si>
  <si>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</si>
  <si>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</si>
  <si>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</si>
  <si>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</si>
  <si>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</si>
  <si>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</si>
  <si>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</si>
  <si>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</si>
  <si>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</si>
  <si>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</si>
  <si>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</si>
  <si>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</si>
  <si>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</si>
  <si>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</si>
  <si>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</si>
  <si>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</si>
  <si>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</si>
  <si>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</si>
  <si>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</si>
  <si>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</si>
  <si>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</si>
  <si>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</si>
  <si>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</si>
  <si>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</si>
  <si>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</si>
  <si>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</si>
  <si>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</si>
  <si>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</si>
  <si>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</si>
  <si>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</si>
  <si>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</si>
  <si>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</si>
  <si>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</si>
  <si>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</si>
  <si>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</si>
  <si>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</si>
  <si>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</si>
  <si>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</si>
  <si>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</si>
  <si>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</si>
  <si>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</si>
  <si>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</si>
  <si>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</si>
  <si>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</si>
  <si>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</si>
  <si>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</si>
  <si>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</si>
  <si>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</si>
  <si>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</si>
  <si>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</si>
  <si>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</si>
  <si>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</si>
  <si>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</si>
  <si>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</si>
  <si>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</si>
  <si>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</si>
  <si>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</si>
  <si>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</si>
  <si>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</si>
  <si>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</si>
  <si>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</si>
  <si>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</si>
  <si>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</si>
  <si>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</si>
  <si>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</si>
  <si>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</si>
  <si>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</si>
  <si>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</si>
  <si>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</si>
  <si>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</si>
  <si>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</si>
  <si>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</si>
  <si>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</si>
  <si>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</si>
  <si>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</si>
  <si>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</si>
  <si>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</si>
  <si>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</si>
  <si>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</si>
  <si>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</si>
  <si>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</si>
  <si>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</si>
  <si>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</si>
  <si>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</si>
  <si>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</si>
  <si>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</si>
  <si>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</si>
  <si>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</si>
  <si>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</si>
  <si>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</si>
  <si>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</si>
  <si>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</si>
  <si>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</si>
  <si>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</si>
  <si>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</si>
  <si>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</si>
  <si>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</si>
  <si>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</si>
  <si>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</si>
  <si>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</si>
  <si>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</si>
  <si>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</si>
  <si>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</si>
  <si>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</si>
  <si>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</si>
  <si>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</si>
  <si>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</si>
  <si>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</si>
  <si>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</si>
  <si>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</si>
  <si>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</si>
  <si>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</si>
  <si>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</si>
  <si>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</si>
  <si>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</si>
  <si>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</si>
  <si>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</si>
  <si>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</si>
  <si>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</si>
  <si>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</si>
  <si>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</si>
  <si>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</si>
  <si>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</si>
  <si>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</si>
  <si>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</si>
  <si>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</si>
  <si>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</si>
  <si>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</si>
  <si>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</si>
  <si>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</si>
  <si>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</si>
  <si>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</si>
  <si>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</si>
  <si>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</si>
  <si>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</si>
  <si>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</si>
  <si>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</si>
  <si>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</si>
  <si>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</si>
  <si>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</si>
  <si>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</si>
  <si>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</si>
  <si>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</si>
  <si>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</si>
  <si>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</si>
  <si>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</si>
  <si>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</si>
  <si>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</si>
  <si>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</si>
  <si>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</si>
  <si>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</si>
  <si>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</si>
  <si>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</si>
  <si>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</si>
  <si>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</si>
  <si>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</si>
  <si>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</si>
  <si>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</si>
  <si>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</si>
  <si>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</si>
  <si>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</si>
  <si>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</si>
  <si>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</si>
  <si>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</si>
  <si>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</si>
  <si>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</si>
  <si>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</si>
  <si>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</si>
  <si>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</si>
  <si>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</si>
  <si>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</si>
  <si>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</si>
  <si>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</si>
  <si>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</si>
  <si>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</si>
  <si>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</si>
  <si>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</si>
  <si>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</si>
  <si>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</si>
  <si>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</si>
  <si>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</si>
  <si>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</si>
  <si>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</si>
  <si>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</si>
  <si>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</si>
  <si>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</si>
  <si>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</si>
  <si>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</si>
  <si>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</si>
  <si>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</si>
  <si>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</si>
  <si>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</si>
  <si>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</si>
  <si>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</si>
  <si>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</si>
  <si>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</si>
  <si>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</si>
  <si>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</si>
  <si>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</si>
  <si>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</si>
  <si>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</si>
  <si>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</si>
  <si>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</si>
  <si>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</si>
  <si>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</si>
  <si>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</si>
  <si>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</si>
  <si>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</si>
  <si>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</si>
  <si>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</si>
  <si>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</si>
  <si>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</si>
  <si>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</si>
  <si>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</si>
  <si>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</si>
  <si>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</si>
  <si>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</si>
  <si>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</si>
  <si>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</si>
  <si>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</si>
  <si>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</si>
  <si>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</si>
  <si>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</si>
  <si>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</si>
  <si>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</si>
  <si>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</si>
  <si>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</si>
  <si>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</si>
  <si>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</si>
  <si>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</si>
  <si>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</si>
  <si>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</si>
  <si>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</si>
  <si>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</si>
  <si>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</si>
  <si>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</si>
  <si>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</si>
  <si>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</si>
  <si>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</si>
  <si>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</si>
  <si>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</si>
  <si>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</si>
  <si>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</si>
  <si>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</si>
  <si>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</si>
  <si>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</si>
  <si>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</si>
  <si>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</si>
  <si>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</si>
  <si>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</si>
  <si>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</si>
  <si>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</si>
  <si>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</si>
  <si>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</si>
  <si>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</si>
  <si>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</si>
  <si>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</si>
  <si>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</si>
  <si>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</si>
  <si>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</si>
  <si>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</si>
  <si>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</si>
  <si>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</si>
  <si>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</si>
  <si>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</si>
  <si>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</si>
  <si>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</si>
  <si>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</si>
  <si>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</si>
  <si>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</si>
  <si>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</si>
  <si>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</si>
  <si>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</si>
  <si>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</si>
  <si>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</si>
  <si>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</si>
  <si>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</si>
  <si>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</si>
  <si>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</si>
  <si>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</si>
  <si>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</si>
  <si>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</si>
  <si>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</si>
  <si>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</si>
  <si>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</si>
  <si>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</si>
  <si>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</si>
  <si>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</si>
  <si>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</si>
  <si>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</si>
  <si>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</si>
  <si>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</si>
  <si>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</si>
  <si>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</si>
  <si>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</si>
  <si>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</si>
  <si>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</si>
  <si>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</si>
  <si>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</si>
  <si>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</si>
  <si>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</si>
  <si>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</si>
  <si>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</si>
  <si>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</si>
  <si>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</si>
  <si>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</si>
  <si>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</si>
  <si>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</si>
  <si>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</si>
  <si>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</si>
  <si>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</si>
  <si>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</si>
  <si>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</si>
  <si>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</si>
  <si>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</si>
  <si>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</si>
  <si>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</si>
  <si>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</si>
  <si>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</si>
  <si>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</si>
  <si>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</si>
  <si>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</si>
  <si>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</si>
  <si>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</si>
  <si>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</si>
  <si>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</si>
  <si>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</si>
  <si>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</si>
  <si>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</si>
  <si>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</si>
  <si>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</si>
  <si>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</si>
  <si>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</si>
  <si>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</si>
  <si>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</si>
  <si>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</si>
  <si>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</si>
  <si>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</si>
  <si>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</si>
  <si>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</si>
  <si>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</si>
  <si>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</si>
  <si>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</si>
  <si>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</si>
  <si>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</si>
  <si>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</si>
  <si>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</si>
  <si>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</si>
  <si>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</si>
  <si>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</si>
  <si>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</si>
  <si>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</si>
  <si>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</si>
  <si>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</si>
  <si>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</si>
  <si>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</si>
  <si>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</si>
  <si>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</si>
  <si>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</si>
  <si>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</si>
  <si>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</si>
  <si>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</si>
  <si>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</si>
  <si>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</si>
  <si>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</si>
  <si>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</si>
  <si>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</si>
  <si>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</si>
  <si>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</si>
  <si>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</si>
  <si>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</si>
  <si>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</si>
  <si>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</si>
  <si>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</si>
  <si>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</si>
  <si>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</si>
  <si>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</si>
  <si>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</si>
  <si>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</si>
  <si>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</si>
  <si>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</si>
  <si>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</si>
  <si>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</si>
  <si>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</si>
  <si>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</si>
  <si>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</si>
  <si>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</si>
  <si>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</si>
  <si>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</si>
  <si>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</si>
  <si>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</si>
  <si>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</si>
  <si>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</si>
  <si>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</si>
  <si>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</si>
  <si>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</si>
  <si>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</si>
  <si>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</si>
  <si>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</si>
  <si>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</si>
  <si>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</si>
  <si>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</si>
  <si>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</si>
  <si>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</si>
  <si>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</si>
  <si>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</si>
  <si>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</si>
  <si>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</si>
  <si>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</si>
  <si>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</si>
  <si>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</si>
  <si>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</si>
  <si>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</si>
  <si>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</si>
  <si>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</si>
  <si>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</si>
  <si>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</si>
  <si>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</si>
  <si>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</si>
  <si>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</si>
  <si>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</si>
  <si>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</si>
  <si>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</si>
  <si>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</si>
  <si>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</si>
  <si>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</si>
  <si>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</si>
  <si>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</si>
  <si>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</si>
  <si>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</si>
  <si>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</si>
  <si>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</si>
  <si>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</si>
  <si>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</si>
  <si>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</si>
  <si>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</si>
  <si>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</si>
  <si>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</si>
  <si>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</si>
  <si>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</si>
  <si>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</si>
  <si>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</si>
  <si>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</si>
  <si>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</si>
  <si>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</si>
  <si>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</si>
  <si>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</si>
  <si>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</si>
  <si>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</si>
  <si>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</si>
  <si>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</si>
  <si>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</si>
  <si>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</si>
  <si>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</si>
  <si>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</si>
  <si>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</si>
  <si>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</si>
  <si>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</si>
  <si>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</si>
  <si>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</si>
  <si>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</si>
  <si>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</si>
  <si>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</si>
  <si>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</si>
  <si>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</si>
  <si>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</si>
  <si>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</si>
  <si>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</si>
  <si>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</si>
  <si>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</si>
  <si>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</si>
  <si>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</si>
  <si>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</si>
  <si>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</si>
  <si>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</si>
  <si>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</si>
  <si>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</si>
  <si>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</si>
  <si>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</si>
  <si>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</si>
  <si>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</si>
  <si>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</si>
  <si>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</si>
  <si>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</si>
  <si>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</si>
  <si>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</si>
  <si>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</si>
  <si>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</si>
  <si>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</si>
  <si>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</si>
  <si>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</si>
  <si>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</si>
  <si>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</si>
  <si>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</si>
  <si>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</si>
  <si>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</si>
  <si>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</si>
  <si>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</si>
  <si>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</si>
  <si>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</si>
  <si>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</si>
  <si>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</si>
  <si>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</si>
  <si>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</si>
  <si>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</si>
  <si>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</si>
  <si>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</si>
  <si>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</si>
  <si>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</si>
  <si>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</si>
  <si>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</si>
  <si>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</si>
  <si>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</si>
  <si>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</si>
  <si>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</si>
  <si>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</si>
  <si>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</si>
  <si>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</si>
  <si>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</si>
  <si>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</si>
  <si>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</si>
  <si>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</si>
  <si>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</si>
  <si>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</si>
  <si>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</si>
  <si>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</si>
  <si>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</si>
  <si>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</si>
  <si>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</si>
  <si>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</si>
  <si>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</si>
  <si>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</si>
  <si>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</si>
  <si>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</si>
  <si>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</si>
  <si>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</si>
  <si>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</si>
  <si>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</si>
  <si>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</si>
  <si>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</si>
  <si>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</si>
  <si>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</si>
  <si>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</si>
  <si>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</si>
  <si>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</si>
  <si>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</si>
  <si>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</si>
  <si>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</si>
  <si>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</si>
  <si>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</si>
  <si>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</si>
  <si>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</si>
  <si>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</si>
  <si>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</si>
  <si>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</si>
  <si>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</si>
  <si>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</si>
  <si>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</si>
  <si>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</si>
  <si>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</si>
  <si>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</si>
  <si>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</si>
  <si>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</si>
  <si>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</si>
  <si>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</si>
  <si>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</si>
  <si>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</si>
  <si>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</si>
  <si>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</si>
  <si>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</si>
  <si>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</si>
  <si>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</si>
  <si>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</si>
  <si>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</si>
  <si>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</si>
  <si>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</si>
  <si>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</si>
  <si>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</si>
  <si>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</si>
  <si>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</si>
  <si>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</si>
  <si>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</si>
  <si>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</si>
  <si>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</si>
  <si>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</si>
  <si>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</si>
  <si>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</si>
  <si>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</si>
  <si>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</si>
  <si>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</si>
  <si>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</si>
  <si>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</si>
  <si>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</si>
  <si>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</si>
  <si>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</si>
  <si>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</si>
  <si>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</si>
  <si>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</si>
  <si>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</si>
  <si>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</si>
  <si>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</si>
  <si>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</si>
  <si>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</si>
  <si>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</si>
  <si>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</si>
  <si>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</si>
  <si>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</si>
  <si>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</si>
  <si>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</si>
  <si>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</si>
  <si>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</si>
  <si>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</si>
  <si>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</si>
  <si>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</si>
  <si>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</si>
  <si>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</si>
  <si>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</si>
  <si>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</si>
  <si>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</si>
  <si>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</si>
  <si>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</si>
  <si>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</si>
  <si>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</si>
  <si>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</si>
  <si>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</si>
  <si>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</si>
  <si>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</si>
  <si>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</si>
  <si>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</si>
  <si>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</si>
  <si>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</si>
  <si>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</si>
  <si>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</si>
  <si>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</si>
  <si>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</si>
  <si>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</si>
  <si>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</si>
  <si>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</si>
  <si>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</si>
  <si>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</si>
  <si>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</si>
  <si>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</si>
  <si>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</si>
  <si>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</si>
  <si>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</si>
  <si>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</si>
  <si>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</si>
  <si>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</si>
  <si>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</si>
  <si>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</si>
  <si>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</si>
  <si>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</si>
  <si>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</si>
  <si>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</si>
  <si>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</si>
  <si>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</si>
  <si>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</si>
  <si>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</si>
  <si>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</si>
  <si>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</si>
  <si>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</si>
  <si>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</si>
  <si>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</si>
  <si>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</si>
  <si>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</si>
  <si>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</si>
  <si>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</si>
  <si>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</si>
  <si>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</si>
  <si>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</si>
  <si>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</si>
  <si>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</si>
  <si>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</si>
  <si>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</si>
  <si>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</si>
  <si>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</si>
  <si>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</si>
  <si>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</si>
  <si>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</si>
  <si>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</si>
  <si>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</si>
  <si>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</si>
  <si>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</si>
  <si>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</si>
  <si>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</si>
  <si>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</si>
  <si>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</si>
  <si>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</si>
  <si>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企业</t>
  </si>
  <si>
    <t>抵押</t>
  </si>
  <si>
    <t>房地产抵押价值</t>
  </si>
  <si>
    <t>9号楼</t>
    <phoneticPr fontId="134" type="noConversion"/>
  </si>
  <si>
    <t>商业</t>
    <phoneticPr fontId="134" type="noConversion"/>
  </si>
  <si>
    <t>乙9</t>
    <phoneticPr fontId="134" type="noConversion"/>
  </si>
  <si>
    <t>建筑面积</t>
    <phoneticPr fontId="134" type="noConversion"/>
  </si>
  <si>
    <t>甲9</t>
    <phoneticPr fontId="134" type="noConversion"/>
  </si>
  <si>
    <t>餐厅</t>
    <phoneticPr fontId="134" type="noConversion"/>
  </si>
  <si>
    <t>地下商业</t>
    <phoneticPr fontId="134" type="noConversion"/>
  </si>
  <si>
    <t>建筑面积</t>
    <phoneticPr fontId="134" type="noConversion"/>
  </si>
  <si>
    <t>合计</t>
  </si>
  <si>
    <t>合计</t>
    <phoneticPr fontId="134" type="noConversion"/>
  </si>
  <si>
    <t>办公</t>
    <phoneticPr fontId="134" type="noConversion"/>
  </si>
  <si>
    <t>商业</t>
    <phoneticPr fontId="134" type="noConversion"/>
  </si>
  <si>
    <t>地下商业</t>
    <phoneticPr fontId="134" type="noConversion"/>
  </si>
  <si>
    <t>地下餐厅</t>
    <phoneticPr fontId="134" type="noConversion"/>
  </si>
  <si>
    <t>乙9号楼</t>
    <phoneticPr fontId="134" type="noConversion"/>
  </si>
  <si>
    <t>甲9号楼</t>
    <phoneticPr fontId="134" type="noConversion"/>
  </si>
  <si>
    <t>北京通未登记用途</t>
    <phoneticPr fontId="134" type="noConversion"/>
  </si>
  <si>
    <t>无用途</t>
    <phoneticPr fontId="134" type="noConversion"/>
  </si>
  <si>
    <t>车位</t>
    <phoneticPr fontId="134" type="noConversion"/>
  </si>
  <si>
    <t>总计</t>
    <phoneticPr fontId="134" type="noConversion"/>
  </si>
  <si>
    <t>无用途</t>
    <phoneticPr fontId="134" type="noConversion"/>
  </si>
  <si>
    <t>地上</t>
  </si>
  <si>
    <t>地下</t>
  </si>
  <si>
    <t>是</t>
  </si>
  <si>
    <t>商业</t>
    <phoneticPr fontId="7" type="noConversion"/>
  </si>
  <si>
    <t>办公</t>
    <phoneticPr fontId="7" type="noConversion"/>
  </si>
  <si>
    <t>地下车库</t>
  </si>
  <si>
    <t>地下车库</t>
    <phoneticPr fontId="7" type="noConversion"/>
  </si>
  <si>
    <t>Ⅰ—02</t>
  </si>
  <si>
    <t>估价对象容积率</t>
  </si>
  <si>
    <t>与级别开发程度一致</t>
  </si>
  <si>
    <t>较好</t>
  </si>
  <si>
    <t>好</t>
  </si>
  <si>
    <t>不临65条商业街</t>
  </si>
  <si>
    <t>商务金融用地</t>
  </si>
  <si>
    <t>未包含在土地购买价格中</t>
  </si>
  <si>
    <t>全部缴纳</t>
  </si>
  <si>
    <t>已包含在土地取得成本中</t>
  </si>
  <si>
    <t>成新度</t>
  </si>
  <si>
    <t>成本法</t>
  </si>
  <si>
    <t>一层</t>
    <phoneticPr fontId="3" type="noConversion"/>
  </si>
  <si>
    <t>二层</t>
    <phoneticPr fontId="3" type="noConversion"/>
  </si>
  <si>
    <t>三层</t>
    <phoneticPr fontId="3" type="noConversion"/>
  </si>
  <si>
    <t>四层</t>
    <phoneticPr fontId="3" type="noConversion"/>
  </si>
  <si>
    <t>地下一层</t>
    <phoneticPr fontId="3" type="noConversion"/>
  </si>
  <si>
    <t>楼层</t>
    <phoneticPr fontId="3" type="noConversion"/>
  </si>
  <si>
    <t>系数</t>
    <phoneticPr fontId="3" type="noConversion"/>
  </si>
  <si>
    <t>面积</t>
    <phoneticPr fontId="3" type="noConversion"/>
  </si>
  <si>
    <t>面积</t>
    <phoneticPr fontId="134" type="noConversion"/>
  </si>
  <si>
    <t>商业一层</t>
    <phoneticPr fontId="134" type="noConversion"/>
  </si>
  <si>
    <t>商业二层</t>
    <phoneticPr fontId="134" type="noConversion"/>
  </si>
  <si>
    <t>商业三层</t>
    <phoneticPr fontId="134" type="noConversion"/>
  </si>
  <si>
    <t>商业四层</t>
    <phoneticPr fontId="134" type="noConversion"/>
  </si>
  <si>
    <t>地下一层商业</t>
    <phoneticPr fontId="134" type="noConversion"/>
  </si>
  <si>
    <t>租金</t>
    <phoneticPr fontId="3" type="noConversion"/>
  </si>
  <si>
    <t>直线</t>
    <phoneticPr fontId="3" type="noConversion"/>
  </si>
  <si>
    <t>观察</t>
    <phoneticPr fontId="3" type="noConversion"/>
  </si>
  <si>
    <t>综合</t>
    <phoneticPr fontId="3" type="noConversion"/>
  </si>
  <si>
    <t>押一</t>
  </si>
  <si>
    <t>钢混</t>
  </si>
  <si>
    <t>非生产用房</t>
  </si>
  <si>
    <t>否</t>
  </si>
  <si>
    <t>商业收益法</t>
  </si>
  <si>
    <t>商业收益法</t>
    <phoneticPr fontId="16" type="noConversion"/>
  </si>
  <si>
    <t xml:space="preserve">办公收益法 </t>
  </si>
  <si>
    <t xml:space="preserve">办公收益法 </t>
    <phoneticPr fontId="16" type="noConversion"/>
  </si>
  <si>
    <t>地下车库收益法</t>
  </si>
  <si>
    <t>地下车库收益法</t>
    <phoneticPr fontId="16" type="noConversion"/>
  </si>
  <si>
    <t>总价</t>
  </si>
  <si>
    <t>成本比率</t>
  </si>
  <si>
    <t>商业结果表</t>
    <phoneticPr fontId="16" type="noConversion"/>
  </si>
  <si>
    <t>商业成本法</t>
  </si>
  <si>
    <t>商业成本法</t>
    <phoneticPr fontId="16" type="noConversion"/>
  </si>
  <si>
    <t xml:space="preserve">办公结果表 </t>
    <phoneticPr fontId="16" type="noConversion"/>
  </si>
  <si>
    <t>办公成本法</t>
  </si>
  <si>
    <t>办公成本法</t>
    <phoneticPr fontId="16" type="noConversion"/>
  </si>
  <si>
    <t>地下车库结果表</t>
    <phoneticPr fontId="16" type="noConversion"/>
  </si>
  <si>
    <t>地下车库成本法</t>
  </si>
  <si>
    <t>地下车库成本法</t>
    <phoneticPr fontId="16" type="noConversion"/>
  </si>
  <si>
    <t>地下车库</t>
    <phoneticPr fontId="134" type="noConversion"/>
  </si>
  <si>
    <r>
      <t>（规划）建筑面积（m</t>
    </r>
    <r>
      <rPr>
        <b/>
        <vertAlign val="superscript"/>
        <sz val="8"/>
        <color theme="1"/>
        <rFont val="微软雅黑"/>
        <family val="2"/>
        <charset val="134"/>
      </rPr>
      <t>2</t>
    </r>
    <r>
      <rPr>
        <b/>
        <sz val="11"/>
        <color theme="1"/>
        <rFont val="微软雅黑"/>
        <family val="2"/>
        <charset val="134"/>
      </rPr>
      <t>）</t>
    </r>
    <phoneticPr fontId="134" type="noConversion"/>
  </si>
  <si>
    <r>
      <t>（分摊）土地面积（m</t>
    </r>
    <r>
      <rPr>
        <b/>
        <vertAlign val="superscript"/>
        <sz val="8"/>
        <color theme="1"/>
        <rFont val="微软雅黑"/>
        <family val="2"/>
        <charset val="134"/>
      </rPr>
      <t>2</t>
    </r>
    <r>
      <rPr>
        <b/>
        <sz val="11"/>
        <color theme="1"/>
        <rFont val="微软雅黑"/>
        <family val="2"/>
        <charset val="134"/>
      </rPr>
      <t>）</t>
    </r>
    <phoneticPr fontId="134" type="noConversion"/>
  </si>
  <si>
    <t>售价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</si>
</sst>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b/>
      <vertAlign val="superscript"/>
      <sz val="8"/>
      <color theme="1"/>
      <name val="微软雅黑"/>
      <family val="2"/>
      <charset val="134"/>
    </font>
    <font>
      <b/>
      <sz val="11"/>
      <color theme="1"/>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5"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pplyAlignment="1">
      <alignment horizontal="left" vertical="center"/>
    </xf>
    <xf numFmtId="0" fontId="95" fillId="22" borderId="1" xfId="0" applyFont="1" applyFill="1" applyBorder="1" applyAlignment="1">
      <alignment horizontal="left" vertical="center"/>
    </xf>
    <xf numFmtId="0" fontId="0" fillId="22" borderId="1" xfId="0" applyFill="1" applyBorder="1" applyAlignment="1">
      <alignment horizontal="left" vertical="center"/>
    </xf>
    <xf numFmtId="0" fontId="95" fillId="23" borderId="1" xfId="0" applyFont="1" applyFill="1" applyBorder="1" applyAlignment="1">
      <alignment horizontal="left" vertical="center"/>
    </xf>
    <xf numFmtId="0" fontId="0" fillId="23" borderId="1" xfId="0" applyFill="1" applyBorder="1" applyAlignment="1">
      <alignment horizontal="left" vertical="center"/>
    </xf>
    <xf numFmtId="0" fontId="95" fillId="21" borderId="1" xfId="0" applyFont="1" applyFill="1" applyBorder="1" applyAlignment="1">
      <alignment horizontal="left" vertical="center"/>
    </xf>
    <xf numFmtId="0" fontId="0" fillId="21" borderId="1" xfId="0" applyFill="1" applyBorder="1" applyAlignment="1">
      <alignment horizontal="left" vertical="center"/>
    </xf>
    <xf numFmtId="0" fontId="271" fillId="5" borderId="1" xfId="0" applyFont="1" applyFill="1" applyBorder="1" applyAlignment="1">
      <alignment horizontal="left" vertical="center"/>
    </xf>
    <xf numFmtId="0" fontId="95" fillId="5" borderId="1" xfId="0" applyFont="1" applyFill="1" applyBorder="1" applyAlignment="1">
      <alignment horizontal="left" vertical="center"/>
    </xf>
    <xf numFmtId="0" fontId="0" fillId="5" borderId="1" xfId="0" applyFill="1" applyBorder="1" applyAlignment="1">
      <alignment horizontal="left" vertical="center"/>
    </xf>
    <xf numFmtId="0" fontId="95" fillId="0" borderId="0" xfId="0" applyFont="1" applyAlignment="1">
      <alignment horizontal="left" vertical="center" wrapText="1"/>
    </xf>
    <xf numFmtId="0" fontId="47" fillId="12" borderId="0" xfId="0" applyFont="1" applyFill="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273" fillId="6" borderId="13" xfId="12" applyFont="1" applyFill="1" applyBorder="1" applyAlignment="1">
      <alignment horizontal="left" vertical="center" wrapText="1"/>
    </xf>
    <xf numFmtId="0" fontId="273" fillId="6" borderId="1" xfId="12" applyFont="1" applyFill="1" applyBorder="1" applyAlignment="1">
      <alignment horizontal="left" vertical="center" wrapText="1"/>
    </xf>
    <xf numFmtId="0" fontId="273" fillId="0" borderId="13" xfId="12" applyFont="1" applyBorder="1" applyAlignment="1" applyProtection="1">
      <alignment horizontal="left" vertical="center" wrapText="1"/>
      <protection locked="0"/>
    </xf>
    <xf numFmtId="0" fontId="273" fillId="0" borderId="1" xfId="12" applyFont="1" applyBorder="1" applyAlignment="1" applyProtection="1">
      <alignment horizontal="left" vertical="center" wrapText="1"/>
      <protection locked="0"/>
    </xf>
    <xf numFmtId="0" fontId="273" fillId="6" borderId="1" xfId="12" applyFont="1" applyFill="1" applyBorder="1" applyAlignment="1">
      <alignment horizontal="left" vertical="center"/>
    </xf>
    <xf numFmtId="0" fontId="273" fillId="0" borderId="1" xfId="12" applyFont="1" applyBorder="1" applyAlignment="1" applyProtection="1">
      <alignment horizontal="left"/>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246" fillId="6" borderId="60" xfId="0" applyFont="1" applyFill="1" applyBorder="1" applyAlignment="1">
      <alignment horizontal="left" vertical="center"/>
    </xf>
    <xf numFmtId="0" fontId="95" fillId="6" borderId="0" xfId="0" applyFont="1" applyFill="1" applyAlignment="1">
      <alignment horizontal="center" vertical="center" wrapText="1"/>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58" xfId="0" applyFont="1" applyBorder="1" applyAlignment="1">
      <alignment horizontal="center" vertical="center" wrapText="1"/>
    </xf>
    <xf numFmtId="0" fontId="0" fillId="0" borderId="58" xfId="0" applyBorder="1" applyAlignment="1">
      <alignment horizontal="center" vertical="center" wrapText="1"/>
    </xf>
    <xf numFmtId="0" fontId="95" fillId="22" borderId="13" xfId="0" applyFont="1" applyFill="1" applyBorder="1" applyAlignment="1">
      <alignment horizontal="left" vertical="center"/>
    </xf>
    <xf numFmtId="0" fontId="95" fillId="22" borderId="15" xfId="0" applyFont="1" applyFill="1" applyBorder="1" applyAlignment="1">
      <alignment horizontal="left" vertical="center"/>
    </xf>
    <xf numFmtId="0" fontId="95" fillId="22" borderId="2" xfId="0" applyFont="1" applyFill="1" applyBorder="1" applyAlignment="1">
      <alignment horizontal="left" vertical="center"/>
    </xf>
    <xf numFmtId="0" fontId="95" fillId="23" borderId="13" xfId="0" applyFont="1" applyFill="1" applyBorder="1" applyAlignment="1">
      <alignment horizontal="left" vertical="center"/>
    </xf>
    <xf numFmtId="0" fontId="95" fillId="23" borderId="2"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0" borderId="1" xfId="0" applyFont="1" applyBorder="1">
      <alignment vertical="center"/>
    </xf>
    <xf numFmtId="0" fontId="47" fillId="0" borderId="1" xfId="0" applyFont="1" applyBorder="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估价对象为北京市房地产，为所有。根据《国有土地使用证》[]，估价对象（分摊）出让国有建设用地使用权面积为13767.47平方米，建筑面积为139616.6平方米。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估价对象为北京市房地产,属开发建设的，该项目尚在开发建设中。根据《国有土地使用证》[]，估价对象（分摊）出让国有建设用地使用权面积为13767.47平方米，规划建筑面积为139616.6平方米。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2025年5月27日（评估专业人员实地查勘之日）</v>
      </c>
    </row>
    <row r="13" spans="1:2">
      <c r="A13" s="1117" t="s">
        <v>529</v>
      </c>
      <c r="B13" s="1118" t="str">
        <f>'预评函-1'!A18</f>
        <v>本次估价的“房地产价值”是指在正常市场情况下，在价值时点2025年5月27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97492</v>
      </c>
    </row>
    <row r="21" spans="1:2">
      <c r="A21" s="1117" t="s">
        <v>537</v>
      </c>
      <c r="B21" s="1118">
        <f ca="1">'预评函-2'!D7</f>
        <v>6983</v>
      </c>
    </row>
    <row r="22" spans="1:2">
      <c r="A22" s="1117" t="s">
        <v>538</v>
      </c>
      <c r="B22" s="1118" t="str">
        <f ca="1">'预评函-2'!D6</f>
        <v>玖亿柒仟肆佰玖拾贰万元整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97492</v>
      </c>
    </row>
    <row r="31" spans="1:2">
      <c r="A31" s="1117" t="s">
        <v>576</v>
      </c>
      <c r="B31" s="1118">
        <f ca="1">'预评函-2'!D15</f>
        <v>6983</v>
      </c>
    </row>
    <row r="32" spans="1:2">
      <c r="A32" s="1117" t="s">
        <v>543</v>
      </c>
      <c r="B32" s="1118" t="str">
        <f ca="1">'预评函-2'!D14</f>
        <v>玖亿柒仟肆佰玖拾贰万元整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139616.6</v>
      </c>
    </row>
    <row r="44" spans="1:2">
      <c r="A44" s="1117" t="s">
        <v>575</v>
      </c>
      <c r="B44" s="1118" t="str">
        <f>'预评函-3'!C2</f>
        <v>(分摊)土地面积</v>
      </c>
    </row>
    <row r="45" spans="1:2">
      <c r="A45" s="1117" t="s">
        <v>547</v>
      </c>
      <c r="B45" s="1118">
        <f>'预评函-3'!C4</f>
        <v>13767.47</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2486</v>
      </c>
      <c r="B1" s="2753"/>
      <c r="C1" s="2753"/>
      <c r="D1" s="2753"/>
      <c r="E1" s="2753"/>
      <c r="F1" s="2754"/>
      <c r="I1" s="3131" t="s">
        <v>2579</v>
      </c>
      <c r="J1" s="2779"/>
      <c r="K1" s="2779"/>
      <c r="L1" s="2779"/>
      <c r="M1" s="2779"/>
      <c r="N1" s="2964"/>
      <c r="O1" s="2964"/>
      <c r="P1" s="2964"/>
      <c r="Q1" s="2964"/>
      <c r="R1" s="2964"/>
    </row>
    <row r="2" spans="1:18">
      <c r="A2" s="2756"/>
      <c r="B2" s="2757"/>
      <c r="C2" s="2757"/>
      <c r="D2" s="2757"/>
      <c r="E2" s="2757"/>
      <c r="F2" s="2758"/>
      <c r="I2" s="3219" t="s">
        <v>2566</v>
      </c>
      <c r="J2" s="3219"/>
      <c r="K2" s="3219"/>
      <c r="L2" s="3219"/>
      <c r="M2" s="3219"/>
      <c r="N2" s="3219"/>
      <c r="O2" s="3219"/>
      <c r="P2" s="3219"/>
      <c r="Q2" s="3219"/>
      <c r="R2" s="3219"/>
    </row>
    <row r="3" spans="1:18">
      <c r="A3" s="2759" t="s">
        <v>2487</v>
      </c>
      <c r="B3" s="2760">
        <f>项目基本情况!D3</f>
        <v>45804</v>
      </c>
      <c r="C3" s="2762"/>
      <c r="D3" s="2762"/>
      <c r="E3" s="2762"/>
      <c r="F3" s="2758"/>
      <c r="I3" s="2774"/>
      <c r="J3" s="2774" t="s">
        <v>2570</v>
      </c>
      <c r="K3" s="2774" t="s">
        <v>2571</v>
      </c>
      <c r="L3" s="2774" t="s">
        <v>2572</v>
      </c>
      <c r="M3" s="2774" t="s">
        <v>2573</v>
      </c>
      <c r="N3" s="3132" t="s">
        <v>2574</v>
      </c>
      <c r="O3" s="3132" t="s">
        <v>2575</v>
      </c>
      <c r="P3" s="3132" t="s">
        <v>2576</v>
      </c>
      <c r="Q3" s="3132" t="s">
        <v>2577</v>
      </c>
      <c r="R3" s="3132" t="s">
        <v>2578</v>
      </c>
    </row>
    <row r="4" spans="1:18">
      <c r="A4" s="2759" t="s">
        <v>2488</v>
      </c>
      <c r="B4" s="2762" t="s">
        <v>2489</v>
      </c>
      <c r="C4" s="2762" t="s">
        <v>2490</v>
      </c>
      <c r="D4" s="2762" t="s">
        <v>2491</v>
      </c>
      <c r="E4" s="2762" t="s">
        <v>2492</v>
      </c>
      <c r="F4" s="2758"/>
      <c r="I4" s="2774" t="s">
        <v>2567</v>
      </c>
      <c r="J4" s="2774">
        <v>80</v>
      </c>
      <c r="K4" s="2774">
        <v>70</v>
      </c>
      <c r="L4" s="2774">
        <v>20</v>
      </c>
      <c r="M4" s="2774">
        <v>30</v>
      </c>
      <c r="N4" s="2762">
        <v>45</v>
      </c>
      <c r="O4" s="2762">
        <v>60</v>
      </c>
      <c r="P4" s="2762">
        <v>50</v>
      </c>
      <c r="Q4" s="2762">
        <v>20</v>
      </c>
      <c r="R4" s="2762">
        <v>375</v>
      </c>
    </row>
    <row r="5" spans="1:18">
      <c r="A5" s="2763">
        <v>40</v>
      </c>
      <c r="B5" s="2760">
        <v>46375</v>
      </c>
      <c r="C5" s="2762">
        <f>ROUNDDOWN(MIN((B5-B3)/365,A5),2)</f>
        <v>1.56</v>
      </c>
      <c r="D5" s="2764">
        <f>IF(ISERROR(ROUND(POWER(1+E5,A5-C5)*(POWER(1+E5,C5)-1)/(POWER(1+E5,A5)-1),3)),0,ROUND(POWER(1+E5,A5-C5)*(POWER(1+E5,C5)-1)/(POWER(1+E5,A5)-1),4))</f>
        <v>7.4999999999999997E-2</v>
      </c>
      <c r="E5" s="2765">
        <v>0.04</v>
      </c>
      <c r="F5" s="2758"/>
      <c r="I5" s="2774" t="s">
        <v>2568</v>
      </c>
      <c r="J5" s="2774">
        <v>70</v>
      </c>
      <c r="K5" s="2774">
        <v>60</v>
      </c>
      <c r="L5" s="2774">
        <v>15</v>
      </c>
      <c r="M5" s="2774">
        <v>25</v>
      </c>
      <c r="N5" s="2762">
        <v>40</v>
      </c>
      <c r="O5" s="2762">
        <v>50</v>
      </c>
      <c r="P5" s="2762">
        <v>40</v>
      </c>
      <c r="Q5" s="2762">
        <v>15</v>
      </c>
      <c r="R5" s="2762">
        <v>315</v>
      </c>
    </row>
    <row r="6" spans="1:18">
      <c r="A6" s="2763">
        <v>50</v>
      </c>
      <c r="B6" s="2760">
        <v>50028</v>
      </c>
      <c r="C6" s="2762">
        <f>ROUNDDOWN(MIN((B6-B3)/365,A6),2)</f>
        <v>11.57</v>
      </c>
      <c r="D6" s="2764">
        <f>IF(ISERROR(ROUND(POWER(1+E6,A6-C6)*(POWER(1+E6,C6)-1)/(POWER(1+E6,A6)-1),3)),0,ROUND(POWER(1+E6,A6-C6)*(POWER(1+E6,C6)-1)/(POWER(1+E6,A6)-1),4))</f>
        <v>0.42449999999999999</v>
      </c>
      <c r="E6" s="2765">
        <v>0.04</v>
      </c>
      <c r="F6" s="2758"/>
      <c r="I6" s="2774" t="s">
        <v>2569</v>
      </c>
      <c r="J6" s="2774">
        <v>60</v>
      </c>
      <c r="K6" s="2774">
        <v>50</v>
      </c>
      <c r="L6" s="2774">
        <v>10</v>
      </c>
      <c r="M6" s="2774">
        <v>20</v>
      </c>
      <c r="N6" s="2762">
        <v>35</v>
      </c>
      <c r="O6" s="2762">
        <v>40</v>
      </c>
      <c r="P6" s="2762">
        <v>30</v>
      </c>
      <c r="Q6" s="2762">
        <v>10</v>
      </c>
      <c r="R6" s="2762">
        <v>255</v>
      </c>
    </row>
    <row r="7" spans="1:18">
      <c r="A7" s="2763">
        <v>70</v>
      </c>
      <c r="B7" s="2760">
        <v>57333</v>
      </c>
      <c r="C7" s="2762">
        <f>ROUNDDOWN(MIN((B7-B3)/365,A7),2)</f>
        <v>31.58</v>
      </c>
      <c r="D7" s="2764">
        <f>IF(ISERROR(ROUND(POWER(1+E7,A7-C7)*(POWER(1+E7,C7)-1)/(POWER(1+E7,A7)-1),3)),0,ROUND(POWER(1+E7,A7-C7)*(POWER(1+E7,C7)-1)/(POWER(1+E7,A7)-1),4))</f>
        <v>0.75890000000000002</v>
      </c>
      <c r="E7" s="2765">
        <v>0.04</v>
      </c>
      <c r="F7" s="2758"/>
    </row>
    <row r="8" spans="1:18">
      <c r="A8" s="2756"/>
      <c r="B8" s="2757"/>
      <c r="C8" s="2757"/>
      <c r="D8" s="2757"/>
      <c r="E8" s="2757"/>
      <c r="F8" s="2758"/>
    </row>
    <row r="9" spans="1:18">
      <c r="A9" s="2759" t="s">
        <v>2493</v>
      </c>
      <c r="B9" s="2762"/>
      <c r="C9" s="2762"/>
      <c r="D9" s="2762"/>
      <c r="E9" s="2762"/>
      <c r="F9" s="2766"/>
    </row>
    <row r="10" spans="1:18">
      <c r="A10" s="2759" t="s">
        <v>2494</v>
      </c>
      <c r="B10" s="2762"/>
      <c r="C10" s="2762"/>
      <c r="D10" s="2762" t="s">
        <v>2492</v>
      </c>
      <c r="E10" s="2762"/>
      <c r="F10" s="2766" t="s">
        <v>2491</v>
      </c>
    </row>
    <row r="11" spans="1:18">
      <c r="A11" s="2759" t="s">
        <v>2495</v>
      </c>
      <c r="B11" s="2767">
        <v>70</v>
      </c>
      <c r="C11" s="2762" t="s">
        <v>2496</v>
      </c>
      <c r="D11" s="2767">
        <v>4.4999999999999998E-2</v>
      </c>
      <c r="E11" s="2762" t="s">
        <v>2497</v>
      </c>
      <c r="F11" s="2768">
        <f>ROUND(1-(1/(POWER(1+D11,B11))),4)</f>
        <v>0.95409999999999995</v>
      </c>
    </row>
    <row r="12" spans="1:18">
      <c r="A12" s="2759" t="s">
        <v>2498</v>
      </c>
      <c r="B12" s="2767">
        <v>40</v>
      </c>
      <c r="C12" s="2762" t="s">
        <v>2499</v>
      </c>
      <c r="D12" s="2767">
        <v>4.4999999999999998E-2</v>
      </c>
      <c r="E12" s="2762" t="s">
        <v>2500</v>
      </c>
      <c r="F12" s="2768">
        <f>ROUND(1-(1/(POWER(1+D12,B12))),4)</f>
        <v>0.82809999999999995</v>
      </c>
    </row>
    <row r="13" spans="1:18">
      <c r="A13" s="2759" t="s">
        <v>2501</v>
      </c>
      <c r="B13" s="2762"/>
      <c r="C13" s="2762"/>
      <c r="D13" s="2757"/>
      <c r="E13" s="2757"/>
      <c r="F13" s="2758"/>
    </row>
    <row r="14" spans="1:18">
      <c r="A14" s="2759" t="s">
        <v>2502</v>
      </c>
      <c r="B14" s="2767">
        <v>5000</v>
      </c>
      <c r="C14" s="2761"/>
      <c r="D14" s="2757"/>
      <c r="E14" s="2757"/>
      <c r="F14" s="2758"/>
    </row>
    <row r="15" spans="1:18">
      <c r="A15" s="2759" t="s">
        <v>2503</v>
      </c>
      <c r="B15" s="2762">
        <f>ROUND(B14*F12/F11,2)</f>
        <v>4339.6899999999996</v>
      </c>
      <c r="C15" s="2762">
        <f>ROUND(F12/F11,4)</f>
        <v>0.8679</v>
      </c>
      <c r="D15" s="2757"/>
      <c r="E15" s="2757"/>
      <c r="F15" s="2758"/>
    </row>
    <row r="16" spans="1:18">
      <c r="A16" s="2759" t="s">
        <v>2504</v>
      </c>
      <c r="B16" s="2762"/>
      <c r="C16" s="2762"/>
      <c r="D16" s="2757"/>
      <c r="E16" s="2757"/>
      <c r="F16" s="2758"/>
    </row>
    <row r="17" spans="1:14">
      <c r="A17" s="2759" t="s">
        <v>2503</v>
      </c>
      <c r="B17" s="2767">
        <v>4810</v>
      </c>
      <c r="C17" s="2761"/>
      <c r="D17" s="2757"/>
      <c r="E17" s="2757"/>
      <c r="F17" s="2758"/>
    </row>
    <row r="18" spans="1:14" ht="14.25" thickBot="1">
      <c r="A18" s="2769" t="s">
        <v>2502</v>
      </c>
      <c r="B18" s="2770">
        <f>ROUND(B17*F11/F12,2)</f>
        <v>5541.87</v>
      </c>
      <c r="C18" s="2770">
        <f>ROUND(F11/F12,4)</f>
        <v>1.1521999999999999</v>
      </c>
      <c r="D18" s="2771"/>
      <c r="E18" s="2771"/>
      <c r="F18" s="2772"/>
    </row>
    <row r="19" spans="1:14" ht="14.25" thickBot="1"/>
    <row r="20" spans="1:14" s="2805" customFormat="1" ht="14.25" thickTop="1">
      <c r="A20" s="2802" t="s">
        <v>2505</v>
      </c>
      <c r="B20" s="2803"/>
      <c r="C20" s="2803"/>
      <c r="D20" s="2803"/>
      <c r="E20" s="2803"/>
      <c r="F20" s="2803"/>
      <c r="G20" s="2804"/>
      <c r="I20" s="2806" t="s">
        <v>2550</v>
      </c>
      <c r="J20" s="2806" t="s">
        <v>2555</v>
      </c>
      <c r="K20" s="2806"/>
      <c r="L20" s="2806"/>
      <c r="M20" s="2806"/>
    </row>
    <row r="21" spans="1:14">
      <c r="A21" s="2773"/>
      <c r="B21" s="2774" t="s">
        <v>2506</v>
      </c>
      <c r="C21" s="2774" t="s">
        <v>2507</v>
      </c>
      <c r="D21" s="2774" t="s">
        <v>2508</v>
      </c>
      <c r="E21" s="2774" t="s">
        <v>2509</v>
      </c>
      <c r="F21" s="2774" t="s">
        <v>2510</v>
      </c>
      <c r="G21" s="2775" t="s">
        <v>2511</v>
      </c>
      <c r="I21" s="2796">
        <v>5</v>
      </c>
      <c r="J21" s="2796">
        <v>54.2</v>
      </c>
    </row>
    <row r="22" spans="1:14">
      <c r="A22" s="2773" t="s">
        <v>2512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2553</v>
      </c>
      <c r="N23" s="3149" t="s">
        <v>2554</v>
      </c>
    </row>
    <row r="24" spans="1:14">
      <c r="A24" s="2773" t="s">
        <v>2514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2552</v>
      </c>
      <c r="N24" s="3149">
        <v>10</v>
      </c>
    </row>
    <row r="25" spans="1:14">
      <c r="A25" s="2773" t="s">
        <v>2515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2556</v>
      </c>
      <c r="N25" s="3149">
        <v>8</v>
      </c>
    </row>
    <row r="26" spans="1:14">
      <c r="A26" s="2778"/>
      <c r="B26" s="2779"/>
      <c r="C26" s="2779"/>
      <c r="D26" s="2779"/>
      <c r="E26" s="2779"/>
      <c r="F26" s="2779"/>
      <c r="G26" s="2780"/>
      <c r="I26" s="2796">
        <v>30</v>
      </c>
      <c r="J26" s="2796">
        <v>90.5</v>
      </c>
      <c r="K26" s="2796">
        <f t="shared" si="2"/>
        <v>4.2000000000000028</v>
      </c>
      <c r="L26" s="2796" t="s">
        <v>2557</v>
      </c>
      <c r="N26" s="3149">
        <v>5</v>
      </c>
    </row>
    <row r="27" spans="1:14">
      <c r="A27" s="2778" t="s">
        <v>2516</v>
      </c>
      <c r="B27" s="2779"/>
      <c r="C27" s="2779"/>
      <c r="D27" s="2779"/>
      <c r="E27" s="2779"/>
      <c r="F27" s="2779"/>
      <c r="G27" s="2780"/>
      <c r="I27" s="2796">
        <v>35</v>
      </c>
      <c r="J27" s="2796">
        <v>93.8</v>
      </c>
      <c r="K27" s="2796">
        <f t="shared" si="2"/>
        <v>3.2999999999999972</v>
      </c>
      <c r="L27" s="2796" t="s">
        <v>2558</v>
      </c>
      <c r="N27" s="3149">
        <v>3</v>
      </c>
    </row>
    <row r="28" spans="1:14">
      <c r="A28" s="2778" t="s">
        <v>2517</v>
      </c>
      <c r="B28" s="2779"/>
      <c r="C28" s="2779"/>
      <c r="D28" s="2779"/>
      <c r="E28" s="2779"/>
      <c r="F28" s="2779"/>
      <c r="G28" s="2780"/>
      <c r="I28" s="2796">
        <v>40</v>
      </c>
      <c r="J28" s="2796">
        <v>96.4</v>
      </c>
      <c r="K28" s="2796">
        <f t="shared" si="2"/>
        <v>2.6000000000000085</v>
      </c>
      <c r="L28" s="2796" t="s">
        <v>2559</v>
      </c>
      <c r="N28" s="3149">
        <v>2</v>
      </c>
    </row>
    <row r="29" spans="1:14">
      <c r="A29" s="2778" t="s">
        <v>2518</v>
      </c>
      <c r="B29" s="2779"/>
      <c r="C29" s="2779"/>
      <c r="D29" s="2779"/>
      <c r="E29" s="2779"/>
      <c r="F29" s="2779"/>
      <c r="G29" s="2780"/>
      <c r="I29" s="2796">
        <v>45</v>
      </c>
      <c r="J29" s="2796">
        <v>98.4</v>
      </c>
      <c r="K29" s="2796">
        <f t="shared" si="2"/>
        <v>2</v>
      </c>
    </row>
    <row r="30" spans="1:14">
      <c r="A30" s="2778" t="s">
        <v>2519</v>
      </c>
      <c r="B30" s="2779"/>
      <c r="C30" s="2779"/>
      <c r="D30" s="2779"/>
      <c r="E30" s="2779"/>
      <c r="F30" s="2779"/>
      <c r="G30" s="2780"/>
      <c r="I30" s="2796">
        <v>50</v>
      </c>
      <c r="J30" s="2796">
        <v>100</v>
      </c>
      <c r="K30" s="2796">
        <f t="shared" si="2"/>
        <v>1.5999999999999943</v>
      </c>
    </row>
    <row r="31" spans="1:14">
      <c r="A31" s="2778" t="s">
        <v>2520</v>
      </c>
      <c r="B31" s="2779"/>
      <c r="C31" s="2779"/>
      <c r="D31" s="2779"/>
      <c r="E31" s="2779"/>
      <c r="F31" s="2779"/>
      <c r="G31" s="2780"/>
      <c r="I31" s="2796" t="s">
        <v>2551</v>
      </c>
    </row>
    <row r="32" spans="1:14">
      <c r="A32" s="2778" t="s">
        <v>2521</v>
      </c>
      <c r="B32" s="2779"/>
      <c r="C32" s="2779"/>
      <c r="D32" s="2779"/>
      <c r="E32" s="2779"/>
      <c r="F32" s="2779"/>
      <c r="G32" s="2780"/>
    </row>
    <row r="33" spans="1:14">
      <c r="A33" s="2778" t="s">
        <v>2522</v>
      </c>
      <c r="B33" s="2779"/>
      <c r="C33" s="2779"/>
      <c r="D33" s="2779"/>
      <c r="E33" s="2779"/>
      <c r="F33" s="2779"/>
      <c r="G33" s="2780"/>
      <c r="I33" s="2796" t="s">
        <v>2550</v>
      </c>
      <c r="J33" s="2796" t="s">
        <v>2560</v>
      </c>
    </row>
    <row r="34" spans="1:14">
      <c r="A34" s="2778" t="s">
        <v>2523</v>
      </c>
      <c r="B34" s="2779"/>
      <c r="C34" s="2779"/>
      <c r="D34" s="2779"/>
      <c r="E34" s="2779"/>
      <c r="F34" s="2779"/>
      <c r="G34" s="2780"/>
      <c r="I34" s="2796">
        <v>5</v>
      </c>
      <c r="J34" s="2796">
        <v>55.1</v>
      </c>
    </row>
    <row r="35" spans="1:14">
      <c r="A35" s="2778" t="s">
        <v>2524</v>
      </c>
      <c r="B35" s="2779"/>
      <c r="C35" s="2779"/>
      <c r="D35" s="2779"/>
      <c r="E35" s="2779"/>
      <c r="F35" s="2779"/>
      <c r="G35" s="2780"/>
      <c r="I35" s="2796">
        <v>10</v>
      </c>
      <c r="J35" s="2796">
        <v>67</v>
      </c>
      <c r="K35" s="2796">
        <f>J35-J34</f>
        <v>11.899999999999999</v>
      </c>
    </row>
    <row r="36" spans="1:14">
      <c r="A36" s="2778" t="s">
        <v>2525</v>
      </c>
      <c r="B36" s="2779"/>
      <c r="C36" s="2779"/>
      <c r="D36" s="2779"/>
      <c r="E36" s="2779"/>
      <c r="F36" s="2779"/>
      <c r="G36" s="2780"/>
      <c r="I36" s="2796">
        <v>15</v>
      </c>
      <c r="J36" s="2796">
        <v>76.3</v>
      </c>
      <c r="K36" s="2796">
        <f t="shared" ref="K36:K41" si="3">J36-J35</f>
        <v>9.2999999999999972</v>
      </c>
      <c r="L36" s="2796" t="s">
        <v>2553</v>
      </c>
      <c r="N36" s="3149" t="s">
        <v>2554</v>
      </c>
    </row>
    <row r="37" spans="1:14">
      <c r="A37" s="2778" t="s">
        <v>2526</v>
      </c>
      <c r="B37" s="2779"/>
      <c r="C37" s="2779"/>
      <c r="D37" s="2779"/>
      <c r="E37" s="2779"/>
      <c r="F37" s="2779"/>
      <c r="G37" s="2780"/>
      <c r="I37" s="2796">
        <v>20</v>
      </c>
      <c r="J37" s="2796">
        <v>83.6</v>
      </c>
      <c r="K37" s="2796">
        <f t="shared" si="3"/>
        <v>7.2999999999999972</v>
      </c>
      <c r="L37" s="2796" t="s">
        <v>2552</v>
      </c>
      <c r="N37" s="3149">
        <v>10</v>
      </c>
    </row>
    <row r="38" spans="1:14">
      <c r="A38" s="2778" t="s">
        <v>2527</v>
      </c>
      <c r="B38" s="2779"/>
      <c r="C38" s="2779"/>
      <c r="D38" s="2779"/>
      <c r="E38" s="2779"/>
      <c r="F38" s="2779"/>
      <c r="G38" s="2780"/>
      <c r="I38" s="2796">
        <v>25</v>
      </c>
      <c r="J38" s="2796">
        <v>89.3</v>
      </c>
      <c r="K38" s="2796">
        <f t="shared" si="3"/>
        <v>5.7000000000000028</v>
      </c>
      <c r="L38" s="2796" t="s">
        <v>2556</v>
      </c>
      <c r="N38" s="3149">
        <v>8</v>
      </c>
    </row>
    <row r="39" spans="1:14">
      <c r="A39" s="2778"/>
      <c r="B39" s="2779"/>
      <c r="C39" s="2779"/>
      <c r="D39" s="2779"/>
      <c r="E39" s="2779"/>
      <c r="F39" s="2779"/>
      <c r="G39" s="2780"/>
      <c r="I39" s="2796">
        <v>30</v>
      </c>
      <c r="J39" s="2796">
        <v>93.8</v>
      </c>
      <c r="K39" s="2796">
        <f t="shared" si="3"/>
        <v>4.5</v>
      </c>
      <c r="L39" s="2796" t="s">
        <v>2557</v>
      </c>
      <c r="N39" s="3149">
        <v>6</v>
      </c>
    </row>
    <row r="40" spans="1:14">
      <c r="A40" s="2781" t="s">
        <v>2528</v>
      </c>
      <c r="B40" s="2782"/>
      <c r="C40" s="2782"/>
      <c r="D40" s="2782"/>
      <c r="E40" s="2782"/>
      <c r="F40" s="2782"/>
      <c r="G40" s="2783"/>
      <c r="I40" s="2796">
        <v>35</v>
      </c>
      <c r="J40" s="2796">
        <v>97.2</v>
      </c>
      <c r="K40" s="2796">
        <f t="shared" si="3"/>
        <v>3.4000000000000057</v>
      </c>
      <c r="L40" s="2796" t="s">
        <v>2558</v>
      </c>
      <c r="N40" s="3149">
        <v>3</v>
      </c>
    </row>
    <row r="41" spans="1:14">
      <c r="A41" s="2784" t="s">
        <v>2529</v>
      </c>
      <c r="B41" s="2785" t="s">
        <v>2530</v>
      </c>
      <c r="C41" s="2786" t="s">
        <v>2531</v>
      </c>
      <c r="D41" s="2786" t="s">
        <v>2532</v>
      </c>
      <c r="E41" s="2787"/>
      <c r="F41" s="2788"/>
      <c r="G41" s="2789"/>
      <c r="I41" s="2796">
        <v>40</v>
      </c>
      <c r="J41" s="2796">
        <v>100</v>
      </c>
      <c r="K41" s="2796">
        <f t="shared" si="3"/>
        <v>2.7999999999999972</v>
      </c>
    </row>
    <row r="42" spans="1:14">
      <c r="A42" s="2784" t="s">
        <v>2533</v>
      </c>
      <c r="B42" s="2785" t="s">
        <v>2534</v>
      </c>
      <c r="C42" s="2786" t="s">
        <v>2535</v>
      </c>
      <c r="D42" s="2790" t="s">
        <v>2536</v>
      </c>
      <c r="E42" s="2782" t="s">
        <v>2537</v>
      </c>
      <c r="F42" s="2782"/>
      <c r="G42" s="2783"/>
    </row>
    <row r="43" spans="1:14">
      <c r="A43" s="2784" t="s">
        <v>2538</v>
      </c>
      <c r="B43" s="2785" t="s">
        <v>2539</v>
      </c>
      <c r="C43" s="2786" t="s">
        <v>2540</v>
      </c>
      <c r="D43" s="2786" t="s">
        <v>2541</v>
      </c>
      <c r="E43" s="2787" t="s">
        <v>2542</v>
      </c>
      <c r="F43" s="2788"/>
      <c r="G43" s="2789"/>
      <c r="I43" s="2796" t="s">
        <v>2550</v>
      </c>
      <c r="J43" s="2796" t="s">
        <v>2561</v>
      </c>
    </row>
    <row r="44" spans="1:14">
      <c r="A44" s="2784" t="s">
        <v>2543</v>
      </c>
      <c r="B44" s="2785" t="s">
        <v>2544</v>
      </c>
      <c r="C44" s="2786" t="s">
        <v>2545</v>
      </c>
      <c r="D44" s="2790">
        <v>0.5</v>
      </c>
      <c r="E44" s="2787" t="s">
        <v>2546</v>
      </c>
      <c r="F44" s="2788"/>
      <c r="G44" s="2789"/>
      <c r="I44" s="2796">
        <v>30</v>
      </c>
      <c r="J44" s="2796">
        <v>81.7</v>
      </c>
    </row>
    <row r="45" spans="1:14" ht="14.25" thickBot="1">
      <c r="A45" s="2791" t="s">
        <v>2547</v>
      </c>
      <c r="B45" s="2792" t="s">
        <v>2534</v>
      </c>
      <c r="C45" s="2793" t="s">
        <v>2534</v>
      </c>
      <c r="D45" s="2793" t="s">
        <v>2548</v>
      </c>
      <c r="E45" s="2794" t="s">
        <v>2549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3373</v>
      </c>
    </row>
    <row r="50" spans="1:4">
      <c r="A50" s="3141" t="s">
        <v>3374</v>
      </c>
      <c r="B50" s="3141" t="s">
        <v>3375</v>
      </c>
      <c r="C50" s="3141" t="s">
        <v>3376</v>
      </c>
      <c r="D50" s="3141" t="s">
        <v>3377</v>
      </c>
    </row>
    <row r="51" spans="1:4">
      <c r="A51" s="3141" t="s">
        <v>3378</v>
      </c>
      <c r="B51" s="2761">
        <f>B52+B53</f>
        <v>15000</v>
      </c>
      <c r="C51" s="3142">
        <f>D51/B51</f>
        <v>2666.6666666666665</v>
      </c>
      <c r="D51" s="2761">
        <f>D52+D53</f>
        <v>40000000</v>
      </c>
    </row>
    <row r="52" spans="1:4">
      <c r="A52" s="3143" t="s">
        <v>3379</v>
      </c>
      <c r="B52" s="3144">
        <v>10000</v>
      </c>
      <c r="C52" s="3144">
        <v>1500</v>
      </c>
      <c r="D52" s="3145">
        <f>C52*B52</f>
        <v>15000000</v>
      </c>
    </row>
    <row r="53" spans="1:4">
      <c r="A53" s="3143" t="s">
        <v>3380</v>
      </c>
      <c r="B53" s="3144">
        <v>5000</v>
      </c>
      <c r="C53" s="3144">
        <v>5000</v>
      </c>
      <c r="D53" s="3145">
        <f>C53*B53</f>
        <v>25000000</v>
      </c>
    </row>
    <row r="54" spans="1:4">
      <c r="A54" s="3141" t="s">
        <v>3381</v>
      </c>
      <c r="B54" s="2761">
        <f>B51</f>
        <v>15000</v>
      </c>
      <c r="C54" s="2767">
        <v>700</v>
      </c>
      <c r="D54" s="2761">
        <f t="shared" ref="D54:D55" si="5">C54*B54</f>
        <v>10500000</v>
      </c>
    </row>
    <row r="55" spans="1:4">
      <c r="A55" s="3141" t="s">
        <v>3382</v>
      </c>
      <c r="B55" s="2761">
        <f>B51</f>
        <v>15000</v>
      </c>
      <c r="C55" s="2767">
        <v>1500</v>
      </c>
      <c r="D55" s="2761">
        <f t="shared" si="5"/>
        <v>22500000</v>
      </c>
    </row>
    <row r="56" spans="1:4">
      <c r="A56" s="3141" t="s">
        <v>3383</v>
      </c>
      <c r="B56" s="2761">
        <f>B51</f>
        <v>15000</v>
      </c>
      <c r="C56" s="3146">
        <f>C51+C54+C55</f>
        <v>4866.6666666666661</v>
      </c>
      <c r="D56" s="2761">
        <f>D51+D54+D55</f>
        <v>73000000</v>
      </c>
    </row>
    <row r="58" spans="1:4">
      <c r="A58" s="3141" t="s">
        <v>3384</v>
      </c>
      <c r="B58" s="3147">
        <v>0.05</v>
      </c>
      <c r="C58" s="2761">
        <f>C56*(1+B58)</f>
        <v>5110</v>
      </c>
      <c r="D58" s="2761">
        <f>D56*B58</f>
        <v>3650000</v>
      </c>
    </row>
    <row r="60" spans="1:4">
      <c r="A60" s="3141" t="s">
        <v>3385</v>
      </c>
      <c r="B60" s="2767">
        <v>3500</v>
      </c>
      <c r="C60" s="2767">
        <f>C53</f>
        <v>5000</v>
      </c>
      <c r="D60" s="2761">
        <f>C60*B60</f>
        <v>17500000</v>
      </c>
    </row>
    <row r="62" spans="1:4">
      <c r="A62" s="3141" t="s">
        <v>3386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9" workbookViewId="0">
      <selection activeCell="I35" sqref="I3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972</v>
      </c>
      <c r="C1" s="1436" t="s">
        <v>314</v>
      </c>
      <c r="D1" s="1437" t="s">
        <v>3337</v>
      </c>
      <c r="E1" s="1436" t="s">
        <v>973</v>
      </c>
      <c r="F1" s="1436" t="s">
        <v>974</v>
      </c>
      <c r="G1" s="1436" t="s">
        <v>975</v>
      </c>
      <c r="H1" s="1436" t="s">
        <v>976</v>
      </c>
      <c r="I1" s="1436" t="s">
        <v>977</v>
      </c>
      <c r="J1" s="1436" t="s">
        <v>978</v>
      </c>
      <c r="K1" s="1436" t="s">
        <v>979</v>
      </c>
      <c r="L1" s="1436" t="s">
        <v>980</v>
      </c>
      <c r="M1" s="1436" t="s">
        <v>981</v>
      </c>
      <c r="N1" s="1436" t="s">
        <v>982</v>
      </c>
      <c r="O1" s="1436" t="s">
        <v>983</v>
      </c>
      <c r="P1" s="1437" t="s">
        <v>309</v>
      </c>
      <c r="Q1" s="1437" t="s">
        <v>447</v>
      </c>
      <c r="R1" s="1436" t="s">
        <v>441</v>
      </c>
      <c r="S1" s="1436" t="s">
        <v>984</v>
      </c>
      <c r="T1" s="1437" t="s">
        <v>985</v>
      </c>
      <c r="U1" s="1436" t="s">
        <v>986</v>
      </c>
      <c r="V1" s="1436" t="s">
        <v>987</v>
      </c>
      <c r="W1" s="1436" t="s">
        <v>311</v>
      </c>
    </row>
    <row r="2" spans="1:23">
      <c r="A2" s="1439" t="s">
        <v>19</v>
      </c>
      <c r="B2" s="1439" t="s">
        <v>988</v>
      </c>
      <c r="C2" s="1440" t="s">
        <v>315</v>
      </c>
      <c r="D2" s="1441" t="s">
        <v>989</v>
      </c>
      <c r="E2" s="1441" t="s">
        <v>990</v>
      </c>
      <c r="F2" s="1441" t="s">
        <v>991</v>
      </c>
      <c r="G2" s="1441">
        <v>20</v>
      </c>
      <c r="H2" s="1441" t="s">
        <v>991</v>
      </c>
      <c r="I2" s="1441" t="s">
        <v>3323</v>
      </c>
      <c r="J2" s="1441" t="s">
        <v>992</v>
      </c>
      <c r="K2" s="1441" t="s">
        <v>993</v>
      </c>
      <c r="L2" s="1441" t="s">
        <v>993</v>
      </c>
      <c r="M2" s="1441" t="s">
        <v>993</v>
      </c>
      <c r="N2" s="1441" t="s">
        <v>993</v>
      </c>
      <c r="O2" s="1441" t="s">
        <v>993</v>
      </c>
      <c r="P2" s="1441" t="s">
        <v>993</v>
      </c>
      <c r="Q2" s="1441" t="s">
        <v>993</v>
      </c>
      <c r="R2" s="1441" t="s">
        <v>443</v>
      </c>
      <c r="S2" s="1441" t="s">
        <v>993</v>
      </c>
      <c r="T2" s="1441" t="s">
        <v>994</v>
      </c>
      <c r="U2" s="1441" t="s">
        <v>993</v>
      </c>
      <c r="V2" s="1441" t="s">
        <v>995</v>
      </c>
      <c r="W2" s="1441" t="s">
        <v>993</v>
      </c>
    </row>
    <row r="3" spans="1:23">
      <c r="A3" s="1439" t="s">
        <v>996</v>
      </c>
      <c r="B3" s="1442" t="s">
        <v>448</v>
      </c>
      <c r="C3" s="1440" t="s">
        <v>316</v>
      </c>
      <c r="D3" s="1441" t="s">
        <v>997</v>
      </c>
      <c r="E3" s="1441" t="s">
        <v>13</v>
      </c>
      <c r="F3" s="1441" t="s">
        <v>998</v>
      </c>
      <c r="G3" s="1441">
        <v>40</v>
      </c>
      <c r="H3" s="1441" t="s">
        <v>998</v>
      </c>
      <c r="I3" s="1441" t="s">
        <v>3324</v>
      </c>
      <c r="J3" s="1441" t="s">
        <v>999</v>
      </c>
      <c r="K3" s="1441" t="s">
        <v>1000</v>
      </c>
      <c r="L3" s="1441" t="s">
        <v>1000</v>
      </c>
      <c r="M3" s="1441" t="s">
        <v>1000</v>
      </c>
      <c r="N3" s="1441" t="s">
        <v>1000</v>
      </c>
      <c r="O3" s="1441" t="s">
        <v>1000</v>
      </c>
      <c r="P3" s="1441" t="s">
        <v>1000</v>
      </c>
      <c r="Q3" s="1441" t="s">
        <v>1000</v>
      </c>
      <c r="R3" s="1441" t="s">
        <v>442</v>
      </c>
      <c r="S3" s="1441" t="s">
        <v>1000</v>
      </c>
      <c r="T3" s="1441" t="s">
        <v>1001</v>
      </c>
      <c r="U3" s="1441" t="s">
        <v>1000</v>
      </c>
      <c r="V3" s="1441" t="s">
        <v>1002</v>
      </c>
      <c r="W3" s="1441" t="s">
        <v>1000</v>
      </c>
    </row>
    <row r="4" spans="1:23">
      <c r="A4" s="1439" t="s">
        <v>1003</v>
      </c>
      <c r="B4" s="1439" t="s">
        <v>1004</v>
      </c>
      <c r="C4" s="1440" t="s">
        <v>317</v>
      </c>
      <c r="D4" s="1441" t="s">
        <v>389</v>
      </c>
      <c r="E4" s="1441" t="s">
        <v>1005</v>
      </c>
      <c r="F4" s="1441" t="s">
        <v>1006</v>
      </c>
      <c r="G4" s="1441">
        <v>50</v>
      </c>
      <c r="H4" s="1441" t="s">
        <v>1006</v>
      </c>
      <c r="I4" s="1441" t="s">
        <v>3325</v>
      </c>
      <c r="K4" s="1441" t="s">
        <v>1007</v>
      </c>
      <c r="L4" s="1441" t="s">
        <v>1007</v>
      </c>
      <c r="M4" s="1441" t="s">
        <v>1007</v>
      </c>
      <c r="N4" s="1441" t="s">
        <v>1007</v>
      </c>
      <c r="O4" s="1441" t="s">
        <v>1007</v>
      </c>
      <c r="P4" s="1441" t="s">
        <v>1007</v>
      </c>
      <c r="Q4" s="1441" t="s">
        <v>1007</v>
      </c>
      <c r="R4" s="1441" t="s">
        <v>444</v>
      </c>
      <c r="S4" s="1441" t="s">
        <v>1007</v>
      </c>
      <c r="T4" s="1441" t="s">
        <v>1008</v>
      </c>
      <c r="U4" s="1441" t="s">
        <v>1007</v>
      </c>
      <c r="W4" s="1441" t="s">
        <v>1007</v>
      </c>
    </row>
    <row r="5" spans="1:23">
      <c r="A5" s="1439" t="s">
        <v>1009</v>
      </c>
      <c r="B5" s="1439" t="s">
        <v>1010</v>
      </c>
      <c r="C5" s="1440" t="s">
        <v>318</v>
      </c>
      <c r="F5" s="1441" t="s">
        <v>1011</v>
      </c>
      <c r="G5" s="1441">
        <v>70</v>
      </c>
      <c r="H5" s="1441" t="s">
        <v>1012</v>
      </c>
      <c r="I5" s="1441" t="s">
        <v>3326</v>
      </c>
      <c r="K5" s="1441" t="s">
        <v>1013</v>
      </c>
      <c r="L5" s="1441" t="s">
        <v>1013</v>
      </c>
      <c r="M5" s="1441" t="s">
        <v>1013</v>
      </c>
      <c r="N5" s="1441" t="s">
        <v>1013</v>
      </c>
      <c r="O5" s="1441" t="s">
        <v>1013</v>
      </c>
      <c r="P5" s="1441" t="s">
        <v>1013</v>
      </c>
      <c r="Q5" s="1441" t="s">
        <v>1013</v>
      </c>
      <c r="R5" s="1441" t="s">
        <v>445</v>
      </c>
      <c r="S5" s="1441" t="s">
        <v>1013</v>
      </c>
      <c r="T5" s="1441" t="s">
        <v>1014</v>
      </c>
      <c r="U5" s="1441" t="s">
        <v>1013</v>
      </c>
      <c r="W5" s="1441" t="s">
        <v>1013</v>
      </c>
    </row>
    <row r="6" spans="1:23">
      <c r="A6" s="1439" t="s">
        <v>1015</v>
      </c>
      <c r="B6" s="1442" t="s">
        <v>449</v>
      </c>
      <c r="C6" s="1444" t="s">
        <v>24</v>
      </c>
      <c r="F6" s="1441" t="s">
        <v>1012</v>
      </c>
      <c r="H6" s="1441" t="s">
        <v>1016</v>
      </c>
      <c r="I6" s="1441" t="s">
        <v>3327</v>
      </c>
      <c r="K6" s="1441" t="s">
        <v>1017</v>
      </c>
      <c r="L6" s="1441" t="s">
        <v>1017</v>
      </c>
      <c r="M6" s="1441" t="s">
        <v>1017</v>
      </c>
      <c r="N6" s="1441" t="s">
        <v>1017</v>
      </c>
      <c r="O6" s="1441" t="s">
        <v>1017</v>
      </c>
      <c r="P6" s="1441" t="s">
        <v>1017</v>
      </c>
      <c r="Q6" s="1441" t="s">
        <v>1017</v>
      </c>
      <c r="R6" s="1441" t="s">
        <v>446</v>
      </c>
      <c r="S6" s="1441" t="s">
        <v>1017</v>
      </c>
      <c r="T6" s="1441"/>
      <c r="U6" s="1441" t="s">
        <v>1017</v>
      </c>
      <c r="W6" s="1441" t="s">
        <v>1017</v>
      </c>
    </row>
    <row r="7" spans="1:23">
      <c r="A7" s="1439" t="s">
        <v>1018</v>
      </c>
      <c r="B7" s="1442" t="s">
        <v>450</v>
      </c>
      <c r="C7" s="1440" t="s">
        <v>25</v>
      </c>
      <c r="F7" s="1441" t="s">
        <v>1019</v>
      </c>
      <c r="H7" s="1441" t="s">
        <v>1020</v>
      </c>
      <c r="I7" s="1441" t="s">
        <v>3328</v>
      </c>
    </row>
    <row r="8" spans="1:23">
      <c r="A8" s="1439" t="s">
        <v>1021</v>
      </c>
      <c r="B8" s="1439" t="s">
        <v>1022</v>
      </c>
      <c r="C8" s="1440" t="s">
        <v>319</v>
      </c>
      <c r="F8" s="1441" t="s">
        <v>1023</v>
      </c>
      <c r="H8" s="1441" t="s">
        <v>2563</v>
      </c>
      <c r="I8" s="1441" t="s">
        <v>3329</v>
      </c>
    </row>
    <row r="9" spans="1:23">
      <c r="A9" s="1439" t="s">
        <v>1024</v>
      </c>
      <c r="B9" s="1439" t="s">
        <v>1025</v>
      </c>
      <c r="C9" s="1440" t="s">
        <v>320</v>
      </c>
      <c r="F9" s="1441" t="s">
        <v>1026</v>
      </c>
      <c r="H9" s="1441"/>
      <c r="I9" s="1443" t="s">
        <v>3330</v>
      </c>
    </row>
    <row r="10" spans="1:23">
      <c r="A10" s="1439" t="s">
        <v>1027</v>
      </c>
      <c r="B10" s="1439" t="s">
        <v>1028</v>
      </c>
      <c r="C10" s="1440" t="s">
        <v>321</v>
      </c>
      <c r="F10" s="1441" t="s">
        <v>2564</v>
      </c>
      <c r="I10" s="1443" t="s">
        <v>3331</v>
      </c>
    </row>
    <row r="11" spans="1:23">
      <c r="A11" s="1439" t="s">
        <v>1029</v>
      </c>
      <c r="B11" s="1439" t="s">
        <v>1030</v>
      </c>
      <c r="C11" s="1440" t="s">
        <v>322</v>
      </c>
      <c r="F11" s="1441" t="s">
        <v>13</v>
      </c>
      <c r="I11" s="1443" t="s">
        <v>3332</v>
      </c>
    </row>
    <row r="12" spans="1:23">
      <c r="A12" s="1439" t="s">
        <v>1031</v>
      </c>
      <c r="B12" s="1439" t="s">
        <v>1032</v>
      </c>
      <c r="C12" s="1440" t="s">
        <v>323</v>
      </c>
      <c r="I12" s="1443" t="s">
        <v>3333</v>
      </c>
    </row>
    <row r="13" spans="1:23">
      <c r="A13" s="1439" t="s">
        <v>1033</v>
      </c>
      <c r="B13" s="1439" t="s">
        <v>1034</v>
      </c>
      <c r="C13" s="1440" t="s">
        <v>324</v>
      </c>
      <c r="I13" s="1443" t="s">
        <v>3334</v>
      </c>
    </row>
    <row r="14" spans="1:23">
      <c r="A14" s="1439" t="s">
        <v>1035</v>
      </c>
      <c r="B14" s="1439" t="s">
        <v>1036</v>
      </c>
      <c r="C14" s="1441" t="s">
        <v>13</v>
      </c>
      <c r="I14" s="1443" t="s">
        <v>3335</v>
      </c>
    </row>
    <row r="15" spans="1:23">
      <c r="A15" s="1439" t="s">
        <v>1037</v>
      </c>
      <c r="B15" s="1439" t="s">
        <v>1038</v>
      </c>
      <c r="C15" s="1440"/>
      <c r="I15" s="1443" t="s">
        <v>3336</v>
      </c>
    </row>
    <row r="16" spans="1:23">
      <c r="A16" s="1439" t="s">
        <v>1039</v>
      </c>
      <c r="B16" s="1439" t="s">
        <v>312</v>
      </c>
      <c r="C16" s="1440"/>
    </row>
    <row r="17" spans="1:3">
      <c r="A17" s="1439" t="s">
        <v>1040</v>
      </c>
      <c r="B17" s="1439" t="s">
        <v>2279</v>
      </c>
      <c r="C17" s="1440"/>
    </row>
    <row r="18" spans="1:3">
      <c r="A18" s="1439" t="s">
        <v>1041</v>
      </c>
      <c r="B18" s="1439" t="s">
        <v>2419</v>
      </c>
      <c r="C18" s="1440"/>
    </row>
    <row r="19" spans="1:3">
      <c r="A19" s="1439" t="s">
        <v>1042</v>
      </c>
      <c r="B19" s="1439" t="s">
        <v>3465</v>
      </c>
      <c r="C19" s="1440"/>
    </row>
    <row r="20" spans="1:3">
      <c r="A20" s="1439" t="s">
        <v>1043</v>
      </c>
      <c r="B20" s="1439" t="s">
        <v>3467</v>
      </c>
      <c r="C20" s="1440"/>
    </row>
    <row r="21" spans="1:3">
      <c r="A21" s="1439" t="s">
        <v>1044</v>
      </c>
      <c r="B21" s="1439" t="s">
        <v>3469</v>
      </c>
      <c r="C21" s="1440"/>
    </row>
    <row r="22" spans="1:3">
      <c r="A22" s="1439" t="s">
        <v>1045</v>
      </c>
      <c r="B22" s="1439" t="s">
        <v>3472</v>
      </c>
      <c r="C22" s="1440"/>
    </row>
    <row r="23" spans="1:3">
      <c r="A23" s="1439" t="s">
        <v>1046</v>
      </c>
      <c r="B23" s="1439" t="s">
        <v>3474</v>
      </c>
      <c r="C23" s="1440"/>
    </row>
    <row r="24" spans="1:3">
      <c r="A24" s="1439" t="s">
        <v>1047</v>
      </c>
      <c r="B24" s="1439" t="s">
        <v>3475</v>
      </c>
      <c r="C24" s="1440"/>
    </row>
    <row r="25" spans="1:3">
      <c r="A25" s="1439" t="s">
        <v>1048</v>
      </c>
      <c r="B25" s="1439" t="s">
        <v>3477</v>
      </c>
      <c r="C25" s="1440"/>
    </row>
    <row r="26" spans="1:3">
      <c r="A26" s="1439" t="s">
        <v>1049</v>
      </c>
      <c r="B26" s="1439" t="s">
        <v>3478</v>
      </c>
      <c r="C26" s="1440"/>
    </row>
    <row r="27" spans="1:3">
      <c r="A27" s="1439" t="s">
        <v>313</v>
      </c>
      <c r="B27" s="1439" t="s">
        <v>3480</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5" t="s">
        <v>385</v>
      </c>
      <c r="C54" s="1443" t="s">
        <v>583</v>
      </c>
    </row>
    <row r="55" spans="1:4">
      <c r="A55" s="3220"/>
      <c r="B55" s="1445" t="s">
        <v>386</v>
      </c>
      <c r="C55" s="1443" t="s">
        <v>584</v>
      </c>
    </row>
    <row r="56" spans="1:4">
      <c r="A56" s="3220"/>
      <c r="B56" s="1445" t="s">
        <v>387</v>
      </c>
      <c r="C56" s="1443" t="s">
        <v>588</v>
      </c>
    </row>
    <row r="57" spans="1:4">
      <c r="A57" s="322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H34" sqref="H3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2163</v>
      </c>
      <c r="B1" s="3228" t="str">
        <f>IF(B10="北京市","北京市",C10)&amp;F10&amp;IF(商业结果表!G1="在建","出让国有建设用地使用权及在建建筑物",IF(商业结果表!G1="土地","出让国有建设用地使用权",))&amp;B9&amp;"预评估"</f>
        <v>北京市房地产抵押价值预评估</v>
      </c>
      <c r="C1" s="3229"/>
      <c r="D1" s="3229"/>
      <c r="E1" s="3229"/>
      <c r="F1" s="3229"/>
      <c r="G1" s="3229"/>
      <c r="H1" s="3229"/>
      <c r="I1" s="3230"/>
      <c r="J1" s="2243"/>
      <c r="K1" s="2181"/>
      <c r="L1" s="2182"/>
      <c r="M1" s="2182"/>
      <c r="N1" s="2180"/>
      <c r="O1" s="1464"/>
      <c r="P1" s="2180"/>
      <c r="Q1" s="2180"/>
      <c r="R1" s="2180"/>
      <c r="S1" s="1559" t="str">
        <f>IF(B10="北京市","北京市",C10)&amp;F10&amp;IF(商业结果表!G1="在建","出让国有建设用地使用权及在建建筑物房地产抵押价值",IF(商业结果表!G1="土地","出让国有建设用地使用权抵押价值",B9))</f>
        <v>北京市房地产抵押价值</v>
      </c>
      <c r="T1" s="1616"/>
      <c r="U1" s="1616"/>
      <c r="V1" s="1616"/>
      <c r="W1" s="1616"/>
      <c r="X1" s="1616"/>
      <c r="Y1" s="1616"/>
      <c r="Z1" s="1616"/>
      <c r="AA1" s="1616"/>
      <c r="AB1" s="1616"/>
    </row>
    <row r="2" spans="1:30">
      <c r="A2" s="2180" t="s">
        <v>2164</v>
      </c>
      <c r="B2" s="122"/>
      <c r="D2" s="2444"/>
      <c r="E2" s="2437"/>
      <c r="F2" s="2437"/>
      <c r="G2" s="2438"/>
      <c r="H2" s="2438"/>
      <c r="I2" s="2438"/>
      <c r="J2" s="2243"/>
      <c r="K2" s="2181"/>
      <c r="L2" s="2182"/>
      <c r="M2" s="2182"/>
      <c r="N2" s="2180"/>
      <c r="O2" s="1464"/>
      <c r="P2" s="2180"/>
      <c r="Q2" s="2180"/>
      <c r="R2" s="2180"/>
      <c r="S2" s="1559" t="str">
        <f>IF(B10="北京市","北京市",C10)&amp;F10&amp;IF(商业结果表!G1="在建","出让国有建设用地使用权及在建建筑物房地产",IF(商业结果表!G1="土地","出让国有建设用地使用权","房地产"))</f>
        <v>北京市房地产</v>
      </c>
      <c r="T2" s="1616"/>
      <c r="U2" s="1616"/>
      <c r="V2" s="1616"/>
      <c r="W2" s="1616"/>
      <c r="X2" s="1616"/>
      <c r="Y2" s="1616"/>
      <c r="Z2" s="1616"/>
      <c r="AA2" s="1616"/>
      <c r="AB2" s="1616"/>
    </row>
    <row r="3" spans="1:30">
      <c r="A3" s="294" t="s">
        <v>2165</v>
      </c>
      <c r="B3" s="2183">
        <v>45804</v>
      </c>
      <c r="C3" s="2184" t="s">
        <v>2166</v>
      </c>
      <c r="D3" s="2183">
        <f>B3</f>
        <v>45804</v>
      </c>
      <c r="E3" s="2438"/>
      <c r="F3" s="2438"/>
      <c r="G3" s="2438"/>
      <c r="H3" s="2438"/>
      <c r="I3" s="2438"/>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2167</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2168</v>
      </c>
      <c r="B5" s="2189"/>
      <c r="C5" s="2190"/>
      <c r="D5" s="2191"/>
      <c r="E5" s="2438"/>
      <c r="F5" s="2438"/>
      <c r="G5" s="2438"/>
      <c r="H5" s="2438"/>
      <c r="I5" s="2438"/>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2169</v>
      </c>
      <c r="B6" s="2193"/>
      <c r="C6" s="2194"/>
      <c r="D6" s="2195"/>
      <c r="E6" s="2437"/>
      <c r="F6" s="2438"/>
      <c r="G6" s="2438"/>
      <c r="H6" s="2438"/>
      <c r="I6" s="2438"/>
      <c r="J6" s="2243"/>
      <c r="K6" s="2397" t="str">
        <f>IF(COUNTIF(B6,"*上海银行*"),"上海银行","")</f>
        <v/>
      </c>
      <c r="L6" s="2395"/>
      <c r="M6" s="2395"/>
      <c r="N6" s="2243"/>
      <c r="O6" s="1668"/>
      <c r="P6" s="2243"/>
      <c r="Q6" s="2243"/>
      <c r="R6" s="2243"/>
    </row>
    <row r="7" spans="1:30">
      <c r="A7" s="2192" t="s">
        <v>2170</v>
      </c>
      <c r="B7" s="2196"/>
      <c r="C7" s="2194"/>
      <c r="D7" s="2195"/>
      <c r="E7" s="2437"/>
      <c r="F7" s="2438"/>
      <c r="G7" s="2438"/>
      <c r="H7" s="2438"/>
      <c r="I7" s="2438"/>
      <c r="J7" s="2243"/>
      <c r="K7" s="2398"/>
      <c r="L7" s="2395"/>
      <c r="M7" s="2395"/>
      <c r="N7" s="2243"/>
      <c r="O7" s="1668"/>
      <c r="P7" s="2243"/>
      <c r="Q7" s="2243"/>
      <c r="R7" s="2243"/>
    </row>
    <row r="8" spans="1:30">
      <c r="A8" s="2197" t="s">
        <v>2171</v>
      </c>
      <c r="B8" s="2198" t="s">
        <v>3400</v>
      </c>
      <c r="C8" s="2199"/>
      <c r="D8" s="3231" t="s">
        <v>2172</v>
      </c>
      <c r="E8" s="2200" t="s">
        <v>3401</v>
      </c>
      <c r="F8" s="2201"/>
      <c r="G8" s="2438"/>
      <c r="H8" s="2438"/>
      <c r="I8" s="2438"/>
      <c r="J8" s="2243"/>
      <c r="K8" s="2396"/>
      <c r="L8" s="2395"/>
      <c r="M8" s="2395"/>
      <c r="N8" s="2243"/>
      <c r="O8" s="1668"/>
      <c r="P8" s="2243"/>
      <c r="Q8" s="2243"/>
      <c r="R8" s="2243"/>
    </row>
    <row r="9" spans="1:30" ht="13.5" thickBot="1">
      <c r="A9" s="2202" t="s">
        <v>2173</v>
      </c>
      <c r="B9" s="2203" t="s">
        <v>3401</v>
      </c>
      <c r="C9" s="2204"/>
      <c r="D9" s="3232"/>
      <c r="E9" s="2203" t="s">
        <v>43</v>
      </c>
      <c r="F9" s="2205"/>
      <c r="G9" s="2439"/>
      <c r="H9" s="2439"/>
      <c r="I9" s="2439"/>
      <c r="J9" s="2243"/>
      <c r="K9" s="2398"/>
      <c r="L9" s="2395"/>
      <c r="M9" s="2395"/>
      <c r="N9" s="2243"/>
      <c r="O9" s="1668"/>
      <c r="P9" s="2243"/>
      <c r="Q9" s="2243"/>
      <c r="R9" s="2243"/>
    </row>
    <row r="10" spans="1:30" ht="13.5" thickTop="1">
      <c r="A10" s="2206" t="s">
        <v>2174</v>
      </c>
      <c r="B10" s="2207" t="s">
        <v>3398</v>
      </c>
      <c r="C10" s="2208"/>
      <c r="D10" s="2191"/>
      <c r="E10" s="2209" t="s">
        <v>2175</v>
      </c>
      <c r="F10" s="2440"/>
      <c r="G10" s="2441"/>
      <c r="H10" s="2442"/>
      <c r="I10" s="2443"/>
      <c r="J10" s="2243"/>
      <c r="K10" s="2398"/>
      <c r="L10" s="2395"/>
      <c r="M10" s="2395"/>
      <c r="N10" s="2243"/>
      <c r="O10" s="1668"/>
      <c r="P10" s="2243"/>
      <c r="Q10" s="2243"/>
      <c r="R10" s="2243"/>
    </row>
    <row r="11" spans="1:30">
      <c r="A11" s="2210" t="s">
        <v>2176</v>
      </c>
      <c r="B11" s="2211" t="s">
        <v>3399</v>
      </c>
      <c r="C11" s="2212"/>
      <c r="D11" s="2213"/>
      <c r="E11" s="2180"/>
      <c r="F11" s="2180"/>
      <c r="G11" s="2180"/>
      <c r="H11" s="2180"/>
      <c r="I11" s="2180"/>
      <c r="J11" s="2798"/>
      <c r="K11" s="2395"/>
      <c r="L11" s="2395"/>
      <c r="M11" s="2395"/>
      <c r="N11" s="2243"/>
      <c r="O11" s="1668"/>
      <c r="P11" s="2243"/>
      <c r="Q11" s="2243"/>
      <c r="R11" s="2243"/>
    </row>
    <row r="12" spans="1:30">
      <c r="A12" s="2214" t="s">
        <v>2177</v>
      </c>
      <c r="B12" s="315" t="s">
        <v>2178</v>
      </c>
      <c r="C12" s="2215" t="s">
        <v>2179</v>
      </c>
      <c r="D12" s="2215" t="s">
        <v>2180</v>
      </c>
      <c r="E12" s="2215" t="s">
        <v>2181</v>
      </c>
      <c r="F12" s="2215" t="s">
        <v>2182</v>
      </c>
      <c r="G12" s="2215" t="s">
        <v>2183</v>
      </c>
      <c r="H12" s="2215" t="s">
        <v>2184</v>
      </c>
      <c r="I12" s="2797" t="s">
        <v>2562</v>
      </c>
      <c r="J12" s="2799"/>
      <c r="K12" s="2395"/>
      <c r="L12" s="2395"/>
      <c r="M12" s="2243"/>
      <c r="N12" s="1668"/>
      <c r="O12" s="2243"/>
      <c r="P12" s="2243"/>
      <c r="Q12" s="2243"/>
      <c r="AD12" s="1616"/>
    </row>
    <row r="13" spans="1:30">
      <c r="A13" s="3118" t="s">
        <v>3318</v>
      </c>
      <c r="B13" s="2216" t="s">
        <v>2185</v>
      </c>
      <c r="C13" s="801"/>
      <c r="D13" s="801">
        <v>52839</v>
      </c>
      <c r="E13" s="801">
        <v>56491</v>
      </c>
      <c r="F13" s="801">
        <v>56491</v>
      </c>
      <c r="G13" s="801"/>
      <c r="H13" s="801"/>
      <c r="I13" s="801"/>
      <c r="J13" s="2799"/>
      <c r="K13" s="2395"/>
      <c r="L13" s="2395"/>
      <c r="M13" s="2243"/>
      <c r="N13" s="1668"/>
      <c r="O13" s="2243"/>
      <c r="P13" s="2243"/>
      <c r="Q13" s="2243"/>
      <c r="AD13" s="1616"/>
    </row>
    <row r="14" spans="1:30">
      <c r="A14" s="1016"/>
      <c r="B14" s="2216" t="s">
        <v>2186</v>
      </c>
      <c r="C14" s="2217"/>
      <c r="D14" s="2217">
        <v>40</v>
      </c>
      <c r="E14" s="2217">
        <v>50</v>
      </c>
      <c r="F14" s="2217">
        <v>50</v>
      </c>
      <c r="G14" s="2217"/>
      <c r="H14" s="2217"/>
      <c r="I14" s="2217"/>
      <c r="J14" s="2800"/>
      <c r="K14" s="2395"/>
      <c r="L14" s="2395"/>
      <c r="M14" s="2243"/>
      <c r="N14" s="1668"/>
      <c r="O14" s="2243"/>
      <c r="P14" s="2243"/>
      <c r="Q14" s="2243"/>
      <c r="AD14" s="1616"/>
    </row>
    <row r="15" spans="1:30">
      <c r="A15" s="312"/>
      <c r="B15" s="2218" t="s">
        <v>2187</v>
      </c>
      <c r="C15" s="2219" t="str">
        <f>IF(A13="出让",IF(C13="","",ROUNDDOWN(MIN((C13-$D$3)/365,C14),2)),C14)</f>
        <v/>
      </c>
      <c r="D15" s="2219">
        <f>IF(A13="出让",IF(D13="","",ROUNDDOWN(MIN((D13-$D$3)/365,D14),2)),D14)</f>
        <v>19.27</v>
      </c>
      <c r="E15" s="2219">
        <f>IF(A13="出让",IF(E13="","",ROUNDDOWN(MIN((E13-$D$3)/365,E14),2)),E14)</f>
        <v>29.27</v>
      </c>
      <c r="F15" s="2219">
        <f>IF(A13="出让",IF(F13="","",ROUNDDOWN(MIN((F13-$D$3)/365,F14),2)),F14)</f>
        <v>29.27</v>
      </c>
      <c r="G15" s="2219" t="str">
        <f>IF(A13="出让",IF(G13="","",ROUNDDOWN(MIN((G13-$D$3)/365,G14),2)),G14)</f>
        <v/>
      </c>
      <c r="H15" s="2219" t="str">
        <f>IF(A13="出让",IF(H13="","",ROUNDDOWN(MIN((H13-$D$3)/365,H14),2)),H14)</f>
        <v/>
      </c>
      <c r="I15" s="2219" t="str">
        <f>IF(A13="出让",IF(I13="","",ROUNDDOWN(MIN((I13-$D$3)/365,I14),2)),I14)</f>
        <v/>
      </c>
      <c r="J15" s="2801"/>
      <c r="K15" s="1668"/>
      <c r="L15" s="1668"/>
      <c r="M15" s="2243"/>
      <c r="N15" s="1668"/>
      <c r="O15" s="2243"/>
      <c r="P15" s="2243"/>
      <c r="Q15" s="2243"/>
      <c r="AD15" s="1616"/>
    </row>
    <row r="16" spans="1:30">
      <c r="A16" s="2209" t="s">
        <v>2188</v>
      </c>
      <c r="B16" s="3238"/>
      <c r="C16" s="3239"/>
      <c r="D16" s="3240"/>
      <c r="E16" s="2220" t="s">
        <v>2189</v>
      </c>
      <c r="F16" s="3241"/>
      <c r="G16" s="3242"/>
      <c r="H16" s="3242"/>
      <c r="I16" s="3243"/>
      <c r="J16" s="2243"/>
      <c r="K16" s="2399"/>
      <c r="L16" s="1668"/>
      <c r="M16" s="1668"/>
      <c r="N16" s="2243"/>
      <c r="O16" s="1668"/>
      <c r="P16" s="2243"/>
      <c r="Q16" s="2243"/>
      <c r="R16" s="2243"/>
    </row>
    <row r="17" spans="1:28">
      <c r="A17" s="305" t="s">
        <v>2190</v>
      </c>
      <c r="B17" s="294" t="s">
        <v>2191</v>
      </c>
      <c r="C17" s="8">
        <f>'数据-汇总表'!E3</f>
        <v>139616.6</v>
      </c>
      <c r="D17" s="1254" t="s">
        <v>2192</v>
      </c>
      <c r="E17" s="3244" t="s">
        <v>2193</v>
      </c>
      <c r="F17" s="3245"/>
      <c r="G17" s="3245"/>
      <c r="H17" s="3245"/>
      <c r="I17" s="3246"/>
      <c r="J17" s="2243"/>
      <c r="K17" s="2400"/>
      <c r="L17" s="1668"/>
      <c r="M17" s="1668"/>
      <c r="N17" s="2243"/>
      <c r="O17" s="1668"/>
      <c r="P17" s="2243"/>
      <c r="Q17" s="2243"/>
      <c r="R17" s="2243"/>
      <c r="S17" s="2243"/>
      <c r="T17" s="2243"/>
      <c r="U17" s="2243"/>
      <c r="V17" s="2243"/>
    </row>
    <row r="18" spans="1:28" ht="24.75" thickBot="1">
      <c r="A18" s="2221" t="s">
        <v>2194</v>
      </c>
      <c r="B18" s="1025" t="s">
        <v>2195</v>
      </c>
      <c r="C18" s="2222">
        <f>'数据-汇总表'!D3</f>
        <v>13767.47</v>
      </c>
      <c r="D18" s="1027" t="s">
        <v>2196</v>
      </c>
      <c r="E18" s="3247" t="s">
        <v>2197</v>
      </c>
      <c r="F18" s="3248"/>
      <c r="G18" s="3248"/>
      <c r="H18" s="3248"/>
      <c r="I18" s="3249"/>
      <c r="J18" s="2243"/>
      <c r="K18" s="2400"/>
      <c r="L18" s="1668"/>
      <c r="M18" s="1668"/>
      <c r="N18" s="2243"/>
      <c r="O18" s="1668"/>
      <c r="P18" s="2243"/>
      <c r="Q18" s="2243"/>
      <c r="R18" s="2243"/>
      <c r="S18" s="2243"/>
      <c r="T18" s="2243"/>
      <c r="U18" s="2243"/>
      <c r="V18" s="2243"/>
    </row>
    <row r="19" spans="1:28" ht="37.5" thickTop="1" thickBot="1">
      <c r="A19" s="319" t="s">
        <v>1050</v>
      </c>
      <c r="B19" s="299" t="s">
        <v>2198</v>
      </c>
      <c r="C19" s="1453"/>
      <c r="D19" s="1454" t="s">
        <v>2199</v>
      </c>
      <c r="E19" s="1455"/>
      <c r="F19" s="1456" t="str">
        <f>IF(AND(C19="是",E19="否"),"是否提供他项权证或相关说明","")</f>
        <v/>
      </c>
      <c r="G19" s="1457"/>
      <c r="H19" s="2438"/>
      <c r="I19" s="2438"/>
      <c r="J19" s="2243"/>
      <c r="K19" s="2398"/>
      <c r="L19" s="2395"/>
      <c r="M19" s="2395"/>
      <c r="N19" s="2243"/>
      <c r="O19" s="1668"/>
      <c r="P19" s="2243"/>
      <c r="Q19" s="2243"/>
      <c r="R19" s="2243"/>
      <c r="S19" s="2243"/>
      <c r="T19" s="2243"/>
      <c r="U19" s="2243"/>
      <c r="V19" s="2243"/>
    </row>
    <row r="20" spans="1:28">
      <c r="A20" s="2413" t="s">
        <v>2200</v>
      </c>
      <c r="B20" s="3234" t="s">
        <v>2201</v>
      </c>
      <c r="C20" s="3235"/>
      <c r="D20" s="3236" t="s">
        <v>2202</v>
      </c>
      <c r="E20" s="3237"/>
      <c r="F20" s="2426" t="s">
        <v>1051</v>
      </c>
      <c r="G20" s="2438"/>
      <c r="H20" s="2438"/>
      <c r="I20" s="2438"/>
      <c r="J20" s="2243"/>
      <c r="K20" s="3233"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3"/>
      <c r="B21" s="2414" t="s">
        <v>2204</v>
      </c>
      <c r="C21" s="2294" t="s">
        <v>1052</v>
      </c>
      <c r="D21" s="1458" t="s">
        <v>2205</v>
      </c>
      <c r="E21" s="2415" t="s">
        <v>1052</v>
      </c>
      <c r="F21" s="2427"/>
      <c r="G21" s="2438"/>
      <c r="H21" s="2438"/>
      <c r="I21" s="2438"/>
      <c r="J21" s="2243"/>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3"/>
      <c r="B22" s="2416" t="s">
        <v>2206</v>
      </c>
      <c r="C22" s="2294" t="s">
        <v>1053</v>
      </c>
      <c r="D22" s="2438"/>
      <c r="E22" s="2438"/>
      <c r="F22" s="2438"/>
      <c r="G22" s="2438"/>
      <c r="H22" s="2438"/>
      <c r="I22" s="2438"/>
      <c r="J22" s="2243"/>
      <c r="K22" s="3233"/>
      <c r="L22" s="646" t="str">
        <f>IF(E19="否","",IF(商业结果表!D36="同一抵押权人同一抵押物续贷","由于本次评估为同一抵押权人的续贷房地产抵押估价，故未将已抵押担保的债权数额（"&amp;C26&amp;"）作为法定优先受偿款予以扣减。",IF(商业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2207</v>
      </c>
      <c r="B23" s="2291" t="s">
        <v>2208</v>
      </c>
      <c r="C23" s="2418"/>
      <c r="D23" s="2419" t="s">
        <v>2208</v>
      </c>
      <c r="E23" s="2420"/>
      <c r="F23" s="2438"/>
      <c r="G23" s="2438"/>
      <c r="H23" s="2438"/>
      <c r="I23" s="2438"/>
      <c r="J23" s="2243"/>
      <c r="K23" s="2397"/>
      <c r="L23" s="121"/>
      <c r="M23" s="2395"/>
      <c r="N23" s="2243"/>
      <c r="O23" s="1668"/>
      <c r="P23" s="2243"/>
      <c r="Q23" s="2243"/>
      <c r="R23" s="2243"/>
      <c r="S23" s="2243"/>
      <c r="T23" s="2243"/>
      <c r="U23" s="2243"/>
      <c r="V23" s="2243"/>
    </row>
    <row r="24" spans="1:28">
      <c r="A24" s="2417"/>
      <c r="B24" s="2291" t="s">
        <v>1054</v>
      </c>
      <c r="C24" s="2269"/>
      <c r="D24" s="2417" t="s">
        <v>1054</v>
      </c>
      <c r="E24" s="2421"/>
      <c r="F24" s="2438"/>
      <c r="G24" s="2438"/>
      <c r="H24" s="2438"/>
      <c r="I24" s="2438"/>
      <c r="J24" s="2243"/>
      <c r="K24" s="2397"/>
      <c r="L24" s="121"/>
      <c r="M24" s="2395"/>
      <c r="N24" s="2243"/>
      <c r="O24" s="1668"/>
      <c r="P24" s="2243"/>
      <c r="Q24" s="2243"/>
      <c r="R24" s="2243"/>
      <c r="S24" s="2243"/>
      <c r="T24" s="2243"/>
      <c r="U24" s="2243"/>
      <c r="V24" s="2243"/>
    </row>
    <row r="25" spans="1:28">
      <c r="A25" s="2417"/>
      <c r="B25" s="2291" t="s">
        <v>1055</v>
      </c>
      <c r="C25" s="2269"/>
      <c r="D25" s="2417" t="s">
        <v>1055</v>
      </c>
      <c r="E25" s="2421"/>
      <c r="F25" s="2438"/>
      <c r="G25" s="2438"/>
      <c r="H25" s="2438"/>
      <c r="I25" s="2438"/>
      <c r="J25" s="2243"/>
      <c r="K25" s="2398"/>
      <c r="L25" s="2395"/>
      <c r="M25" s="2395"/>
      <c r="N25" s="2243"/>
      <c r="O25" s="1668"/>
      <c r="P25" s="2243"/>
      <c r="Q25" s="2243"/>
      <c r="R25" s="2243"/>
      <c r="S25" s="2243"/>
      <c r="T25" s="2243"/>
      <c r="U25" s="2243"/>
      <c r="V25" s="2243"/>
    </row>
    <row r="26" spans="1:28" ht="13.5" thickBot="1">
      <c r="A26" s="2422"/>
      <c r="B26" s="2423" t="s">
        <v>1056</v>
      </c>
      <c r="C26" s="2424"/>
      <c r="D26" s="2422" t="s">
        <v>1056</v>
      </c>
      <c r="E26" s="2425"/>
      <c r="F26" s="2439"/>
      <c r="G26" s="2439"/>
      <c r="H26" s="2439"/>
      <c r="I26" s="2439"/>
      <c r="J26" s="2243"/>
      <c r="K26" s="2398"/>
      <c r="L26" s="2395"/>
      <c r="M26" s="2395"/>
      <c r="N26" s="2243"/>
      <c r="O26" s="1668"/>
      <c r="P26" s="2243"/>
      <c r="Q26" s="2243"/>
      <c r="R26" s="2243"/>
      <c r="S26" s="2243"/>
      <c r="T26" s="2243"/>
      <c r="U26" s="2243"/>
      <c r="V26" s="2243"/>
    </row>
    <row r="27" spans="1:28" ht="13.5" thickTop="1">
      <c r="A27" s="3222" t="s">
        <v>2209</v>
      </c>
      <c r="B27" s="312" t="s">
        <v>2210</v>
      </c>
      <c r="C27" s="2223"/>
      <c r="D27" s="2224"/>
      <c r="E27" s="2438"/>
      <c r="F27" s="2438"/>
      <c r="G27" s="2438"/>
      <c r="H27" s="2438"/>
      <c r="I27" s="2438"/>
      <c r="J27" s="2243"/>
      <c r="K27" s="2399"/>
      <c r="L27" s="1668"/>
      <c r="M27" s="1668"/>
      <c r="N27" s="2243"/>
      <c r="O27" s="1668"/>
      <c r="P27" s="2243"/>
      <c r="Q27" s="2243"/>
      <c r="R27" s="2243"/>
      <c r="S27" s="2243"/>
      <c r="T27" s="2243"/>
      <c r="U27" s="2243"/>
      <c r="V27" s="2243"/>
    </row>
    <row r="28" spans="1:28">
      <c r="A28" s="3222"/>
      <c r="B28" s="294" t="s">
        <v>2211</v>
      </c>
      <c r="C28" s="2225"/>
      <c r="D28" s="2226"/>
      <c r="E28" s="2438"/>
      <c r="F28" s="2438"/>
      <c r="G28" s="2438"/>
      <c r="H28" s="2438"/>
      <c r="I28" s="2438"/>
      <c r="J28" s="2243"/>
      <c r="K28" s="2398"/>
      <c r="L28" s="2395"/>
      <c r="M28" s="2395"/>
      <c r="N28" s="2243"/>
      <c r="O28" s="1668"/>
      <c r="P28" s="2243"/>
      <c r="Q28" s="2243"/>
      <c r="R28" s="2243"/>
      <c r="S28" s="2243"/>
      <c r="T28" s="2243"/>
      <c r="U28" s="2243"/>
      <c r="V28" s="2243"/>
    </row>
    <row r="29" spans="1:28">
      <c r="A29" s="3222"/>
      <c r="B29" s="294" t="s">
        <v>2212</v>
      </c>
      <c r="C29" s="2227"/>
      <c r="D29" s="2228"/>
      <c r="E29" s="2438"/>
      <c r="F29" s="2438"/>
      <c r="G29" s="2438"/>
      <c r="H29" s="2438"/>
      <c r="I29" s="2438"/>
      <c r="J29" s="2243"/>
      <c r="K29" s="2398"/>
      <c r="L29" s="2395"/>
      <c r="M29" s="2395"/>
      <c r="N29" s="2243"/>
      <c r="O29" s="1668"/>
      <c r="P29" s="2243"/>
      <c r="Q29" s="2243"/>
      <c r="R29" s="2243"/>
      <c r="S29" s="2243"/>
      <c r="T29" s="2243"/>
      <c r="U29" s="2243"/>
      <c r="V29" s="2243"/>
    </row>
    <row r="30" spans="1:28">
      <c r="A30" s="3223"/>
      <c r="B30" s="294" t="s">
        <v>2213</v>
      </c>
      <c r="C30" s="3224"/>
      <c r="D30" s="3225"/>
      <c r="E30" s="2438"/>
      <c r="F30" s="2438"/>
      <c r="G30" s="2438"/>
      <c r="H30" s="2438"/>
      <c r="I30" s="2438"/>
      <c r="J30" s="2243"/>
      <c r="K30" s="2398"/>
      <c r="L30" s="2395"/>
      <c r="M30" s="2395"/>
      <c r="N30" s="2243"/>
      <c r="O30" s="1668"/>
      <c r="P30" s="2243"/>
      <c r="Q30" s="2243"/>
      <c r="R30" s="2243"/>
      <c r="S30" s="2243"/>
      <c r="T30" s="2243"/>
      <c r="U30" s="2243"/>
      <c r="V30" s="2243"/>
    </row>
    <row r="31" spans="1:28">
      <c r="A31" s="3226" t="s">
        <v>2214</v>
      </c>
      <c r="B31" s="2229"/>
      <c r="C31" s="12" t="str">
        <f>IF(B31="现房","成新及维护状况正常否",IF(B31="在建","工程状态是否正常",IF(B31="土地","是否闲置","-")))</f>
        <v>-</v>
      </c>
      <c r="D31" s="1279"/>
      <c r="E31" s="2230"/>
      <c r="F31" s="2438"/>
      <c r="G31" s="2438"/>
      <c r="H31" s="2438"/>
      <c r="I31" s="2438"/>
      <c r="J31" s="2243"/>
      <c r="K31" s="2397"/>
      <c r="L31" s="2395"/>
      <c r="M31" s="2395"/>
      <c r="N31" s="2243"/>
      <c r="O31" s="1668"/>
      <c r="P31" s="2243"/>
      <c r="Q31" s="2243"/>
      <c r="R31" s="2243"/>
      <c r="S31" s="2243"/>
      <c r="T31" s="2243"/>
      <c r="U31" s="2243"/>
      <c r="V31" s="2243"/>
    </row>
    <row r="32" spans="1:28">
      <c r="A32" s="3227"/>
      <c r="B32" s="2229"/>
      <c r="C32" s="12" t="str">
        <f>IF(B32="现房","成新及维护状况是否正常",IF(B32="在建","工程状态是否正常",IF(B32="土地","是否闲置","-")))</f>
        <v>-</v>
      </c>
      <c r="D32" s="1279"/>
      <c r="E32" s="2230"/>
      <c r="F32" s="2438"/>
      <c r="G32" s="2438"/>
      <c r="H32" s="2438"/>
      <c r="I32" s="2438"/>
      <c r="J32" s="2243"/>
      <c r="K32" s="2398"/>
      <c r="L32" s="2395"/>
      <c r="M32" s="2395"/>
      <c r="N32" s="2243"/>
      <c r="O32" s="1668"/>
      <c r="P32" s="2243"/>
      <c r="Q32" s="2243"/>
      <c r="R32" s="2243"/>
      <c r="S32" s="2243"/>
      <c r="T32" s="2243"/>
      <c r="U32" s="2243"/>
      <c r="V32" s="2243"/>
    </row>
    <row r="33" spans="1:30">
      <c r="A33" s="3227"/>
      <c r="B33" s="2232"/>
      <c r="C33" s="1476" t="str">
        <f>IF(B33="现房","成新及维护状况是否正常",IF(B33="在建","工程状态是否正常",IF(B33="土地","是否闲置","-")))</f>
        <v>-</v>
      </c>
      <c r="D33" s="1272"/>
      <c r="E33" s="2233"/>
      <c r="F33" s="2438"/>
      <c r="G33" s="2438"/>
      <c r="H33" s="2438"/>
      <c r="I33" s="2438"/>
      <c r="J33" s="2243"/>
      <c r="K33" s="2398"/>
      <c r="L33" s="2395"/>
      <c r="M33" s="2395"/>
      <c r="N33" s="2243"/>
      <c r="O33" s="1668"/>
      <c r="P33" s="2243"/>
      <c r="Q33" s="2243"/>
      <c r="R33" s="2243"/>
      <c r="S33" s="2243"/>
      <c r="T33" s="2243"/>
      <c r="U33" s="2243"/>
      <c r="V33" s="2243"/>
    </row>
    <row r="34" spans="1:30">
      <c r="A34" s="294" t="s">
        <v>2215</v>
      </c>
      <c r="B34" s="1868"/>
      <c r="C34" s="1868"/>
      <c r="D34" s="1868"/>
      <c r="E34" s="1868"/>
      <c r="F34" s="1868"/>
      <c r="G34" s="1868"/>
      <c r="H34" s="1868"/>
      <c r="I34" s="2438"/>
      <c r="J34" s="2243"/>
      <c r="K34" s="8">
        <f>COUNTIF(B34:H34,"——")</f>
        <v>0</v>
      </c>
      <c r="L34" s="315" t="s">
        <v>2216</v>
      </c>
      <c r="M34" s="315" t="s">
        <v>2217</v>
      </c>
      <c r="N34" s="315" t="s">
        <v>2218</v>
      </c>
      <c r="O34" s="315" t="s">
        <v>2219</v>
      </c>
      <c r="P34" s="315" t="s">
        <v>2220</v>
      </c>
      <c r="Q34" s="315" t="s">
        <v>2221</v>
      </c>
      <c r="R34" s="315" t="s">
        <v>2222</v>
      </c>
      <c r="S34" s="3221" t="s">
        <v>2223</v>
      </c>
      <c r="T34" s="315" t="str">
        <f>NUMBERSTRING(7-K34,1)&amp;"通"</f>
        <v>七通</v>
      </c>
      <c r="U34" s="2243"/>
      <c r="V34" s="2243"/>
    </row>
    <row r="35" spans="1:30">
      <c r="A35" s="2234"/>
      <c r="B35" s="3221" t="s">
        <v>2224</v>
      </c>
      <c r="C35" s="3221"/>
      <c r="D35" s="3221"/>
      <c r="E35" s="3221"/>
      <c r="F35" s="8">
        <f>C10</f>
        <v>0</v>
      </c>
      <c r="G35" s="2438"/>
      <c r="H35" s="2438"/>
      <c r="I35" s="2438"/>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3"/>
      <c r="V35" s="2243"/>
    </row>
    <row r="36" spans="1:30">
      <c r="A36" s="2181"/>
      <c r="B36" s="8" t="s">
        <v>2180</v>
      </c>
      <c r="C36" s="8" t="s">
        <v>2181</v>
      </c>
      <c r="D36" s="8" t="s">
        <v>2179</v>
      </c>
      <c r="E36" s="8" t="s">
        <v>2184</v>
      </c>
      <c r="F36" s="2797" t="s">
        <v>2565</v>
      </c>
      <c r="G36" s="2438"/>
      <c r="H36" s="2438"/>
      <c r="I36" s="2438"/>
      <c r="J36" s="2243"/>
      <c r="K36" s="2398"/>
      <c r="L36" s="2395"/>
      <c r="M36" s="2395"/>
      <c r="N36" s="2243"/>
      <c r="O36" s="1668"/>
      <c r="P36" s="2243"/>
      <c r="Q36" s="2243"/>
      <c r="R36" s="2243"/>
      <c r="S36" s="2243"/>
      <c r="T36" s="2243"/>
      <c r="U36" s="2243"/>
      <c r="V36" s="2243"/>
    </row>
    <row r="37" spans="1:30">
      <c r="A37" s="2411" t="s">
        <v>2225</v>
      </c>
      <c r="B37" s="2235" t="s">
        <v>144</v>
      </c>
      <c r="C37" s="2235" t="s">
        <v>144</v>
      </c>
      <c r="D37" s="2235"/>
      <c r="E37" s="2235"/>
      <c r="F37" s="2235"/>
      <c r="G37" s="2438"/>
      <c r="H37" s="2438"/>
      <c r="I37" s="2438"/>
      <c r="J37" s="2243"/>
      <c r="K37" s="2398"/>
      <c r="L37" s="2395"/>
      <c r="M37" s="2395"/>
      <c r="N37" s="2243"/>
      <c r="O37" s="1668"/>
      <c r="P37" s="2243"/>
      <c r="Q37" s="2243"/>
      <c r="R37" s="2243"/>
      <c r="S37" s="2243"/>
      <c r="T37" s="2243"/>
      <c r="U37" s="2243"/>
      <c r="V37" s="2243"/>
    </row>
    <row r="38" spans="1:30" ht="13.5" thickBot="1">
      <c r="A38" s="2412" t="s">
        <v>2226</v>
      </c>
      <c r="B38" s="2236" t="s">
        <v>3430</v>
      </c>
      <c r="C38" s="2236" t="s">
        <v>3430</v>
      </c>
      <c r="D38" s="2236"/>
      <c r="E38" s="2236"/>
      <c r="F38" s="2236"/>
      <c r="G38" s="2439"/>
      <c r="H38" s="2439"/>
      <c r="I38" s="2439"/>
      <c r="J38" s="2243"/>
      <c r="K38" s="2398"/>
      <c r="L38" s="2395"/>
      <c r="M38" s="2395"/>
      <c r="N38" s="2243"/>
      <c r="O38" s="1668"/>
      <c r="P38" s="2243"/>
      <c r="Q38" s="2243"/>
      <c r="R38" s="2243"/>
      <c r="S38" s="2243"/>
      <c r="T38" s="2243"/>
      <c r="U38" s="2243"/>
      <c r="V38" s="2243"/>
    </row>
    <row r="39" spans="1:30" s="2239" customFormat="1" ht="14.25" thickTop="1" thickBot="1">
      <c r="A39" s="2237" t="s">
        <v>2227</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3"/>
      <c r="K40" s="2397"/>
      <c r="L40" s="1668"/>
      <c r="M40" s="1668"/>
      <c r="N40" s="2243"/>
      <c r="O40" s="1668"/>
      <c r="P40" s="2243"/>
      <c r="Q40" s="2243"/>
      <c r="R40" s="2243"/>
      <c r="S40" s="2243"/>
      <c r="T40" s="2243"/>
      <c r="U40" s="2243"/>
      <c r="V40" s="2243"/>
    </row>
    <row r="41" spans="1:30">
      <c r="A41" s="2240" t="s">
        <v>2228</v>
      </c>
      <c r="B41" s="1625"/>
      <c r="C41" s="1279"/>
      <c r="D41" s="2180"/>
      <c r="E41" s="2180"/>
      <c r="F41" s="2180"/>
      <c r="G41" s="2180"/>
      <c r="H41" s="2180"/>
      <c r="I41" s="1464"/>
      <c r="J41" s="2243"/>
      <c r="K41" s="2398"/>
      <c r="L41" s="2395"/>
      <c r="M41" s="2395"/>
      <c r="N41" s="2243"/>
      <c r="O41" s="1668"/>
      <c r="P41" s="2243"/>
      <c r="Q41" s="2243"/>
      <c r="R41" s="2243"/>
      <c r="S41" s="2243"/>
      <c r="T41" s="2243"/>
      <c r="U41" s="2243"/>
      <c r="V41" s="2243"/>
    </row>
    <row r="42" spans="1:30" ht="25.5">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3"/>
      <c r="T42" s="2243"/>
      <c r="U42" s="2243"/>
      <c r="V42" s="2243"/>
    </row>
    <row r="43" spans="1:30" s="1614" customFormat="1">
      <c r="A43" s="1460"/>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4" customFormat="1">
      <c r="A44" s="1460"/>
      <c r="B44" s="1460"/>
      <c r="C44" s="628"/>
      <c r="D44" s="628"/>
      <c r="E44" s="628"/>
      <c r="F44" s="628"/>
      <c r="G44" s="628"/>
      <c r="H44" s="628"/>
      <c r="I44" s="628"/>
      <c r="J44" s="2241"/>
      <c r="K44" s="2242"/>
      <c r="L44" s="2242"/>
      <c r="M44" s="628"/>
      <c r="N44" s="628"/>
      <c r="O44" s="628"/>
      <c r="P44" s="628"/>
      <c r="Q44" s="628"/>
      <c r="R44" s="628"/>
      <c r="S44" s="2243"/>
      <c r="T44" s="2243"/>
      <c r="U44" s="2243"/>
      <c r="V44" s="2243"/>
    </row>
    <row r="45" spans="1:30" s="1614" customFormat="1">
      <c r="A45" s="1460"/>
      <c r="B45" s="1460"/>
      <c r="C45" s="628"/>
      <c r="D45" s="628"/>
      <c r="E45" s="628"/>
      <c r="F45" s="628"/>
      <c r="G45" s="628"/>
      <c r="H45" s="628"/>
      <c r="I45" s="628"/>
      <c r="J45" s="2241"/>
      <c r="K45" s="2242"/>
      <c r="L45" s="2242"/>
      <c r="M45" s="628"/>
      <c r="N45" s="628"/>
      <c r="O45" s="628"/>
      <c r="P45" s="628"/>
      <c r="Q45" s="628"/>
      <c r="R45" s="628"/>
      <c r="S45" s="2243"/>
      <c r="T45" s="2243"/>
      <c r="U45" s="2243"/>
      <c r="V45" s="2243"/>
    </row>
    <row r="46" spans="1:30" s="1614" customFormat="1">
      <c r="A46" s="1460"/>
      <c r="B46" s="1460"/>
      <c r="C46" s="628"/>
      <c r="D46" s="628"/>
      <c r="E46" s="628"/>
      <c r="F46" s="628"/>
      <c r="G46" s="628"/>
      <c r="H46" s="628"/>
      <c r="I46" s="628"/>
      <c r="J46" s="2241"/>
      <c r="K46" s="2242"/>
      <c r="L46" s="2242"/>
      <c r="M46" s="628"/>
      <c r="N46" s="628"/>
      <c r="O46" s="628"/>
      <c r="P46" s="628"/>
      <c r="Q46" s="628"/>
      <c r="R46" s="628"/>
      <c r="S46" s="2243"/>
      <c r="T46" s="2243"/>
      <c r="U46" s="2243"/>
      <c r="V46" s="2243"/>
    </row>
    <row r="47" spans="1:30" s="1614" customFormat="1">
      <c r="A47" s="1460"/>
      <c r="B47" s="1460"/>
      <c r="C47" s="628"/>
      <c r="D47" s="628"/>
      <c r="E47" s="628"/>
      <c r="F47" s="628"/>
      <c r="G47" s="628"/>
      <c r="H47" s="628"/>
      <c r="I47" s="628"/>
      <c r="J47" s="2241"/>
      <c r="K47" s="2242"/>
      <c r="L47" s="2242"/>
      <c r="M47" s="628"/>
      <c r="N47" s="628"/>
      <c r="O47" s="628"/>
      <c r="P47" s="628"/>
      <c r="Q47" s="628"/>
      <c r="R47" s="628"/>
      <c r="S47" s="2243"/>
      <c r="T47" s="2243"/>
      <c r="U47" s="2243"/>
      <c r="V47" s="2243"/>
    </row>
    <row r="48" spans="1:30" s="1614" customFormat="1">
      <c r="A48" s="1460"/>
      <c r="B48" s="1460"/>
      <c r="C48" s="628"/>
      <c r="D48" s="628"/>
      <c r="E48" s="628"/>
      <c r="F48" s="628"/>
      <c r="G48" s="628"/>
      <c r="H48" s="628"/>
      <c r="I48" s="628"/>
      <c r="J48" s="2241"/>
      <c r="K48" s="2242"/>
      <c r="L48" s="2242"/>
      <c r="M48" s="628"/>
      <c r="N48" s="628"/>
      <c r="O48" s="628"/>
      <c r="P48" s="628"/>
      <c r="Q48" s="628"/>
      <c r="R48" s="628"/>
      <c r="S48" s="2243"/>
      <c r="T48" s="2243"/>
      <c r="U48" s="2243"/>
      <c r="V48" s="2243"/>
    </row>
    <row r="49" spans="1:22" s="1614" customFormat="1">
      <c r="A49" s="1460"/>
      <c r="B49" s="1460"/>
      <c r="C49" s="628"/>
      <c r="D49" s="628"/>
      <c r="E49" s="628"/>
      <c r="F49" s="628"/>
      <c r="G49" s="628"/>
      <c r="H49" s="628"/>
      <c r="I49" s="628"/>
      <c r="J49" s="2241"/>
      <c r="K49" s="2242"/>
      <c r="L49" s="2242"/>
      <c r="M49" s="628"/>
      <c r="N49" s="628"/>
      <c r="O49" s="628"/>
      <c r="P49" s="628"/>
      <c r="Q49" s="628"/>
      <c r="R49" s="628"/>
      <c r="S49" s="2243"/>
      <c r="T49" s="2243"/>
      <c r="U49" s="2243"/>
      <c r="V49" s="2243"/>
    </row>
    <row r="50" spans="1:22" s="1614" customFormat="1">
      <c r="A50" s="1460"/>
      <c r="B50" s="1460"/>
      <c r="C50" s="628"/>
      <c r="D50" s="628"/>
      <c r="E50" s="628"/>
      <c r="F50" s="628"/>
      <c r="G50" s="628"/>
      <c r="H50" s="628"/>
      <c r="I50" s="628"/>
      <c r="J50" s="2241"/>
      <c r="K50" s="2242"/>
      <c r="L50" s="2242"/>
      <c r="M50" s="628"/>
      <c r="N50" s="628"/>
      <c r="O50" s="628"/>
      <c r="P50" s="628"/>
      <c r="Q50" s="628"/>
      <c r="R50" s="628"/>
      <c r="S50" s="2243"/>
      <c r="T50" s="2243"/>
      <c r="U50" s="2243"/>
      <c r="V50" s="2243"/>
    </row>
    <row r="51" spans="1:22" s="1614" customFormat="1">
      <c r="A51" s="1460"/>
      <c r="B51" s="1460"/>
      <c r="C51" s="628"/>
      <c r="D51" s="628"/>
      <c r="E51" s="628"/>
      <c r="F51" s="628"/>
      <c r="G51" s="628"/>
      <c r="H51" s="628"/>
      <c r="I51" s="628"/>
      <c r="J51" s="2241"/>
      <c r="K51" s="2242"/>
      <c r="L51" s="2242"/>
      <c r="M51" s="628"/>
      <c r="N51" s="628"/>
      <c r="O51" s="628"/>
      <c r="P51" s="628"/>
      <c r="Q51" s="628"/>
      <c r="R51" s="628"/>
    </row>
    <row r="52" spans="1:22" s="1614" customFormat="1">
      <c r="A52" s="1460"/>
      <c r="B52" s="1460"/>
      <c r="C52" s="1460"/>
      <c r="D52" s="1460"/>
      <c r="E52" s="1460"/>
      <c r="F52" s="628"/>
      <c r="G52" s="1460"/>
      <c r="H52" s="1460"/>
      <c r="I52" s="1460"/>
      <c r="J52" s="2244"/>
      <c r="K52" s="2242"/>
      <c r="L52" s="2242"/>
      <c r="M52" s="2242"/>
      <c r="N52" s="1460"/>
      <c r="O52" s="1460"/>
      <c r="P52" s="1460"/>
      <c r="Q52" s="1460"/>
      <c r="R52" s="1460"/>
    </row>
    <row r="53" spans="1:22" s="1614" customFormat="1">
      <c r="A53" s="1460"/>
      <c r="B53" s="1460"/>
      <c r="C53" s="1460"/>
      <c r="D53" s="1460"/>
      <c r="E53" s="1460"/>
      <c r="F53" s="628"/>
      <c r="G53" s="1460"/>
      <c r="H53" s="1460"/>
      <c r="I53" s="1460"/>
      <c r="J53" s="2244"/>
      <c r="K53" s="2242"/>
      <c r="L53" s="2242"/>
      <c r="M53" s="2242"/>
      <c r="N53" s="1460"/>
      <c r="O53" s="1460"/>
      <c r="P53" s="1460"/>
      <c r="Q53" s="1460"/>
      <c r="R53" s="1460"/>
    </row>
    <row r="54" spans="1:22" s="1614" customFormat="1">
      <c r="A54" s="1460"/>
      <c r="B54" s="1460"/>
      <c r="C54" s="1460"/>
      <c r="D54" s="1460"/>
      <c r="E54" s="1460"/>
      <c r="F54" s="628"/>
      <c r="G54" s="1460"/>
      <c r="H54" s="1460"/>
      <c r="I54" s="1460"/>
      <c r="J54" s="2244"/>
      <c r="K54" s="2242"/>
      <c r="L54" s="2242"/>
      <c r="M54" s="2242"/>
      <c r="N54" s="1460"/>
      <c r="O54" s="1460"/>
      <c r="P54" s="1460"/>
      <c r="Q54" s="1460"/>
      <c r="R54" s="1460"/>
    </row>
    <row r="55" spans="1:22" s="1614" customFormat="1">
      <c r="A55" s="1460"/>
      <c r="B55" s="1460"/>
      <c r="C55" s="1460"/>
      <c r="D55" s="1460"/>
      <c r="E55" s="1460"/>
      <c r="F55" s="628"/>
      <c r="G55" s="1460"/>
      <c r="H55" s="1460"/>
      <c r="I55" s="1460"/>
      <c r="J55" s="2244"/>
      <c r="K55" s="2242"/>
      <c r="L55" s="2242"/>
      <c r="M55" s="2242"/>
      <c r="N55" s="1460"/>
      <c r="O55" s="1460"/>
      <c r="P55" s="1460"/>
      <c r="Q55" s="1460"/>
      <c r="R55" s="1460"/>
    </row>
    <row r="56" spans="1:22" s="1614" customFormat="1">
      <c r="A56" s="1460"/>
      <c r="B56" s="1460"/>
      <c r="C56" s="1460"/>
      <c r="D56" s="1460"/>
      <c r="E56" s="1460"/>
      <c r="F56" s="628"/>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BA7C0-1CC6-4054-8E35-D63F218699B0}">
  <sheetPr>
    <tabColor rgb="FFFFFF00"/>
  </sheetPr>
  <dimension ref="B1:R67"/>
  <sheetViews>
    <sheetView tabSelected="1" workbookViewId="0">
      <selection activeCell="M14" sqref="M14"/>
    </sheetView>
  </sheetViews>
  <sheetFormatPr defaultRowHeight="13.5"/>
  <cols>
    <col min="1" max="1" width="9" style="2810"/>
    <col min="2" max="2" width="6.25" style="2810" bestFit="1" customWidth="1"/>
    <col min="3" max="3" width="5.5" style="2810" bestFit="1" customWidth="1"/>
    <col min="4" max="4" width="9" style="2810"/>
    <col min="5" max="5" width="5.25" style="2810" bestFit="1" customWidth="1"/>
    <col min="6" max="6" width="9" style="2810"/>
    <col min="7" max="7" width="9.5" style="2810" bestFit="1" customWidth="1"/>
    <col min="8" max="13" width="9" style="2810"/>
    <col min="14" max="14" width="10.5" style="2810" bestFit="1" customWidth="1"/>
    <col min="15" max="16384" width="9" style="2810"/>
  </cols>
  <sheetData>
    <row r="1" spans="2:18">
      <c r="C1" s="1427" t="s">
        <v>2798</v>
      </c>
      <c r="D1" s="1427" t="s">
        <v>3405</v>
      </c>
      <c r="E1" s="1427" t="s">
        <v>3403</v>
      </c>
      <c r="F1" s="1427" t="s">
        <v>3405</v>
      </c>
      <c r="G1" s="1427" t="s">
        <v>3407</v>
      </c>
      <c r="H1" s="1427" t="s">
        <v>3409</v>
      </c>
      <c r="I1" s="1427" t="s">
        <v>3408</v>
      </c>
      <c r="J1" s="1427" t="s">
        <v>3409</v>
      </c>
      <c r="L1" s="3159"/>
      <c r="M1" s="3159"/>
      <c r="N1" s="3159" t="s">
        <v>3405</v>
      </c>
      <c r="Q1" s="1419" t="s">
        <v>3419</v>
      </c>
      <c r="R1" s="1419" t="s">
        <v>3409</v>
      </c>
    </row>
    <row r="2" spans="2:18">
      <c r="B2" s="1419" t="s">
        <v>3402</v>
      </c>
      <c r="C2" s="1427">
        <v>1002</v>
      </c>
      <c r="D2" s="3159">
        <v>928.13</v>
      </c>
      <c r="E2" s="3159">
        <v>104</v>
      </c>
      <c r="F2" s="3159">
        <v>99.05</v>
      </c>
      <c r="G2" s="3159">
        <v>-106</v>
      </c>
      <c r="H2" s="3159">
        <v>394.61</v>
      </c>
      <c r="I2" s="3159">
        <v>-101</v>
      </c>
      <c r="J2" s="3159">
        <v>66.25</v>
      </c>
      <c r="L2" s="3252" t="s">
        <v>3402</v>
      </c>
      <c r="M2" s="3160" t="s">
        <v>3412</v>
      </c>
      <c r="N2" s="3161">
        <f>D26</f>
        <v>31624.159999999996</v>
      </c>
      <c r="Q2" s="2810">
        <v>-315</v>
      </c>
      <c r="R2" s="2810">
        <v>71.61</v>
      </c>
    </row>
    <row r="3" spans="2:18">
      <c r="C3" s="3159">
        <v>1001</v>
      </c>
      <c r="D3" s="3159">
        <v>1158.8599999999999</v>
      </c>
      <c r="E3" s="3159">
        <v>109</v>
      </c>
      <c r="F3" s="3159">
        <v>19.690000000000001</v>
      </c>
      <c r="G3" s="3159">
        <v>-108</v>
      </c>
      <c r="H3" s="3159">
        <v>3626.7</v>
      </c>
      <c r="I3" s="3159">
        <v>-103</v>
      </c>
      <c r="J3" s="3159">
        <v>171.69</v>
      </c>
      <c r="L3" s="3253"/>
      <c r="M3" s="3160" t="s">
        <v>3413</v>
      </c>
      <c r="N3" s="3161">
        <f>F26</f>
        <v>7311.73</v>
      </c>
      <c r="Q3" s="2810">
        <v>-306</v>
      </c>
      <c r="R3" s="2810">
        <v>75.5</v>
      </c>
    </row>
    <row r="4" spans="2:18">
      <c r="C4" s="3159">
        <v>1101</v>
      </c>
      <c r="D4" s="3159">
        <v>2043.78</v>
      </c>
      <c r="E4" s="3159">
        <v>105</v>
      </c>
      <c r="F4" s="3159">
        <v>1194.95</v>
      </c>
      <c r="G4" s="3159">
        <v>-104</v>
      </c>
      <c r="H4" s="3159">
        <v>536.48</v>
      </c>
      <c r="I4" s="3159">
        <v>-102</v>
      </c>
      <c r="J4" s="3159">
        <v>101.2</v>
      </c>
      <c r="L4" s="3253"/>
      <c r="M4" s="3160" t="s">
        <v>3414</v>
      </c>
      <c r="N4" s="3161">
        <f>J26</f>
        <v>356.78</v>
      </c>
      <c r="Q4" s="2810">
        <v>-311</v>
      </c>
      <c r="R4" s="2810">
        <v>60.92</v>
      </c>
    </row>
    <row r="5" spans="2:18">
      <c r="C5" s="3159">
        <v>401</v>
      </c>
      <c r="D5" s="3159">
        <v>1461.54</v>
      </c>
      <c r="E5" s="3159">
        <v>101</v>
      </c>
      <c r="F5" s="3159">
        <v>333.57</v>
      </c>
      <c r="G5" s="3159">
        <v>-107</v>
      </c>
      <c r="H5" s="3159">
        <v>111.3</v>
      </c>
      <c r="I5" s="3159">
        <v>-115</v>
      </c>
      <c r="J5" s="3159">
        <v>17.64</v>
      </c>
      <c r="L5" s="3254"/>
      <c r="M5" s="3160" t="s">
        <v>3415</v>
      </c>
      <c r="N5" s="3161">
        <f>H26</f>
        <v>4871.87</v>
      </c>
      <c r="Q5" s="2810">
        <v>-316</v>
      </c>
      <c r="R5" s="2810">
        <v>59.31</v>
      </c>
    </row>
    <row r="6" spans="2:18">
      <c r="C6" s="3159">
        <v>802</v>
      </c>
      <c r="D6" s="3159">
        <v>917.56</v>
      </c>
      <c r="E6" s="3159">
        <v>112</v>
      </c>
      <c r="F6" s="3159">
        <v>53.48</v>
      </c>
      <c r="G6" s="3159">
        <v>-105</v>
      </c>
      <c r="H6" s="3159">
        <v>202.78</v>
      </c>
      <c r="I6" s="3159"/>
      <c r="J6" s="3159"/>
      <c r="L6" s="3255" t="s">
        <v>3416</v>
      </c>
      <c r="M6" s="3162" t="s">
        <v>3412</v>
      </c>
      <c r="N6" s="3163">
        <f>D47</f>
        <v>35835.840000000004</v>
      </c>
      <c r="Q6" s="2810">
        <v>-321</v>
      </c>
      <c r="R6" s="2810">
        <v>65.72</v>
      </c>
    </row>
    <row r="7" spans="2:18">
      <c r="C7" s="3159">
        <v>801</v>
      </c>
      <c r="D7" s="3159">
        <v>1169</v>
      </c>
      <c r="E7" s="3159">
        <v>103</v>
      </c>
      <c r="F7" s="3159">
        <v>43.35</v>
      </c>
      <c r="G7" s="3159"/>
      <c r="H7" s="3159"/>
      <c r="I7" s="3159"/>
      <c r="J7" s="3159"/>
      <c r="L7" s="3256"/>
      <c r="M7" s="3162" t="s">
        <v>3413</v>
      </c>
      <c r="N7" s="3163">
        <f>F47</f>
        <v>6944.13</v>
      </c>
      <c r="Q7" s="2810">
        <v>-323</v>
      </c>
      <c r="R7" s="2810">
        <v>78.84</v>
      </c>
    </row>
    <row r="8" spans="2:18">
      <c r="C8" s="3159">
        <v>1201</v>
      </c>
      <c r="D8" s="3159">
        <v>2044.14</v>
      </c>
      <c r="E8" s="3159">
        <v>106</v>
      </c>
      <c r="F8" s="3159">
        <v>653.89</v>
      </c>
      <c r="G8" s="3159"/>
      <c r="H8" s="3159"/>
      <c r="I8" s="3159"/>
      <c r="J8" s="3159"/>
      <c r="L8" s="3164" t="s">
        <v>3417</v>
      </c>
      <c r="M8" s="3164" t="s">
        <v>3412</v>
      </c>
      <c r="N8" s="3165">
        <f>D67</f>
        <v>23926.269999999997</v>
      </c>
      <c r="Q8" s="2810">
        <v>-318</v>
      </c>
      <c r="R8" s="2810">
        <v>78.19</v>
      </c>
    </row>
    <row r="9" spans="2:18">
      <c r="C9" s="3159">
        <v>1701</v>
      </c>
      <c r="D9" s="3159">
        <v>2087.38</v>
      </c>
      <c r="E9" s="3159">
        <v>102</v>
      </c>
      <c r="F9" s="3159">
        <v>861.03</v>
      </c>
      <c r="G9" s="3159"/>
      <c r="H9" s="3159"/>
      <c r="I9" s="3159"/>
      <c r="J9" s="3159"/>
      <c r="L9" s="3166" t="s">
        <v>3411</v>
      </c>
      <c r="M9" s="3166"/>
      <c r="N9" s="3166">
        <f>N2+N3+N4+N5+N6+N7+N8</f>
        <v>110870.78</v>
      </c>
      <c r="Q9" s="2810">
        <v>-307</v>
      </c>
      <c r="R9" s="2810">
        <v>64.900000000000006</v>
      </c>
    </row>
    <row r="10" spans="2:18">
      <c r="C10" s="3159">
        <v>1501</v>
      </c>
      <c r="D10" s="3159">
        <v>2044.21</v>
      </c>
      <c r="E10" s="3159">
        <v>202</v>
      </c>
      <c r="F10" s="3159">
        <v>1572.2</v>
      </c>
      <c r="G10" s="3159"/>
      <c r="H10" s="3159"/>
      <c r="I10" s="3159"/>
      <c r="J10" s="3159"/>
      <c r="L10" s="1427"/>
      <c r="M10" s="1427" t="s">
        <v>3422</v>
      </c>
      <c r="N10" s="3159">
        <f>R61</f>
        <v>4272.8200000000015</v>
      </c>
      <c r="Q10" s="2810">
        <v>-317</v>
      </c>
      <c r="R10" s="2810">
        <v>62.52</v>
      </c>
    </row>
    <row r="11" spans="2:18">
      <c r="C11" s="3159">
        <v>301</v>
      </c>
      <c r="D11" s="3159">
        <v>1118.75</v>
      </c>
      <c r="E11" s="3159">
        <v>205</v>
      </c>
      <c r="F11" s="3159">
        <v>167.68</v>
      </c>
      <c r="G11" s="3159"/>
      <c r="H11" s="3159"/>
      <c r="I11" s="3159"/>
      <c r="J11" s="3159"/>
      <c r="L11" s="1427"/>
      <c r="M11" s="1427" t="s">
        <v>3420</v>
      </c>
      <c r="N11" s="1427">
        <v>24473</v>
      </c>
      <c r="Q11" s="2810">
        <v>-322</v>
      </c>
      <c r="R11" s="2810">
        <v>61.83</v>
      </c>
    </row>
    <row r="12" spans="2:18">
      <c r="C12" s="3159">
        <v>302</v>
      </c>
      <c r="D12" s="3159">
        <v>325.44</v>
      </c>
      <c r="E12" s="3159">
        <v>218</v>
      </c>
      <c r="F12" s="3159">
        <v>675.79</v>
      </c>
      <c r="G12" s="3159"/>
      <c r="H12" s="3159"/>
      <c r="I12" s="3159"/>
      <c r="J12" s="3159"/>
      <c r="L12" s="3167" t="s">
        <v>3421</v>
      </c>
      <c r="M12" s="3168"/>
      <c r="N12" s="3168">
        <f>SUM(N9:N11)</f>
        <v>139616.6</v>
      </c>
      <c r="Q12" s="2810">
        <v>-320</v>
      </c>
      <c r="R12" s="2810">
        <v>50.28</v>
      </c>
    </row>
    <row r="13" spans="2:18">
      <c r="C13" s="3159">
        <v>701</v>
      </c>
      <c r="D13" s="3159">
        <v>2087.85</v>
      </c>
      <c r="E13" s="3159">
        <v>201</v>
      </c>
      <c r="F13" s="3159">
        <v>778.45</v>
      </c>
      <c r="G13" s="3159"/>
      <c r="H13" s="3159"/>
      <c r="I13" s="3159"/>
      <c r="J13" s="3159"/>
      <c r="Q13" s="2810">
        <v>-314</v>
      </c>
      <c r="R13" s="2810">
        <v>46.44</v>
      </c>
    </row>
    <row r="14" spans="2:18">
      <c r="C14" s="3159">
        <v>601</v>
      </c>
      <c r="D14" s="3159">
        <v>2087.5100000000002</v>
      </c>
      <c r="E14" s="3159">
        <v>206</v>
      </c>
      <c r="F14" s="3159">
        <v>492.28</v>
      </c>
      <c r="G14" s="3159"/>
      <c r="H14" s="3159"/>
      <c r="I14" s="3159"/>
      <c r="J14" s="3159"/>
      <c r="Q14" s="2810">
        <v>-313</v>
      </c>
      <c r="R14" s="2810">
        <v>76.150000000000006</v>
      </c>
    </row>
    <row r="15" spans="2:18">
      <c r="C15" s="3159">
        <v>1401</v>
      </c>
      <c r="D15" s="3159">
        <v>2043.8</v>
      </c>
      <c r="E15" s="3159">
        <v>209</v>
      </c>
      <c r="F15" s="3159">
        <v>366.32</v>
      </c>
      <c r="G15" s="3159"/>
      <c r="H15" s="3159"/>
      <c r="I15" s="3159"/>
      <c r="J15" s="3159"/>
      <c r="M15" s="1419" t="s">
        <v>3450</v>
      </c>
      <c r="Q15" s="2810">
        <v>-309</v>
      </c>
      <c r="R15" s="2810">
        <v>59.59</v>
      </c>
    </row>
    <row r="16" spans="2:18">
      <c r="C16" s="3159">
        <v>501</v>
      </c>
      <c r="D16" s="3159">
        <v>1538.7</v>
      </c>
      <c r="E16" s="3159"/>
      <c r="F16" s="3159"/>
      <c r="G16" s="3159"/>
      <c r="H16" s="3159"/>
      <c r="I16" s="3159"/>
      <c r="J16" s="3159"/>
      <c r="L16" s="1419" t="s">
        <v>3451</v>
      </c>
      <c r="M16" s="2810">
        <f>F2+F3+F4+F5+F6+F7+F8+F9+F35+F36</f>
        <v>4530.3999999999996</v>
      </c>
      <c r="Q16" s="2810">
        <v>-301</v>
      </c>
      <c r="R16" s="2810">
        <v>41.78</v>
      </c>
    </row>
    <row r="17" spans="2:18">
      <c r="C17" s="3159">
        <v>1601</v>
      </c>
      <c r="D17" s="3159">
        <v>2043.37</v>
      </c>
      <c r="E17" s="3159"/>
      <c r="F17" s="3159"/>
      <c r="G17" s="3159"/>
      <c r="H17" s="3159"/>
      <c r="I17" s="3159"/>
      <c r="J17" s="3159"/>
      <c r="L17" s="1419" t="s">
        <v>3452</v>
      </c>
      <c r="M17" s="2810">
        <f>F10+F11+F12+F13+F14+F15+F31+F32+F33+F34+F37+F38+F39</f>
        <v>6364.26</v>
      </c>
      <c r="Q17" s="2810">
        <v>-325</v>
      </c>
      <c r="R17" s="2810">
        <v>35.840000000000003</v>
      </c>
    </row>
    <row r="18" spans="2:18">
      <c r="C18" s="3159">
        <v>204</v>
      </c>
      <c r="D18" s="3159">
        <v>139.96</v>
      </c>
      <c r="E18" s="3159"/>
      <c r="F18" s="3159"/>
      <c r="G18" s="3159"/>
      <c r="H18" s="3159"/>
      <c r="I18" s="3159"/>
      <c r="J18" s="3159"/>
      <c r="L18" s="1419" t="s">
        <v>3453</v>
      </c>
      <c r="M18" s="2810">
        <f>F29</f>
        <v>1676.99</v>
      </c>
      <c r="Q18" s="2810">
        <v>-312</v>
      </c>
      <c r="R18" s="2810">
        <v>59.59</v>
      </c>
    </row>
    <row r="19" spans="2:18">
      <c r="C19" s="3159">
        <v>208</v>
      </c>
      <c r="D19" s="3159">
        <v>69.98</v>
      </c>
      <c r="E19" s="3159"/>
      <c r="F19" s="3159"/>
      <c r="G19" s="3159"/>
      <c r="H19" s="3159"/>
      <c r="I19" s="3159"/>
      <c r="J19" s="3159"/>
      <c r="L19" s="1419" t="s">
        <v>3454</v>
      </c>
      <c r="M19" s="2810">
        <f>F30</f>
        <v>1684.21</v>
      </c>
      <c r="Q19" s="2810">
        <v>-324</v>
      </c>
      <c r="R19" s="2810">
        <v>59.7</v>
      </c>
    </row>
    <row r="20" spans="2:18" ht="27">
      <c r="C20" s="3159">
        <v>207</v>
      </c>
      <c r="D20" s="3159">
        <v>209.94</v>
      </c>
      <c r="E20" s="3159"/>
      <c r="F20" s="3159"/>
      <c r="G20" s="3159"/>
      <c r="H20" s="3159"/>
      <c r="I20" s="3159"/>
      <c r="J20" s="3159"/>
      <c r="L20" s="3169" t="s">
        <v>3455</v>
      </c>
      <c r="M20" s="2810">
        <f>H2+H3+H4+H5+H6+J2+J3+J4+J5</f>
        <v>5228.6499999999996</v>
      </c>
      <c r="Q20" s="2810">
        <v>-308</v>
      </c>
      <c r="R20" s="2810">
        <v>59.59</v>
      </c>
    </row>
    <row r="21" spans="2:18">
      <c r="C21" s="3159">
        <v>203</v>
      </c>
      <c r="D21" s="3159">
        <v>244.55</v>
      </c>
      <c r="E21" s="3159"/>
      <c r="F21" s="3159"/>
      <c r="G21" s="3159"/>
      <c r="H21" s="3159"/>
      <c r="I21" s="3159"/>
      <c r="J21" s="3159"/>
      <c r="Q21" s="2810">
        <v>-305</v>
      </c>
      <c r="R21" s="2810">
        <v>181.63</v>
      </c>
    </row>
    <row r="22" spans="2:18">
      <c r="C22" s="3159">
        <v>1301</v>
      </c>
      <c r="D22" s="3159">
        <v>2044.22</v>
      </c>
      <c r="E22" s="3159"/>
      <c r="F22" s="3159"/>
      <c r="G22" s="3159"/>
      <c r="H22" s="3159"/>
      <c r="I22" s="3159"/>
      <c r="J22" s="3159"/>
      <c r="Q22" s="2810">
        <v>-319</v>
      </c>
      <c r="R22" s="2810">
        <v>57.57</v>
      </c>
    </row>
    <row r="23" spans="2:18">
      <c r="C23" s="3159">
        <v>902</v>
      </c>
      <c r="D23" s="3159">
        <v>953.78</v>
      </c>
      <c r="E23" s="3159"/>
      <c r="F23" s="3159"/>
      <c r="G23" s="3159"/>
      <c r="H23" s="3159"/>
      <c r="I23" s="3159"/>
      <c r="J23" s="3159"/>
      <c r="Q23" s="2810">
        <v>-310</v>
      </c>
      <c r="R23" s="2810">
        <v>58.27</v>
      </c>
    </row>
    <row r="24" spans="2:18">
      <c r="C24" s="3159">
        <v>901</v>
      </c>
      <c r="D24" s="3159">
        <v>1133.18</v>
      </c>
      <c r="E24" s="3159"/>
      <c r="F24" s="3159"/>
      <c r="G24" s="3159"/>
      <c r="H24" s="3159"/>
      <c r="I24" s="3159"/>
      <c r="J24" s="3159"/>
      <c r="Q24" s="2810">
        <v>-114</v>
      </c>
      <c r="R24" s="2810">
        <v>56.38</v>
      </c>
    </row>
    <row r="25" spans="2:18">
      <c r="C25" s="3159">
        <v>601</v>
      </c>
      <c r="D25" s="3159">
        <v>1728.53</v>
      </c>
      <c r="E25" s="3159"/>
      <c r="F25" s="3159"/>
      <c r="G25" s="3159"/>
      <c r="H25" s="3159"/>
      <c r="I25" s="3159"/>
      <c r="J25" s="3159"/>
      <c r="Q25" s="2810">
        <v>-110</v>
      </c>
      <c r="R25" s="2810">
        <v>68.459999999999994</v>
      </c>
    </row>
    <row r="26" spans="2:18">
      <c r="C26" s="1427" t="s">
        <v>3411</v>
      </c>
      <c r="D26" s="3159">
        <f>SUM(D2:D25)</f>
        <v>31624.159999999996</v>
      </c>
      <c r="E26" s="3159"/>
      <c r="F26" s="3159">
        <f t="shared" ref="F26:J26" si="0">SUM(F2:F25)</f>
        <v>7311.73</v>
      </c>
      <c r="G26" s="3159"/>
      <c r="H26" s="3159">
        <f t="shared" si="0"/>
        <v>4871.87</v>
      </c>
      <c r="I26" s="3159"/>
      <c r="J26" s="3159">
        <f t="shared" si="0"/>
        <v>356.78</v>
      </c>
      <c r="K26" s="2810">
        <f>SUM(D26:J26)</f>
        <v>44164.54</v>
      </c>
      <c r="Q26" s="2810">
        <v>-117</v>
      </c>
      <c r="R26" s="2810">
        <v>69.61</v>
      </c>
    </row>
    <row r="27" spans="2:18">
      <c r="Q27" s="2810">
        <v>-113</v>
      </c>
      <c r="R27" s="2810">
        <v>50.73</v>
      </c>
    </row>
    <row r="28" spans="2:18">
      <c r="C28" s="1427" t="s">
        <v>2798</v>
      </c>
      <c r="D28" s="1427" t="s">
        <v>3405</v>
      </c>
      <c r="E28" s="1427" t="s">
        <v>3403</v>
      </c>
      <c r="F28" s="1427" t="s">
        <v>3405</v>
      </c>
      <c r="Q28" s="2810">
        <v>-111</v>
      </c>
      <c r="R28" s="2810">
        <v>43.95</v>
      </c>
    </row>
    <row r="29" spans="2:18">
      <c r="B29" s="1419" t="s">
        <v>3404</v>
      </c>
      <c r="C29" s="3159">
        <v>304</v>
      </c>
      <c r="D29" s="3159">
        <v>1456.79</v>
      </c>
      <c r="E29" s="3159">
        <v>303</v>
      </c>
      <c r="F29" s="3159">
        <v>1676.99</v>
      </c>
      <c r="Q29" s="2810">
        <v>-409</v>
      </c>
      <c r="R29" s="2810">
        <v>66.599999999999994</v>
      </c>
    </row>
    <row r="30" spans="2:18">
      <c r="C30" s="3159">
        <v>403</v>
      </c>
      <c r="D30" s="3159">
        <v>1467.43</v>
      </c>
      <c r="E30" s="3159">
        <v>402</v>
      </c>
      <c r="F30" s="3159">
        <v>1684.21</v>
      </c>
      <c r="Q30" s="2810">
        <v>-404</v>
      </c>
      <c r="R30" s="2810">
        <v>16.52</v>
      </c>
    </row>
    <row r="31" spans="2:18">
      <c r="C31" s="3159">
        <v>217</v>
      </c>
      <c r="D31" s="3159">
        <v>622.55999999999995</v>
      </c>
      <c r="E31" s="3159">
        <v>210</v>
      </c>
      <c r="F31" s="3159">
        <v>76.59</v>
      </c>
      <c r="Q31" s="2810">
        <v>-413</v>
      </c>
      <c r="R31" s="2810">
        <v>51.96</v>
      </c>
    </row>
    <row r="32" spans="2:18">
      <c r="C32" s="3159">
        <v>602</v>
      </c>
      <c r="D32" s="3159">
        <v>2192.56</v>
      </c>
      <c r="E32" s="3159">
        <v>211</v>
      </c>
      <c r="F32" s="3159">
        <v>53.85</v>
      </c>
      <c r="Q32" s="2810">
        <v>-401</v>
      </c>
      <c r="R32" s="2810">
        <v>47.65</v>
      </c>
    </row>
    <row r="33" spans="3:18">
      <c r="C33" s="3159">
        <v>702</v>
      </c>
      <c r="D33" s="3159">
        <v>2221.66</v>
      </c>
      <c r="E33" s="3159">
        <v>216</v>
      </c>
      <c r="F33" s="3159">
        <v>158.97999999999999</v>
      </c>
      <c r="Q33" s="2810">
        <v>-405</v>
      </c>
      <c r="R33" s="2810">
        <v>52.97</v>
      </c>
    </row>
    <row r="34" spans="3:18">
      <c r="C34" s="3159">
        <v>903</v>
      </c>
      <c r="D34" s="3159">
        <v>2220.6799999999998</v>
      </c>
      <c r="E34" s="3159">
        <v>214</v>
      </c>
      <c r="F34" s="3159">
        <v>1788.63</v>
      </c>
      <c r="Q34" s="2810">
        <v>-412</v>
      </c>
      <c r="R34" s="2810">
        <v>70.53</v>
      </c>
    </row>
    <row r="35" spans="3:18">
      <c r="C35" s="3159">
        <v>803</v>
      </c>
      <c r="D35" s="3159">
        <v>2221.0100000000002</v>
      </c>
      <c r="E35" s="3159">
        <v>110</v>
      </c>
      <c r="F35" s="3159">
        <v>489.28</v>
      </c>
      <c r="Q35" s="2810">
        <v>-406</v>
      </c>
      <c r="R35" s="2810">
        <v>67.650000000000006</v>
      </c>
    </row>
    <row r="36" spans="3:18">
      <c r="C36" s="3159">
        <v>503</v>
      </c>
      <c r="D36" s="3159">
        <v>1989.49</v>
      </c>
      <c r="E36" s="3159">
        <v>108</v>
      </c>
      <c r="F36" s="3159">
        <v>782.11</v>
      </c>
      <c r="Q36" s="2810">
        <v>-415</v>
      </c>
      <c r="R36" s="2810">
        <v>36.29</v>
      </c>
    </row>
    <row r="37" spans="3:18">
      <c r="C37" s="3159">
        <v>502</v>
      </c>
      <c r="D37" s="3159">
        <v>1404.1</v>
      </c>
      <c r="E37" s="3159">
        <v>213</v>
      </c>
      <c r="F37" s="3159">
        <v>20.56</v>
      </c>
      <c r="G37" s="3250" t="s">
        <v>3418</v>
      </c>
      <c r="Q37" s="2810">
        <v>-407</v>
      </c>
      <c r="R37" s="2810">
        <v>71.319999999999993</v>
      </c>
    </row>
    <row r="38" spans="3:18">
      <c r="C38" s="3159">
        <v>1702</v>
      </c>
      <c r="D38" s="3159">
        <v>2254.7600000000002</v>
      </c>
      <c r="E38" s="3159">
        <v>212</v>
      </c>
      <c r="F38" s="3159">
        <v>74.040000000000006</v>
      </c>
      <c r="G38" s="3251"/>
      <c r="Q38" s="2810">
        <v>-408</v>
      </c>
      <c r="R38" s="2810">
        <v>90.53</v>
      </c>
    </row>
    <row r="39" spans="3:18">
      <c r="C39" s="3159">
        <v>1801</v>
      </c>
      <c r="D39" s="3159">
        <v>2166.29</v>
      </c>
      <c r="E39" s="3159">
        <v>215</v>
      </c>
      <c r="F39" s="3159">
        <v>138.88999999999999</v>
      </c>
      <c r="G39" s="3251"/>
      <c r="Q39" s="2810">
        <v>-402</v>
      </c>
      <c r="R39" s="2810">
        <v>89.41</v>
      </c>
    </row>
    <row r="40" spans="3:18">
      <c r="C40" s="3159">
        <v>1302</v>
      </c>
      <c r="D40" s="3159">
        <v>2221.5500000000002</v>
      </c>
      <c r="E40" s="3159"/>
      <c r="F40" s="3159"/>
      <c r="Q40" s="2810">
        <v>-403</v>
      </c>
      <c r="R40" s="2810">
        <v>21.85</v>
      </c>
    </row>
    <row r="41" spans="3:18">
      <c r="C41" s="3159">
        <v>1502</v>
      </c>
      <c r="D41" s="3159">
        <v>2255.23</v>
      </c>
      <c r="E41" s="3159"/>
      <c r="F41" s="3159"/>
      <c r="Q41" s="2810">
        <v>-414</v>
      </c>
      <c r="R41" s="2810">
        <v>68.040000000000006</v>
      </c>
    </row>
    <row r="42" spans="3:18">
      <c r="C42" s="3159">
        <v>1402</v>
      </c>
      <c r="D42" s="3159">
        <v>2221.9699999999998</v>
      </c>
      <c r="E42" s="3159"/>
      <c r="F42" s="3159"/>
      <c r="Q42" s="2810">
        <v>-411</v>
      </c>
      <c r="R42" s="2810">
        <v>74.959999999999994</v>
      </c>
    </row>
    <row r="43" spans="3:18">
      <c r="C43" s="3159">
        <v>1602</v>
      </c>
      <c r="D43" s="3159">
        <v>2255.14</v>
      </c>
      <c r="E43" s="3159"/>
      <c r="F43" s="3159"/>
      <c r="Q43" s="2810">
        <v>-410</v>
      </c>
      <c r="R43" s="2810">
        <v>57.66</v>
      </c>
    </row>
    <row r="44" spans="3:18">
      <c r="C44" s="3159">
        <v>1202</v>
      </c>
      <c r="D44" s="3159">
        <v>2221.98</v>
      </c>
      <c r="E44" s="3159"/>
      <c r="F44" s="3159"/>
      <c r="Q44" s="2810">
        <v>-207</v>
      </c>
      <c r="R44" s="2810">
        <v>79.39</v>
      </c>
    </row>
    <row r="45" spans="3:18">
      <c r="C45" s="3159">
        <v>1003</v>
      </c>
      <c r="D45" s="3159">
        <v>2221.4899999999998</v>
      </c>
      <c r="E45" s="3159"/>
      <c r="F45" s="3159"/>
      <c r="Q45" s="2810">
        <v>-210</v>
      </c>
      <c r="R45" s="2810">
        <v>51.07</v>
      </c>
    </row>
    <row r="46" spans="3:18">
      <c r="C46" s="3159">
        <v>1102</v>
      </c>
      <c r="D46" s="3159">
        <v>2221.15</v>
      </c>
      <c r="E46" s="3159"/>
      <c r="F46" s="3159"/>
      <c r="Q46" s="2810">
        <v>-217</v>
      </c>
      <c r="R46" s="2810">
        <v>478.64</v>
      </c>
    </row>
    <row r="47" spans="3:18">
      <c r="C47" s="3159" t="s">
        <v>3410</v>
      </c>
      <c r="D47" s="3159">
        <f>SUM(D29:D46)</f>
        <v>35835.840000000004</v>
      </c>
      <c r="E47" s="3159"/>
      <c r="F47" s="3159">
        <f t="shared" ref="F47" si="1">SUM(F29:F46)</f>
        <v>6944.13</v>
      </c>
      <c r="G47" s="3159">
        <f>D47+F47</f>
        <v>42779.97</v>
      </c>
      <c r="Q47" s="2810">
        <v>-205</v>
      </c>
      <c r="R47" s="2810">
        <v>160.16999999999999</v>
      </c>
    </row>
    <row r="48" spans="3:18">
      <c r="Q48" s="2810">
        <v>-220</v>
      </c>
      <c r="R48" s="2810">
        <v>38.159999999999997</v>
      </c>
    </row>
    <row r="49" spans="2:18">
      <c r="Q49" s="2810">
        <v>-216</v>
      </c>
      <c r="R49" s="2810">
        <v>46.06</v>
      </c>
    </row>
    <row r="50" spans="2:18">
      <c r="Q50" s="2810">
        <v>-215</v>
      </c>
      <c r="R50" s="2810">
        <v>45.96</v>
      </c>
    </row>
    <row r="51" spans="2:18">
      <c r="C51" s="1427" t="s">
        <v>2798</v>
      </c>
      <c r="D51" s="1427" t="s">
        <v>3405</v>
      </c>
      <c r="Q51" s="2810">
        <v>-208</v>
      </c>
      <c r="R51" s="2810">
        <v>46.01</v>
      </c>
    </row>
    <row r="52" spans="2:18">
      <c r="B52" s="1419" t="s">
        <v>3406</v>
      </c>
      <c r="C52" s="3159">
        <v>301</v>
      </c>
      <c r="D52" s="3159">
        <v>444.86</v>
      </c>
      <c r="Q52" s="2810">
        <v>-219</v>
      </c>
      <c r="R52" s="2810">
        <v>60.71</v>
      </c>
    </row>
    <row r="53" spans="2:18">
      <c r="C53" s="3159">
        <v>302</v>
      </c>
      <c r="D53" s="3159">
        <v>1075.32</v>
      </c>
      <c r="Q53" s="2810">
        <v>-206</v>
      </c>
      <c r="R53" s="2810">
        <v>122.9</v>
      </c>
    </row>
    <row r="54" spans="2:18">
      <c r="C54" s="3159">
        <v>801</v>
      </c>
      <c r="D54" s="3159">
        <v>1728.53</v>
      </c>
      <c r="Q54" s="2810">
        <v>-212</v>
      </c>
      <c r="R54" s="2810">
        <v>62.29</v>
      </c>
    </row>
    <row r="55" spans="2:18">
      <c r="C55" s="3159">
        <v>1601</v>
      </c>
      <c r="D55" s="3159">
        <v>1728.53</v>
      </c>
      <c r="Q55" s="2810">
        <v>-213</v>
      </c>
      <c r="R55" s="2810">
        <v>65.66</v>
      </c>
    </row>
    <row r="56" spans="2:18">
      <c r="C56" s="3159">
        <v>1401</v>
      </c>
      <c r="D56" s="3159">
        <v>1728.53</v>
      </c>
      <c r="Q56" s="2810">
        <v>-201</v>
      </c>
      <c r="R56" s="2810">
        <v>44.4</v>
      </c>
    </row>
    <row r="57" spans="2:18">
      <c r="C57" s="3159">
        <v>1501</v>
      </c>
      <c r="D57" s="3159">
        <v>1728.53</v>
      </c>
      <c r="Q57" s="2810">
        <v>-211</v>
      </c>
      <c r="R57" s="2810">
        <v>56.69</v>
      </c>
    </row>
    <row r="58" spans="2:18">
      <c r="C58" s="3159">
        <v>1001</v>
      </c>
      <c r="D58" s="3159">
        <v>1728.53</v>
      </c>
      <c r="Q58" s="2810">
        <v>-204</v>
      </c>
      <c r="R58" s="2810">
        <v>189.39</v>
      </c>
    </row>
    <row r="59" spans="2:18">
      <c r="C59" s="3159">
        <v>1301</v>
      </c>
      <c r="D59" s="3159">
        <v>1728.53</v>
      </c>
      <c r="Q59" s="2810">
        <v>-218</v>
      </c>
      <c r="R59" s="2810">
        <v>58.35</v>
      </c>
    </row>
    <row r="60" spans="2:18">
      <c r="C60" s="3159">
        <v>1701</v>
      </c>
      <c r="D60" s="3159">
        <v>1663.73</v>
      </c>
      <c r="Q60" s="2810">
        <v>-214</v>
      </c>
      <c r="R60" s="2810">
        <v>28.13</v>
      </c>
    </row>
    <row r="61" spans="2:18">
      <c r="C61" s="3159">
        <v>1201</v>
      </c>
      <c r="D61" s="3159">
        <v>1728.53</v>
      </c>
      <c r="R61" s="2810">
        <f>SUM(R2:R60)</f>
        <v>4272.8200000000015</v>
      </c>
    </row>
    <row r="62" spans="2:18">
      <c r="C62" s="3159">
        <v>1101</v>
      </c>
      <c r="D62" s="3159">
        <v>1728.53</v>
      </c>
    </row>
    <row r="63" spans="2:18">
      <c r="C63" s="3159">
        <v>401</v>
      </c>
      <c r="D63" s="3159">
        <v>1728.53</v>
      </c>
    </row>
    <row r="64" spans="2:18">
      <c r="C64" s="3159">
        <v>501</v>
      </c>
      <c r="D64" s="3159">
        <v>1728.53</v>
      </c>
    </row>
    <row r="65" spans="3:4">
      <c r="C65" s="3159">
        <v>701</v>
      </c>
      <c r="D65" s="3159">
        <v>1728.53</v>
      </c>
    </row>
    <row r="66" spans="3:4">
      <c r="C66" s="3159">
        <v>901</v>
      </c>
      <c r="D66" s="3159">
        <v>1728.53</v>
      </c>
    </row>
    <row r="67" spans="3:4">
      <c r="C67" s="3159" t="s">
        <v>3410</v>
      </c>
      <c r="D67" s="3159">
        <f>SUM(D52:D66)</f>
        <v>23926.269999999997</v>
      </c>
    </row>
  </sheetData>
  <mergeCells count="3">
    <mergeCell ref="G37:G39"/>
    <mergeCell ref="L2:L5"/>
    <mergeCell ref="L6:L7"/>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1057</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1058</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1059</v>
      </c>
      <c r="B2" s="8" t="s">
        <v>1060</v>
      </c>
      <c r="C2" s="8" t="s">
        <v>1061</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1062</v>
      </c>
      <c r="AZ2" s="985" t="s">
        <v>1063</v>
      </c>
      <c r="BA2" s="8" t="s">
        <v>1064</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13767.47</v>
      </c>
      <c r="B3" s="11">
        <f>IF(C3="否",G5-AT5,G5)</f>
        <v>139616.6</v>
      </c>
      <c r="C3" s="1467" t="s">
        <v>1065</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1066</v>
      </c>
      <c r="B5" s="1257"/>
      <c r="C5" s="1257"/>
      <c r="D5" s="1258"/>
      <c r="E5" s="13" t="s">
        <v>0</v>
      </c>
      <c r="F5" s="13">
        <f>SUM(F13:F587)</f>
        <v>0</v>
      </c>
      <c r="G5" s="13">
        <f>SUM(G13:G587)</f>
        <v>139616.6</v>
      </c>
      <c r="H5" s="13">
        <f t="shared" ref="H5:AT5" si="0">SUM(H13:H656)</f>
        <v>135343.78</v>
      </c>
      <c r="I5" s="13">
        <f t="shared" si="0"/>
        <v>91386.26999999999</v>
      </c>
      <c r="J5" s="13">
        <f t="shared" si="0"/>
        <v>0</v>
      </c>
      <c r="K5" s="13">
        <f t="shared" si="0"/>
        <v>14255.86</v>
      </c>
      <c r="L5" s="13">
        <f t="shared" si="0"/>
        <v>0</v>
      </c>
      <c r="M5" s="13">
        <f t="shared" si="0"/>
        <v>5228.6499999999996</v>
      </c>
      <c r="N5" s="13">
        <f t="shared" si="0"/>
        <v>0</v>
      </c>
      <c r="O5" s="13">
        <f t="shared" si="0"/>
        <v>24473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4272.8200000000015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4272.8200000000015</v>
      </c>
      <c r="AO5" s="13">
        <f t="shared" si="0"/>
        <v>0</v>
      </c>
      <c r="AP5" s="13">
        <f t="shared" si="0"/>
        <v>0</v>
      </c>
      <c r="AQ5" s="13">
        <f t="shared" si="0"/>
        <v>0</v>
      </c>
      <c r="AR5" s="13">
        <f t="shared" si="0"/>
        <v>0</v>
      </c>
      <c r="AS5" s="13">
        <f t="shared" si="0"/>
        <v>0</v>
      </c>
      <c r="AT5" s="13">
        <f t="shared" si="0"/>
        <v>0</v>
      </c>
      <c r="AU5" s="1256"/>
      <c r="AV5" s="12" t="s">
        <v>1066</v>
      </c>
      <c r="AW5" s="1257"/>
      <c r="AX5" s="1257"/>
      <c r="AY5" s="14" t="s">
        <v>2</v>
      </c>
      <c r="AZ5" s="15">
        <f t="shared" ref="AZ5:BT5" si="1">SUM(AZ13:AZ656)</f>
        <v>139616.6</v>
      </c>
      <c r="BA5" s="15">
        <f t="shared" si="1"/>
        <v>135343.78</v>
      </c>
      <c r="BB5" s="15">
        <f t="shared" si="1"/>
        <v>91386.26999999999</v>
      </c>
      <c r="BC5" s="15">
        <f t="shared" si="1"/>
        <v>14255.86</v>
      </c>
      <c r="BD5" s="15">
        <f t="shared" si="1"/>
        <v>5228.6499999999996</v>
      </c>
      <c r="BE5" s="15">
        <f t="shared" si="1"/>
        <v>24473</v>
      </c>
      <c r="BF5" s="15">
        <f t="shared" si="1"/>
        <v>0</v>
      </c>
      <c r="BG5" s="15">
        <f t="shared" si="1"/>
        <v>0</v>
      </c>
      <c r="BH5" s="15">
        <f t="shared" si="1"/>
        <v>0</v>
      </c>
      <c r="BI5" s="15">
        <f t="shared" si="1"/>
        <v>0</v>
      </c>
      <c r="BJ5" s="15">
        <f t="shared" si="1"/>
        <v>0</v>
      </c>
      <c r="BK5" s="15">
        <f t="shared" si="1"/>
        <v>0</v>
      </c>
      <c r="BL5" s="15">
        <f t="shared" si="1"/>
        <v>4272.8200000000015</v>
      </c>
      <c r="BM5" s="15">
        <f t="shared" si="1"/>
        <v>0</v>
      </c>
      <c r="BN5" s="15">
        <f t="shared" si="1"/>
        <v>0</v>
      </c>
      <c r="BO5" s="15">
        <f t="shared" si="1"/>
        <v>0</v>
      </c>
      <c r="BP5" s="15">
        <f t="shared" si="1"/>
        <v>0</v>
      </c>
      <c r="BQ5" s="15">
        <f t="shared" si="1"/>
        <v>0</v>
      </c>
      <c r="BR5" s="15">
        <f t="shared" si="1"/>
        <v>4272.8200000000015</v>
      </c>
      <c r="BS5" s="15">
        <f t="shared" si="1"/>
        <v>0</v>
      </c>
      <c r="BT5" s="16">
        <f t="shared" si="1"/>
        <v>0</v>
      </c>
    </row>
    <row r="6" spans="1:72" s="1475" customFormat="1" ht="12.75">
      <c r="A6" s="12" t="s">
        <v>1067</v>
      </c>
      <c r="B6" s="1472"/>
      <c r="C6" s="1472"/>
      <c r="D6" s="1473"/>
      <c r="E6" s="13">
        <f>H6+AC6+AT6</f>
        <v>13767.470000000001</v>
      </c>
      <c r="F6" s="13" t="s">
        <v>0</v>
      </c>
      <c r="G6" s="13" t="s">
        <v>1</v>
      </c>
      <c r="H6" s="17">
        <f>SUMIF(I$12:AB$12,"总值",I6:AB6)</f>
        <v>13346.130000000001</v>
      </c>
      <c r="I6" s="13">
        <f t="shared" ref="I6:AB6" si="2">ROUND($A$3*I5/$B$3,2)</f>
        <v>9011.52</v>
      </c>
      <c r="J6" s="13">
        <f t="shared" si="2"/>
        <v>0</v>
      </c>
      <c r="K6" s="13">
        <f t="shared" si="2"/>
        <v>1405.76</v>
      </c>
      <c r="L6" s="13">
        <f t="shared" si="2"/>
        <v>0</v>
      </c>
      <c r="M6" s="13">
        <f t="shared" si="2"/>
        <v>515.59</v>
      </c>
      <c r="N6" s="13">
        <f t="shared" si="2"/>
        <v>0</v>
      </c>
      <c r="O6" s="13">
        <f t="shared" si="2"/>
        <v>2413.2600000000002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421.34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421.34</v>
      </c>
      <c r="AO6" s="13">
        <f t="shared" si="3"/>
        <v>0</v>
      </c>
      <c r="AP6" s="13">
        <f t="shared" si="3"/>
        <v>0</v>
      </c>
      <c r="AQ6" s="13">
        <f t="shared" si="3"/>
        <v>0</v>
      </c>
      <c r="AR6" s="13">
        <f t="shared" si="3"/>
        <v>0</v>
      </c>
      <c r="AS6" s="13">
        <f t="shared" si="3"/>
        <v>0</v>
      </c>
      <c r="AT6" s="17">
        <f>IF(C3="是",ROUND($A$3*AT5/$B$3,2),0)</f>
        <v>0</v>
      </c>
      <c r="AU6" s="1474"/>
      <c r="AV6" s="12" t="s">
        <v>1067</v>
      </c>
      <c r="AW6" s="1472"/>
      <c r="AX6" s="1472"/>
      <c r="AY6" s="18">
        <f>IF(AY3&gt;0,AY3,ROUND($A$3*AZ5/$B$3,2))</f>
        <v>13767.47</v>
      </c>
      <c r="AZ6" s="13" t="s">
        <v>2</v>
      </c>
      <c r="BA6" s="13">
        <f>ROUND($AY$6*BA5/$AZ$5,2)</f>
        <v>13346.13</v>
      </c>
      <c r="BB6" s="13">
        <f>ROUND($AY$6*BB5/$AZ$5,2)</f>
        <v>9011.52</v>
      </c>
      <c r="BC6" s="13">
        <f t="shared" ref="BC6:BH6" si="4">ROUND($AY$6*BC5/$AZ$5,2)</f>
        <v>1405.76</v>
      </c>
      <c r="BD6" s="13">
        <f t="shared" si="4"/>
        <v>515.59</v>
      </c>
      <c r="BE6" s="13">
        <f t="shared" si="4"/>
        <v>2413.2600000000002</v>
      </c>
      <c r="BF6" s="13">
        <f t="shared" si="4"/>
        <v>0</v>
      </c>
      <c r="BG6" s="13">
        <f t="shared" si="4"/>
        <v>0</v>
      </c>
      <c r="BH6" s="13">
        <f t="shared" si="4"/>
        <v>0</v>
      </c>
      <c r="BI6" s="13">
        <f t="shared" ref="BI6:BT6" si="5">ROUND($AY$6*BI5/$AZ$5,2)</f>
        <v>0</v>
      </c>
      <c r="BJ6" s="13">
        <f t="shared" si="5"/>
        <v>0</v>
      </c>
      <c r="BK6" s="13">
        <f t="shared" si="5"/>
        <v>0</v>
      </c>
      <c r="BL6" s="13">
        <f t="shared" si="5"/>
        <v>421.34</v>
      </c>
      <c r="BM6" s="13">
        <f t="shared" si="5"/>
        <v>0</v>
      </c>
      <c r="BN6" s="13">
        <f t="shared" si="5"/>
        <v>0</v>
      </c>
      <c r="BO6" s="13">
        <f t="shared" si="5"/>
        <v>0</v>
      </c>
      <c r="BP6" s="13">
        <f t="shared" si="5"/>
        <v>0</v>
      </c>
      <c r="BQ6" s="13">
        <f t="shared" si="5"/>
        <v>0</v>
      </c>
      <c r="BR6" s="13">
        <f t="shared" si="5"/>
        <v>421.34</v>
      </c>
      <c r="BS6" s="13">
        <f t="shared" si="5"/>
        <v>0</v>
      </c>
      <c r="BT6" s="19">
        <f t="shared" si="5"/>
        <v>0</v>
      </c>
    </row>
    <row r="7" spans="1:72" s="1466" customFormat="1" ht="24.75">
      <c r="A7" s="1459" t="s">
        <v>1068</v>
      </c>
      <c r="B7" s="1459" t="s">
        <v>1069</v>
      </c>
      <c r="C7" s="1459" t="s">
        <v>1070</v>
      </c>
      <c r="D7" s="1459" t="s">
        <v>1071</v>
      </c>
      <c r="E7" s="1459" t="s">
        <v>1072</v>
      </c>
      <c r="F7" s="1459" t="s">
        <v>1073</v>
      </c>
      <c r="G7" s="1476" t="s">
        <v>1074</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1075</v>
      </c>
      <c r="AV7" s="20" t="s">
        <v>1076</v>
      </c>
      <c r="AW7" s="1464" t="s">
        <v>1077</v>
      </c>
      <c r="AX7" s="20" t="s">
        <v>1070</v>
      </c>
      <c r="AY7" s="1257" t="s">
        <v>1078</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1079</v>
      </c>
      <c r="H8" s="1482" t="s">
        <v>1080</v>
      </c>
      <c r="I8" s="1483"/>
      <c r="J8" s="1267"/>
      <c r="K8" s="1267"/>
      <c r="L8" s="1267"/>
      <c r="M8" s="1267"/>
      <c r="N8" s="1267"/>
      <c r="O8" s="1267"/>
      <c r="P8" s="1267"/>
      <c r="Q8" s="1267"/>
      <c r="R8" s="1267"/>
      <c r="S8" s="1267"/>
      <c r="T8" s="1267"/>
      <c r="U8" s="1267"/>
      <c r="V8" s="1484"/>
      <c r="W8" s="1267"/>
      <c r="X8" s="1267"/>
      <c r="Y8" s="1267"/>
      <c r="Z8" s="1267"/>
      <c r="AA8" s="1484"/>
      <c r="AB8" s="1485"/>
      <c r="AC8" s="759" t="s">
        <v>1081</v>
      </c>
      <c r="AD8" s="1486"/>
      <c r="AE8" s="1478"/>
      <c r="AF8" s="1267"/>
      <c r="AG8" s="1267"/>
      <c r="AH8" s="1267"/>
      <c r="AI8" s="1267"/>
      <c r="AJ8" s="1267"/>
      <c r="AK8" s="1267"/>
      <c r="AL8" s="1267"/>
      <c r="AM8" s="1267"/>
      <c r="AN8" s="1267"/>
      <c r="AO8" s="1267"/>
      <c r="AP8" s="1267"/>
      <c r="AQ8" s="1267"/>
      <c r="AR8" s="1267"/>
      <c r="AS8" s="1267"/>
      <c r="AT8" s="1005" t="s">
        <v>1082</v>
      </c>
      <c r="AU8" s="1480" t="s">
        <v>1083</v>
      </c>
      <c r="AV8" s="1005"/>
      <c r="AW8" s="1465"/>
      <c r="AX8" s="1005"/>
      <c r="AY8" s="1464" t="s">
        <v>1084</v>
      </c>
      <c r="AZ8" s="1266" t="s">
        <v>1085</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1086</v>
      </c>
      <c r="I9" s="1489" t="s">
        <v>3423</v>
      </c>
      <c r="J9" s="759"/>
      <c r="K9" s="1489" t="s">
        <v>3423</v>
      </c>
      <c r="L9" s="759"/>
      <c r="M9" s="1489" t="s">
        <v>3424</v>
      </c>
      <c r="N9" s="759"/>
      <c r="O9" s="1489" t="s">
        <v>3424</v>
      </c>
      <c r="P9" s="759"/>
      <c r="Q9" s="1489"/>
      <c r="R9" s="759"/>
      <c r="S9" s="1489"/>
      <c r="T9" s="759"/>
      <c r="U9" s="1489"/>
      <c r="V9" s="759"/>
      <c r="W9" s="1489"/>
      <c r="X9" s="1490"/>
      <c r="Y9" s="1489"/>
      <c r="Z9" s="759"/>
      <c r="AA9" s="1489"/>
      <c r="AB9" s="759"/>
      <c r="AC9" s="1481" t="s">
        <v>1086</v>
      </c>
      <c r="AD9" s="12" t="s">
        <v>1087</v>
      </c>
      <c r="AE9" s="1011"/>
      <c r="AF9" s="12" t="s">
        <v>1088</v>
      </c>
      <c r="AG9" s="1011"/>
      <c r="AH9" s="12" t="s">
        <v>1087</v>
      </c>
      <c r="AI9" s="1011"/>
      <c r="AJ9" s="12" t="s">
        <v>1088</v>
      </c>
      <c r="AK9" s="1011"/>
      <c r="AL9" s="12" t="s">
        <v>1087</v>
      </c>
      <c r="AM9" s="1011"/>
      <c r="AN9" s="12" t="s">
        <v>1088</v>
      </c>
      <c r="AO9" s="1011"/>
      <c r="AP9" s="12" t="s">
        <v>1087</v>
      </c>
      <c r="AQ9" s="1011"/>
      <c r="AR9" s="12" t="s">
        <v>1088</v>
      </c>
      <c r="AS9" s="1491"/>
      <c r="AT9" s="1480"/>
      <c r="AU9" s="1480" t="s">
        <v>1089</v>
      </c>
      <c r="AV9" s="1005"/>
      <c r="AW9" s="1465"/>
      <c r="AX9" s="1005"/>
      <c r="AY9" s="25"/>
      <c r="AZ9" s="25" t="s">
        <v>1079</v>
      </c>
      <c r="BA9" s="1492" t="s">
        <v>1090</v>
      </c>
      <c r="BB9" s="1493"/>
      <c r="BC9" s="1023"/>
      <c r="BD9" s="1023"/>
      <c r="BE9" s="1023"/>
      <c r="BF9" s="1023"/>
      <c r="BG9" s="1023"/>
      <c r="BH9" s="1023"/>
      <c r="BI9" s="1023"/>
      <c r="BJ9" s="1023"/>
      <c r="BK9" s="1494"/>
      <c r="BL9" s="12" t="s">
        <v>1091</v>
      </c>
      <c r="BM9" s="1267"/>
      <c r="BN9" s="1483"/>
      <c r="BO9" s="1267"/>
      <c r="BP9" s="1267"/>
      <c r="BQ9" s="1267"/>
      <c r="BR9" s="1267"/>
      <c r="BS9" s="1267"/>
      <c r="BT9" s="23"/>
    </row>
    <row r="10" spans="1:72" s="1487" customFormat="1" ht="12.75">
      <c r="A10" s="1480"/>
      <c r="B10" s="1480"/>
      <c r="C10" s="1480"/>
      <c r="D10" s="1480"/>
      <c r="E10" s="1480"/>
      <c r="F10" s="1480"/>
      <c r="G10" s="1005"/>
      <c r="H10" s="25"/>
      <c r="I10" s="1489" t="s">
        <v>21</v>
      </c>
      <c r="J10" s="759"/>
      <c r="K10" s="1495" t="s">
        <v>668</v>
      </c>
      <c r="L10" s="759"/>
      <c r="M10" s="1495" t="s">
        <v>668</v>
      </c>
      <c r="N10" s="759"/>
      <c r="O10" s="1495" t="s">
        <v>3319</v>
      </c>
      <c r="P10" s="759"/>
      <c r="Q10" s="1495"/>
      <c r="R10" s="759"/>
      <c r="S10" s="1495"/>
      <c r="T10" s="759"/>
      <c r="U10" s="1495"/>
      <c r="V10" s="759"/>
      <c r="W10" s="1495"/>
      <c r="X10" s="759"/>
      <c r="Y10" s="1495"/>
      <c r="Z10" s="759"/>
      <c r="AA10" s="1495"/>
      <c r="AB10" s="759"/>
      <c r="AC10" s="1005"/>
      <c r="AD10" s="12" t="s">
        <v>1092</v>
      </c>
      <c r="AE10" s="1496"/>
      <c r="AF10" s="12" t="s">
        <v>1092</v>
      </c>
      <c r="AG10" s="1496"/>
      <c r="AH10" s="12" t="s">
        <v>1093</v>
      </c>
      <c r="AI10" s="1496"/>
      <c r="AJ10" s="12" t="s">
        <v>1093</v>
      </c>
      <c r="AK10" s="1496"/>
      <c r="AL10" s="12" t="s">
        <v>1094</v>
      </c>
      <c r="AM10" s="1011"/>
      <c r="AN10" s="12" t="s">
        <v>1094</v>
      </c>
      <c r="AO10" s="1011"/>
      <c r="AP10" s="12" t="s">
        <v>1095</v>
      </c>
      <c r="AQ10" s="1011"/>
      <c r="AR10" s="12" t="s">
        <v>1095</v>
      </c>
      <c r="AS10" s="1011"/>
      <c r="AT10" s="1480"/>
      <c r="AU10" s="1480"/>
      <c r="AV10" s="1005"/>
      <c r="AW10" s="1465"/>
      <c r="AX10" s="1005"/>
      <c r="AY10" s="25"/>
      <c r="AZ10" s="25"/>
      <c r="BA10" s="1497" t="s">
        <v>1086</v>
      </c>
      <c r="BB10" s="149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1086</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1096</v>
      </c>
      <c r="AE11" s="1268"/>
      <c r="AF11" s="1502" t="s">
        <v>1096</v>
      </c>
      <c r="AG11" s="1268"/>
      <c r="AH11" s="1502" t="s">
        <v>1097</v>
      </c>
      <c r="AI11" s="1503"/>
      <c r="AJ11" s="1502" t="s">
        <v>1097</v>
      </c>
      <c r="AK11" s="1268"/>
      <c r="AL11" s="1266"/>
      <c r="AM11" s="1268"/>
      <c r="AN11" s="1266"/>
      <c r="AO11" s="1268"/>
      <c r="AP11" s="1266"/>
      <c r="AQ11" s="1268"/>
      <c r="AR11" s="1266"/>
      <c r="AS11" s="1268"/>
      <c r="AT11" s="1465"/>
      <c r="AU11" s="1480"/>
      <c r="AV11" s="1005"/>
      <c r="AW11" s="1465"/>
      <c r="AX11" s="1005"/>
      <c r="AY11" s="25"/>
      <c r="AZ11" s="25"/>
      <c r="BA11" s="25"/>
      <c r="BB11" s="1485" t="str">
        <f>I10</f>
        <v>办公</v>
      </c>
      <c r="BC11" s="1485" t="str">
        <f>K10</f>
        <v>商业</v>
      </c>
      <c r="BD11" s="1485" t="str">
        <f>M10</f>
        <v>商业</v>
      </c>
      <c r="BE11" s="1485" t="str">
        <f>O10</f>
        <v>车库</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256" t="s">
        <v>1099</v>
      </c>
      <c r="W12" s="8" t="s">
        <v>1098</v>
      </c>
      <c r="X12" s="8" t="s">
        <v>1099</v>
      </c>
      <c r="Y12" s="8" t="s">
        <v>1098</v>
      </c>
      <c r="Z12" s="8" t="s">
        <v>1099</v>
      </c>
      <c r="AA12" s="8" t="s">
        <v>1098</v>
      </c>
      <c r="AB12" s="8" t="s">
        <v>1099</v>
      </c>
      <c r="AC12" s="1507"/>
      <c r="AD12" s="1258"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505" t="s">
        <v>1099</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8"/>
      <c r="B13" s="628"/>
      <c r="C13" s="628" t="str">
        <f>Sheet1!M2</f>
        <v>办公</v>
      </c>
      <c r="D13" s="1511" t="s">
        <v>3425</v>
      </c>
      <c r="E13" s="13">
        <f>IF($C$3="是",ROUND($A$3*G13/$B$3,2),ROUND($A$3*(G13-AT13)/$B$3,2))</f>
        <v>3539.77</v>
      </c>
      <c r="F13" s="29"/>
      <c r="G13" s="30">
        <f>H13+AC13+AT13</f>
        <v>35896.979999999996</v>
      </c>
      <c r="H13" s="17">
        <f>SUMIF(I$12:AB$12,"总值",I13:AB13)</f>
        <v>31624.159999999996</v>
      </c>
      <c r="I13" s="1512">
        <f>Sheet1!N2</f>
        <v>31624.159999999996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4272.8200000000015</v>
      </c>
      <c r="AD13" s="987"/>
      <c r="AE13" s="987"/>
      <c r="AF13" s="987"/>
      <c r="AG13" s="987"/>
      <c r="AH13" s="987"/>
      <c r="AI13" s="987"/>
      <c r="AJ13" s="987"/>
      <c r="AK13" s="987"/>
      <c r="AL13" s="987"/>
      <c r="AM13" s="987"/>
      <c r="AN13" s="987">
        <f>Sheet1!N10</f>
        <v>4272.8200000000015</v>
      </c>
      <c r="AO13" s="987"/>
      <c r="AP13" s="987"/>
      <c r="AQ13" s="987"/>
      <c r="AR13" s="987"/>
      <c r="AS13" s="987"/>
      <c r="AT13" s="29"/>
      <c r="AU13" s="1513"/>
      <c r="AV13" s="8">
        <f t="shared" ref="AV13:AX17" si="6">A13</f>
        <v>0</v>
      </c>
      <c r="AW13" s="8">
        <f t="shared" si="6"/>
        <v>0</v>
      </c>
      <c r="AX13" s="8" t="str">
        <f t="shared" si="6"/>
        <v>办公</v>
      </c>
      <c r="AY13" s="1258">
        <f>ROUND($AY$6*AZ13/$AZ$5,2)</f>
        <v>3539.77</v>
      </c>
      <c r="AZ13" s="13">
        <f>BA13+BL13</f>
        <v>35896.979999999996</v>
      </c>
      <c r="BA13" s="13">
        <f>SUM(BB13:BK13)</f>
        <v>31624.159999999996</v>
      </c>
      <c r="BB13" s="13">
        <f>IF($D13="是",I13-J13,0)</f>
        <v>31624.159999999996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4272.8200000000015</v>
      </c>
      <c r="BM13" s="13">
        <f>IF($D13="是",AD13-AE13,0)</f>
        <v>0</v>
      </c>
      <c r="BN13" s="13">
        <f>IF($D13="是",AF13-AG13,0)</f>
        <v>0</v>
      </c>
      <c r="BO13" s="13">
        <f>IF($D13="是",AH13-AI13,0)</f>
        <v>0</v>
      </c>
      <c r="BP13" s="13">
        <f>IF($D13="是",AJ13-AK13,0)</f>
        <v>0</v>
      </c>
      <c r="BQ13" s="13">
        <f>IF($D13="是",AL13-AM13,0)</f>
        <v>0</v>
      </c>
      <c r="BR13" s="13">
        <f>IF($D13="是",AN13-AO13,0)</f>
        <v>4272.8200000000015</v>
      </c>
      <c r="BS13" s="13">
        <f>IF($D13="是",AP13-AQ13,0)</f>
        <v>0</v>
      </c>
      <c r="BT13" s="19">
        <f>IF($D13="是",AR13-AS13,0)</f>
        <v>0</v>
      </c>
    </row>
    <row r="14" spans="1:72" s="1466" customFormat="1" ht="12.75">
      <c r="A14" s="628"/>
      <c r="B14" s="628"/>
      <c r="C14" s="628" t="str">
        <f>Sheet1!M3</f>
        <v>商业</v>
      </c>
      <c r="D14" s="1511" t="s">
        <v>3425</v>
      </c>
      <c r="E14" s="13">
        <f>IF($C$3="是",ROUND($A$3*G14/$B$3,2),ROUND($A$3*(G14-AT14)/$B$3,2))</f>
        <v>721</v>
      </c>
      <c r="F14" s="29"/>
      <c r="G14" s="30">
        <f>H14+AC14+AT14</f>
        <v>7311.73</v>
      </c>
      <c r="H14" s="17">
        <f>SUMIF(I$12:AB$12,"总值",I14:AB14)</f>
        <v>7311.73</v>
      </c>
      <c r="I14" s="1512"/>
      <c r="J14" s="1512"/>
      <c r="K14" s="1512">
        <f>Sheet1!N3</f>
        <v>7311.73</v>
      </c>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商业</v>
      </c>
      <c r="AY14" s="1258">
        <f>ROUND($AY$6*AZ14/$AZ$5,2)</f>
        <v>721</v>
      </c>
      <c r="AZ14" s="13">
        <f>BA14+BL14</f>
        <v>7311.73</v>
      </c>
      <c r="BA14" s="13">
        <f>SUM(BB14:BK14)</f>
        <v>7311.73</v>
      </c>
      <c r="BB14" s="13">
        <f>IF($D14="是",I14-J14,0)</f>
        <v>0</v>
      </c>
      <c r="BC14" s="13">
        <f>IF($D14="是",K14-L14,0)</f>
        <v>7311.73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8"/>
      <c r="B15" s="628"/>
      <c r="C15" s="628" t="str">
        <f>Sheet1!M4</f>
        <v>地下商业</v>
      </c>
      <c r="D15" s="1511" t="s">
        <v>3425</v>
      </c>
      <c r="E15" s="13">
        <f>IF($C$3="是",ROUND($A$3*G15/$B$3,2),ROUND($A$3*(G15-AT15)/$B$3,2))</f>
        <v>35.18</v>
      </c>
      <c r="F15" s="29"/>
      <c r="G15" s="30">
        <f>H15+AC15+AT15</f>
        <v>356.78</v>
      </c>
      <c r="H15" s="17">
        <f>SUMIF(I$12:AB$12,"总值",I15:AB15)</f>
        <v>356.78</v>
      </c>
      <c r="I15" s="1512"/>
      <c r="J15" s="1512"/>
      <c r="K15" s="1512"/>
      <c r="L15" s="1512"/>
      <c r="M15" s="1512">
        <f>Sheet1!N4</f>
        <v>356.78</v>
      </c>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t="str">
        <f t="shared" si="6"/>
        <v>地下商业</v>
      </c>
      <c r="AY15" s="1258">
        <f>ROUND($AY$6*AZ15/$AZ$5,2)</f>
        <v>35.18</v>
      </c>
      <c r="AZ15" s="13">
        <f>BA15+BL15</f>
        <v>356.78</v>
      </c>
      <c r="BA15" s="13">
        <f>SUM(BB15:BK15)</f>
        <v>356.78</v>
      </c>
      <c r="BB15" s="13">
        <f>IF($D15="是",I15-J15,0)</f>
        <v>0</v>
      </c>
      <c r="BC15" s="13">
        <f>IF($D15="是",K15-L15,0)</f>
        <v>0</v>
      </c>
      <c r="BD15" s="13">
        <f>IF($D15="是",M15-N15,0)</f>
        <v>356.78</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8"/>
      <c r="B16" s="628"/>
      <c r="C16" s="628" t="str">
        <f>Sheet1!M5</f>
        <v>地下餐厅</v>
      </c>
      <c r="D16" s="1511" t="s">
        <v>3425</v>
      </c>
      <c r="E16" s="13">
        <f>IF($C$3="是",ROUND($A$3*G16/$B$3,2),ROUND($A$3*(G16-AT16)/$B$3,2))</f>
        <v>480.41</v>
      </c>
      <c r="F16" s="29"/>
      <c r="G16" s="30">
        <f>H16+AC16+AT16</f>
        <v>4871.87</v>
      </c>
      <c r="H16" s="17">
        <f>SUMIF(I$12:AB$12,"总值",I16:AB16)</f>
        <v>4871.87</v>
      </c>
      <c r="I16" s="1512"/>
      <c r="J16" s="1512"/>
      <c r="K16" s="1512"/>
      <c r="L16" s="1512"/>
      <c r="M16" s="1512">
        <f>Sheet1!N5</f>
        <v>4871.87</v>
      </c>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t="str">
        <f t="shared" si="6"/>
        <v>地下餐厅</v>
      </c>
      <c r="AY16" s="1258">
        <f>ROUND($AY$6*AZ16/$AZ$5,2)</f>
        <v>480.41</v>
      </c>
      <c r="AZ16" s="13">
        <f>BA16+BL16</f>
        <v>4871.87</v>
      </c>
      <c r="BA16" s="13">
        <f>SUM(BB16:BK16)</f>
        <v>4871.87</v>
      </c>
      <c r="BB16" s="13">
        <f>IF($D16="是",I16-J16,0)</f>
        <v>0</v>
      </c>
      <c r="BC16" s="13">
        <f>IF($D16="是",K16-L16,0)</f>
        <v>0</v>
      </c>
      <c r="BD16" s="13">
        <f>IF($D16="是",M16-N16,0)</f>
        <v>4871.87</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8"/>
      <c r="B17" s="628"/>
      <c r="C17" s="628" t="str">
        <f>Sheet1!M6</f>
        <v>办公</v>
      </c>
      <c r="D17" s="1511" t="s">
        <v>3425</v>
      </c>
      <c r="E17" s="13">
        <f>IF($C$3="是",ROUND($A$3*G17/$B$3,2),ROUND($A$3*(G17-AT17)/$B$3,2))</f>
        <v>3533.74</v>
      </c>
      <c r="F17" s="29"/>
      <c r="G17" s="30">
        <f>H17+AC17+AT17</f>
        <v>35835.840000000004</v>
      </c>
      <c r="H17" s="17">
        <f>SUMIF(I$12:AB$12,"总值",I17:AB17)</f>
        <v>35835.840000000004</v>
      </c>
      <c r="I17" s="1512">
        <f>Sheet1!N6</f>
        <v>35835.840000000004</v>
      </c>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t="str">
        <f t="shared" si="6"/>
        <v>办公</v>
      </c>
      <c r="AY17" s="1258">
        <f>ROUND($AY$6*AZ17/$AZ$5,2)</f>
        <v>3533.74</v>
      </c>
      <c r="AZ17" s="13">
        <f>BA17+BL17</f>
        <v>35835.840000000004</v>
      </c>
      <c r="BA17" s="13">
        <f>SUM(BB17:BK17)</f>
        <v>35835.840000000004</v>
      </c>
      <c r="BB17" s="13">
        <f>IF($D17="是",I17-J17,0)</f>
        <v>35835.840000000004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Sheet1!M7</f>
        <v>商业</v>
      </c>
      <c r="D18" s="1511" t="s">
        <v>3425</v>
      </c>
      <c r="E18" s="32">
        <f t="shared" ref="E18:E112" si="7">IF($C$3="是",ROUND($A$3*G18/$B$3,2),ROUND($A$3*(G18-AT18)/$B$3,2))</f>
        <v>684.75</v>
      </c>
      <c r="F18" s="33"/>
      <c r="G18" s="34">
        <f t="shared" ref="G18:G109" si="8">H18+AC18+AT18</f>
        <v>6944.13</v>
      </c>
      <c r="H18" s="35">
        <f t="shared" ref="H18:H109" si="9">SUMIF(I$12:AB$12,"总值",I18:AB18)</f>
        <v>6944.13</v>
      </c>
      <c r="I18" s="36"/>
      <c r="J18" s="36"/>
      <c r="K18" s="36">
        <f>Sheet1!N7</f>
        <v>6944.13</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t="str">
        <f t="shared" ref="AX18:AX112" si="13">C18</f>
        <v>商业</v>
      </c>
      <c r="AY18" s="38">
        <f t="shared" ref="AY18:AY109" si="14">ROUND($AY$6*AZ18/$AZ$5,2)</f>
        <v>684.75</v>
      </c>
      <c r="AZ18" s="32">
        <f t="shared" ref="AZ18:AZ109" si="15">BA18+BL18</f>
        <v>6944.13</v>
      </c>
      <c r="BA18" s="32">
        <f t="shared" ref="BA18:BA109" si="16">SUM(BB18:BK18)</f>
        <v>6944.13</v>
      </c>
      <c r="BB18" s="32">
        <f t="shared" ref="BB18:BB109" si="17">IF($D18="是",I18-J18,0)</f>
        <v>0</v>
      </c>
      <c r="BC18" s="32">
        <f t="shared" ref="BC18:BC109" si="18">IF($D18="是",K18-L18,0)</f>
        <v>6944.13</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Sheet1!M8</f>
        <v>办公</v>
      </c>
      <c r="D19" s="1511" t="s">
        <v>3425</v>
      </c>
      <c r="E19" s="32">
        <f t="shared" si="7"/>
        <v>2359.35</v>
      </c>
      <c r="F19" s="33"/>
      <c r="G19" s="34">
        <f t="shared" si="8"/>
        <v>23926.269999999997</v>
      </c>
      <c r="H19" s="35">
        <f t="shared" si="9"/>
        <v>23926.269999999997</v>
      </c>
      <c r="I19" s="36">
        <f>Sheet1!N8</f>
        <v>23926.269999999997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t="str">
        <f t="shared" si="13"/>
        <v>办公</v>
      </c>
      <c r="AY19" s="38">
        <f t="shared" si="14"/>
        <v>2359.35</v>
      </c>
      <c r="AZ19" s="32">
        <f t="shared" si="15"/>
        <v>23926.269999999997</v>
      </c>
      <c r="BA19" s="32">
        <f t="shared" si="16"/>
        <v>23926.269999999997</v>
      </c>
      <c r="BB19" s="32">
        <f t="shared" si="17"/>
        <v>23926.269999999997</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t="str">
        <f>Sheet1!M11</f>
        <v>车位</v>
      </c>
      <c r="D20" s="1511" t="s">
        <v>3425</v>
      </c>
      <c r="E20" s="32">
        <f t="shared" si="7"/>
        <v>2413.2600000000002</v>
      </c>
      <c r="F20" s="33"/>
      <c r="G20" s="34">
        <f t="shared" si="8"/>
        <v>24473</v>
      </c>
      <c r="H20" s="35">
        <f t="shared" si="9"/>
        <v>24473</v>
      </c>
      <c r="I20" s="36"/>
      <c r="J20" s="36"/>
      <c r="K20" s="36"/>
      <c r="L20" s="36"/>
      <c r="M20" s="36"/>
      <c r="N20" s="36"/>
      <c r="O20" s="36">
        <f>Sheet1!N11</f>
        <v>24473</v>
      </c>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t="str">
        <f t="shared" si="13"/>
        <v>车位</v>
      </c>
      <c r="AY20" s="38">
        <f t="shared" si="14"/>
        <v>2413.2600000000002</v>
      </c>
      <c r="AZ20" s="32">
        <f t="shared" si="15"/>
        <v>24473</v>
      </c>
      <c r="BA20" s="32">
        <f t="shared" si="16"/>
        <v>24473</v>
      </c>
      <c r="BB20" s="32">
        <f t="shared" si="17"/>
        <v>0</v>
      </c>
      <c r="BC20" s="32">
        <f t="shared" si="18"/>
        <v>0</v>
      </c>
      <c r="BD20" s="32">
        <f t="shared" si="19"/>
        <v>0</v>
      </c>
      <c r="BE20" s="32">
        <f t="shared" si="20"/>
        <v>24473</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7" sqref="I37"/>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1125</v>
      </c>
      <c r="B1" s="1069"/>
      <c r="C1" s="1069"/>
      <c r="D1" s="1069"/>
      <c r="E1" s="1069"/>
      <c r="F1" s="1069"/>
      <c r="G1" s="1069"/>
      <c r="H1" s="1069"/>
      <c r="I1" s="1069"/>
      <c r="J1" s="1069"/>
      <c r="K1" s="1069"/>
      <c r="L1" s="1069"/>
      <c r="M1" s="1069"/>
      <c r="N1" s="1069"/>
      <c r="O1" s="1069"/>
      <c r="P1" s="1069"/>
    </row>
    <row r="2" spans="1:16" ht="15">
      <c r="A2" s="3266" t="s">
        <v>1126</v>
      </c>
      <c r="B2" s="3266"/>
      <c r="C2" s="3266"/>
      <c r="D2" s="746" t="s">
        <v>1102</v>
      </c>
      <c r="E2" s="1521" t="s">
        <v>1103</v>
      </c>
      <c r="F2" s="2435"/>
      <c r="G2" s="2428"/>
      <c r="H2" s="2429"/>
      <c r="I2" s="2144" t="s">
        <v>1127</v>
      </c>
      <c r="J2" s="2435"/>
      <c r="K2" s="2435"/>
      <c r="L2" s="2435"/>
      <c r="M2" s="2435"/>
      <c r="N2" s="2436"/>
      <c r="O2" s="2435"/>
      <c r="P2" s="2435"/>
    </row>
    <row r="3" spans="1:16" ht="15.75" thickBot="1">
      <c r="A3" s="3267" t="s">
        <v>1100</v>
      </c>
      <c r="B3" s="3267"/>
      <c r="C3" s="3267"/>
      <c r="D3" s="41">
        <f>'数据-基础表'!AY6</f>
        <v>13767.47</v>
      </c>
      <c r="E3" s="41">
        <f>'数据-基础表'!AZ5</f>
        <v>139616.6</v>
      </c>
      <c r="F3" s="2435"/>
      <c r="G3" s="42"/>
      <c r="H3" s="43" t="s">
        <v>1101</v>
      </c>
      <c r="I3" s="800">
        <f>ROUND('数据-基础表'!B3/'数据-基础表'!A3,2)</f>
        <v>10.14</v>
      </c>
      <c r="J3" s="2435"/>
      <c r="K3" s="2435"/>
      <c r="L3" s="2435"/>
      <c r="M3" s="2435"/>
      <c r="N3" s="2436"/>
      <c r="O3" s="2435"/>
      <c r="P3" s="2435"/>
    </row>
    <row r="4" spans="1:16" ht="15">
      <c r="A4" s="3268"/>
      <c r="B4" s="3269"/>
      <c r="C4" s="3270"/>
      <c r="D4" s="1522" t="s">
        <v>1102</v>
      </c>
      <c r="E4" s="1523" t="s">
        <v>1103</v>
      </c>
      <c r="F4" s="2435"/>
      <c r="G4" s="2430" t="s">
        <v>1128</v>
      </c>
      <c r="H4" s="43" t="s">
        <v>1108</v>
      </c>
      <c r="I4" s="800">
        <f>ROUND(SUMIF('数据-基础表'!I9:AS9,"地上",'数据-基础表'!I5:AS5)/'数据-基础表'!A3,2)</f>
        <v>7.67</v>
      </c>
      <c r="J4" s="2435"/>
      <c r="K4" s="2435"/>
      <c r="L4" s="2435"/>
      <c r="M4" s="2435"/>
      <c r="N4" s="2436"/>
      <c r="O4" s="2435"/>
      <c r="P4" s="2435"/>
    </row>
    <row r="5" spans="1:16">
      <c r="A5" s="42" t="s">
        <v>1104</v>
      </c>
      <c r="B5" s="3271" t="s">
        <v>1105</v>
      </c>
      <c r="C5" s="3271"/>
      <c r="D5" s="43">
        <f>ROUND($D$3*E5/$E$3,2)</f>
        <v>0</v>
      </c>
      <c r="E5" s="44">
        <f>SUMIF('数据-基础表'!$11:$11,"住宅",'数据-基础表'!$5:$5)</f>
        <v>0</v>
      </c>
      <c r="F5" s="2435"/>
      <c r="G5" s="42"/>
      <c r="H5" s="43" t="s">
        <v>1101</v>
      </c>
      <c r="I5" s="800">
        <f>ROUND(E31/D31,2)</f>
        <v>10.14</v>
      </c>
      <c r="J5" s="2435"/>
      <c r="K5" s="2435"/>
      <c r="L5" s="2435"/>
      <c r="M5" s="2435"/>
      <c r="N5" s="2435"/>
      <c r="O5" s="2435"/>
      <c r="P5" s="2435"/>
    </row>
    <row r="6" spans="1:16" ht="15" thickBot="1">
      <c r="A6" s="1525"/>
      <c r="B6" s="3271" t="s">
        <v>1106</v>
      </c>
      <c r="C6" s="3271"/>
      <c r="D6" s="43">
        <f>ROUND($D$3*E6/$E$3,2)</f>
        <v>13767.47</v>
      </c>
      <c r="E6" s="44">
        <f>E3-E5</f>
        <v>139616.6</v>
      </c>
      <c r="F6" s="2435"/>
      <c r="G6" s="1527" t="s">
        <v>1107</v>
      </c>
      <c r="H6" s="45" t="s">
        <v>1108</v>
      </c>
      <c r="I6" s="2431">
        <f>ROUND(F31/D31,2)</f>
        <v>7.67</v>
      </c>
      <c r="J6" s="2435"/>
      <c r="K6" s="2435"/>
      <c r="L6" s="2435"/>
      <c r="M6" s="2435"/>
      <c r="N6" s="2435"/>
      <c r="O6" s="2435"/>
      <c r="P6" s="2435"/>
    </row>
    <row r="7" spans="1:16" ht="15.75" thickBot="1">
      <c r="A7" s="3263"/>
      <c r="B7" s="3264"/>
      <c r="C7" s="3265"/>
      <c r="D7" s="1522" t="s">
        <v>1102</v>
      </c>
      <c r="E7" s="1526" t="s">
        <v>1109</v>
      </c>
      <c r="F7" s="2435"/>
      <c r="G7" s="2432" t="s">
        <v>1110</v>
      </c>
      <c r="H7" s="95"/>
      <c r="I7" s="2433"/>
      <c r="J7" s="2435"/>
      <c r="K7" s="2435"/>
      <c r="L7" s="2435"/>
      <c r="M7" s="2435"/>
      <c r="N7" s="2435"/>
      <c r="O7" s="2435"/>
      <c r="P7" s="2435"/>
    </row>
    <row r="8" spans="1:16">
      <c r="A8" s="42" t="s">
        <v>1111</v>
      </c>
      <c r="B8" s="45" t="s">
        <v>1112</v>
      </c>
      <c r="C8" s="43" t="s">
        <v>1113</v>
      </c>
      <c r="D8" s="43">
        <f t="shared" ref="D8:D15" si="0">ROUND($D$3*E8/$E$3,2)</f>
        <v>10417.280000000001</v>
      </c>
      <c r="E8" s="46">
        <f>SUMIF('数据-基础表'!BB10:BK10,"地上",'数据-基础表'!BB5:BK5)</f>
        <v>105642.12999999999</v>
      </c>
      <c r="F8" s="2435"/>
      <c r="G8" s="2435"/>
      <c r="H8" s="2435"/>
      <c r="I8" s="2435"/>
      <c r="J8" s="2435"/>
      <c r="K8" s="2435"/>
      <c r="L8" s="2435"/>
      <c r="M8" s="2435"/>
      <c r="N8" s="2435"/>
      <c r="O8" s="2435"/>
      <c r="P8" s="2435"/>
    </row>
    <row r="9" spans="1:16">
      <c r="A9" s="1527"/>
      <c r="B9" s="1528"/>
      <c r="C9" s="43" t="s">
        <v>1114</v>
      </c>
      <c r="D9" s="43">
        <f t="shared" si="0"/>
        <v>0</v>
      </c>
      <c r="E9" s="47">
        <v>0</v>
      </c>
      <c r="F9" s="2435"/>
      <c r="G9" s="2435"/>
      <c r="H9" s="2435"/>
      <c r="I9" s="2435"/>
      <c r="J9" s="2435"/>
      <c r="K9" s="2435"/>
      <c r="L9" s="2435"/>
      <c r="M9" s="2435"/>
      <c r="N9" s="2435"/>
      <c r="O9" s="2435"/>
      <c r="P9" s="2435"/>
    </row>
    <row r="10" spans="1:16">
      <c r="A10" s="1527"/>
      <c r="B10" s="1528"/>
      <c r="C10" s="43" t="s">
        <v>1123</v>
      </c>
      <c r="D10" s="43">
        <f t="shared" si="0"/>
        <v>515.59</v>
      </c>
      <c r="E10" s="46">
        <f>SUMPRODUCT(('数据-基础表'!BB10:BK10="地下")*('数据-基础表'!BB11:BK11="商业")*('数据-基础表'!BB5:BK5))</f>
        <v>5228.6499999999996</v>
      </c>
      <c r="F10" s="2435"/>
      <c r="G10" s="2435"/>
      <c r="H10" s="2435"/>
      <c r="I10" s="2435"/>
      <c r="J10" s="2435"/>
      <c r="K10" s="2435"/>
      <c r="L10" s="2435"/>
      <c r="M10" s="2435"/>
      <c r="N10" s="2435"/>
      <c r="O10" s="2435"/>
      <c r="P10" s="2435"/>
    </row>
    <row r="11" spans="1:16">
      <c r="A11" s="1527"/>
      <c r="B11" s="1528"/>
      <c r="C11" s="43" t="s">
        <v>1115</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7"/>
      <c r="B12" s="1528"/>
      <c r="C12" s="43" t="s">
        <v>1116</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7"/>
      <c r="B13" s="1528"/>
      <c r="C13" s="43" t="s">
        <v>1117</v>
      </c>
      <c r="D13" s="43">
        <f t="shared" si="0"/>
        <v>2413.2600000000002</v>
      </c>
      <c r="E13" s="46">
        <f>SUMPRODUCT(('数据-基础表'!BB10:BK10="地下")*('数据-基础表'!BB11:BK11="车库")*('数据-基础表'!BB5:BK5))</f>
        <v>24473</v>
      </c>
      <c r="F13" s="2435"/>
      <c r="G13" s="2435"/>
      <c r="H13" s="2435"/>
      <c r="I13" s="2435"/>
      <c r="J13" s="2435"/>
      <c r="K13" s="2435"/>
      <c r="L13" s="2435"/>
      <c r="M13" s="2435"/>
      <c r="N13" s="2435"/>
      <c r="O13" s="2435"/>
      <c r="P13" s="2435"/>
    </row>
    <row r="14" spans="1:16">
      <c r="A14" s="1527"/>
      <c r="B14" s="1528"/>
      <c r="C14" s="43" t="s">
        <v>1129</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1124</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5"/>
      <c r="B16" s="1528"/>
      <c r="C16" s="45" t="s">
        <v>1118</v>
      </c>
      <c r="D16" s="45">
        <f>SUM(D8:D15)</f>
        <v>13346.130000000001</v>
      </c>
      <c r="E16" s="48">
        <f>SUM(E8:E15)</f>
        <v>135343.77999999997</v>
      </c>
      <c r="F16" s="2435"/>
      <c r="G16" s="2435"/>
      <c r="H16" s="1529" t="s">
        <v>1130</v>
      </c>
      <c r="I16" s="1530"/>
      <c r="J16" s="1069"/>
      <c r="K16" s="3260" t="s">
        <v>1130</v>
      </c>
      <c r="L16" s="3261"/>
      <c r="M16" s="3261"/>
      <c r="N16" s="3261"/>
      <c r="O16" s="3261"/>
      <c r="P16" s="3262"/>
    </row>
    <row r="17" spans="1:19" ht="15">
      <c r="A17" s="1531" t="s">
        <v>1131</v>
      </c>
      <c r="B17" s="1532" t="s">
        <v>1132</v>
      </c>
      <c r="C17" s="1533" t="s">
        <v>1133</v>
      </c>
      <c r="D17" s="1534" t="s">
        <v>1121</v>
      </c>
      <c r="E17" s="1535" t="s">
        <v>1122</v>
      </c>
      <c r="F17" s="1536"/>
      <c r="G17" s="1537"/>
      <c r="H17" s="1538" t="s">
        <v>1134</v>
      </c>
      <c r="I17" s="1539" t="s">
        <v>1119</v>
      </c>
      <c r="J17" s="1069"/>
      <c r="K17" s="3257" t="s">
        <v>1135</v>
      </c>
      <c r="L17" s="3258"/>
      <c r="M17" s="3259"/>
      <c r="N17" s="3257" t="s">
        <v>1136</v>
      </c>
      <c r="O17" s="3258"/>
      <c r="P17" s="3259"/>
      <c r="R17" s="767" t="s">
        <v>1137</v>
      </c>
      <c r="S17" s="54"/>
    </row>
    <row r="18" spans="1:19" ht="15">
      <c r="A18" s="1527"/>
      <c r="B18" s="1524"/>
      <c r="C18" s="1540"/>
      <c r="D18" s="1541"/>
      <c r="E18" s="1542" t="s">
        <v>1138</v>
      </c>
      <c r="F18" s="1543" t="s">
        <v>1139</v>
      </c>
      <c r="G18" s="1544" t="s">
        <v>1140</v>
      </c>
      <c r="H18" s="978" t="s">
        <v>1141</v>
      </c>
      <c r="I18" s="1545" t="s">
        <v>1142</v>
      </c>
      <c r="J18" s="1069"/>
      <c r="K18" s="978" t="s">
        <v>1143</v>
      </c>
      <c r="L18" s="1546" t="s">
        <v>1144</v>
      </c>
      <c r="M18" s="800" t="s">
        <v>1145</v>
      </c>
      <c r="N18" s="978" t="s">
        <v>1143</v>
      </c>
      <c r="O18" s="1546" t="s">
        <v>1144</v>
      </c>
      <c r="P18" s="800" t="s">
        <v>1145</v>
      </c>
      <c r="R18" s="43" t="s">
        <v>1146</v>
      </c>
      <c r="S18" s="43" t="s">
        <v>1147</v>
      </c>
    </row>
    <row r="19" spans="1:19">
      <c r="A19" s="1547"/>
      <c r="B19" s="45" t="s">
        <v>1120</v>
      </c>
      <c r="C19" s="3112" t="s">
        <v>3426</v>
      </c>
      <c r="D19" s="43">
        <f>ROUND($D$3*E19/$E$3,2)</f>
        <v>1921.35</v>
      </c>
      <c r="E19" s="51">
        <f t="shared" ref="E19:E26" si="1">SUM(F19:G19)</f>
        <v>19484.510000000002</v>
      </c>
      <c r="F19" s="2554">
        <f>'数据-基础表'!K14+'数据-基础表'!K18</f>
        <v>14255.86</v>
      </c>
      <c r="G19" s="1241">
        <f>'数据-基础表'!M15+'数据-基础表'!M16</f>
        <v>5228.6499999999996</v>
      </c>
      <c r="H19" s="637">
        <f>ROUND($D$3*I19/$E$3,2)</f>
        <v>60.66</v>
      </c>
      <c r="I19" s="46">
        <f t="shared" ref="I19:I26" si="2">IF($I$17="自定义",P19,M19)</f>
        <v>615.13</v>
      </c>
      <c r="J19" s="1069"/>
      <c r="K19" s="637">
        <f t="shared" ref="K19:K26" si="3">ROUND(E$28*E19/E$27,2)</f>
        <v>615.13</v>
      </c>
      <c r="L19" s="43">
        <f t="shared" ref="L19:L26" si="4">ROUND(IF(COUNTIF(C19,"*住宅*")&gt;0,E$29*E19/E$32,0),2)</f>
        <v>0</v>
      </c>
      <c r="M19" s="46">
        <f>K19+L19</f>
        <v>615.13</v>
      </c>
      <c r="N19" s="1548"/>
      <c r="O19" s="1549"/>
      <c r="P19" s="46">
        <f>N19+O19</f>
        <v>0</v>
      </c>
      <c r="R19" s="43">
        <f t="shared" ref="R19:S26" si="5">D19+H19</f>
        <v>1982.01</v>
      </c>
      <c r="S19" s="51">
        <f t="shared" si="5"/>
        <v>20099.640000000003</v>
      </c>
    </row>
    <row r="20" spans="1:19">
      <c r="A20" s="1547"/>
      <c r="B20" s="45" t="s">
        <v>1148</v>
      </c>
      <c r="C20" s="3112" t="s">
        <v>3427</v>
      </c>
      <c r="D20" s="43">
        <f t="shared" ref="D20:D26" si="6">ROUND($D$3*E20/$E$3,2)</f>
        <v>9011.52</v>
      </c>
      <c r="E20" s="51">
        <f t="shared" si="1"/>
        <v>91386.26999999999</v>
      </c>
      <c r="F20" s="2554">
        <f>'数据-基础表'!I13+'数据-基础表'!I17+'数据-基础表'!I19</f>
        <v>91386.26999999999</v>
      </c>
      <c r="G20" s="1241"/>
      <c r="H20" s="637">
        <f t="shared" ref="H20:H26" si="7">ROUND($D$3*I20/$E$3,2)</f>
        <v>284.5</v>
      </c>
      <c r="I20" s="46">
        <f t="shared" si="2"/>
        <v>2885.08</v>
      </c>
      <c r="J20" s="1069"/>
      <c r="K20" s="637">
        <f t="shared" si="3"/>
        <v>2885.08</v>
      </c>
      <c r="L20" s="43">
        <f t="shared" si="4"/>
        <v>0</v>
      </c>
      <c r="M20" s="46">
        <f t="shared" ref="M20:M26" si="8">K20+L20</f>
        <v>2885.08</v>
      </c>
      <c r="N20" s="1548"/>
      <c r="O20" s="1549"/>
      <c r="P20" s="46">
        <f t="shared" ref="P20:P26" si="9">N20+O20</f>
        <v>0</v>
      </c>
      <c r="R20" s="43">
        <f t="shared" si="5"/>
        <v>9296.02</v>
      </c>
      <c r="S20" s="51">
        <f t="shared" si="5"/>
        <v>94271.349999999991</v>
      </c>
    </row>
    <row r="21" spans="1:19">
      <c r="A21" s="1547"/>
      <c r="B21" s="45" t="s">
        <v>1148</v>
      </c>
      <c r="C21" s="3112" t="s">
        <v>3429</v>
      </c>
      <c r="D21" s="43">
        <f t="shared" si="6"/>
        <v>2413.2600000000002</v>
      </c>
      <c r="E21" s="51">
        <f t="shared" si="1"/>
        <v>24473</v>
      </c>
      <c r="F21" s="2554"/>
      <c r="G21" s="1241">
        <f>'数据-基础表'!O20</f>
        <v>24473</v>
      </c>
      <c r="H21" s="637">
        <f t="shared" si="7"/>
        <v>76.19</v>
      </c>
      <c r="I21" s="46">
        <f t="shared" si="2"/>
        <v>772.62</v>
      </c>
      <c r="J21" s="1069"/>
      <c r="K21" s="637">
        <f t="shared" si="3"/>
        <v>772.62</v>
      </c>
      <c r="L21" s="43">
        <f t="shared" si="4"/>
        <v>0</v>
      </c>
      <c r="M21" s="46">
        <f t="shared" si="8"/>
        <v>772.62</v>
      </c>
      <c r="N21" s="1548"/>
      <c r="O21" s="1549"/>
      <c r="P21" s="46">
        <f t="shared" si="9"/>
        <v>0</v>
      </c>
      <c r="R21" s="43">
        <f t="shared" si="5"/>
        <v>2489.4500000000003</v>
      </c>
      <c r="S21" s="51">
        <f t="shared" si="5"/>
        <v>25245.62</v>
      </c>
    </row>
    <row r="22" spans="1:19">
      <c r="A22" s="1547"/>
      <c r="B22" s="45" t="s">
        <v>1148</v>
      </c>
      <c r="C22" s="3113"/>
      <c r="D22" s="43">
        <f t="shared" si="6"/>
        <v>0</v>
      </c>
      <c r="E22" s="51">
        <f t="shared" si="1"/>
        <v>0</v>
      </c>
      <c r="F22" s="2555"/>
      <c r="G22" s="2556"/>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c r="A23" s="1547"/>
      <c r="B23" s="45" t="s">
        <v>1148</v>
      </c>
      <c r="C23" s="3113"/>
      <c r="D23" s="43">
        <f>ROUND($D$3*E23/$E$3,2)</f>
        <v>0</v>
      </c>
      <c r="E23" s="51">
        <f>SUM(F23:G23)</f>
        <v>0</v>
      </c>
      <c r="F23" s="2555"/>
      <c r="G23" s="2556"/>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c r="A24" s="1547"/>
      <c r="B24" s="45" t="s">
        <v>1148</v>
      </c>
      <c r="C24" s="3113"/>
      <c r="D24" s="43">
        <f>ROUND($D$3*E24/$E$3,2)</f>
        <v>0</v>
      </c>
      <c r="E24" s="51">
        <f>SUM(F24:G24)</f>
        <v>0</v>
      </c>
      <c r="F24" s="2555"/>
      <c r="G24" s="2556"/>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c r="A25" s="1547"/>
      <c r="B25" s="45" t="s">
        <v>1148</v>
      </c>
      <c r="C25" s="3113"/>
      <c r="D25" s="43">
        <f t="shared" si="6"/>
        <v>0</v>
      </c>
      <c r="E25" s="51">
        <f t="shared" si="1"/>
        <v>0</v>
      </c>
      <c r="F25" s="2555"/>
      <c r="G25" s="2556"/>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c r="A26" s="1547"/>
      <c r="B26" s="45" t="s">
        <v>1148</v>
      </c>
      <c r="C26" s="53"/>
      <c r="D26" s="43">
        <f t="shared" si="6"/>
        <v>0</v>
      </c>
      <c r="E26" s="51">
        <f t="shared" si="1"/>
        <v>0</v>
      </c>
      <c r="F26" s="2555"/>
      <c r="G26" s="2556"/>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29.25" thickBot="1">
      <c r="A27" s="1547"/>
      <c r="B27" s="43"/>
      <c r="C27" s="1552" t="s">
        <v>1149</v>
      </c>
      <c r="D27" s="1070">
        <f>SUM(D19:D26)</f>
        <v>13346.130000000001</v>
      </c>
      <c r="E27" s="1071">
        <f>IF(SUM(E19:E26)='数据-基础表'!BA5,SUM(E19:E26),IF(F27="地上面积有误","面积有误","地下面积有误"))</f>
        <v>135343.78</v>
      </c>
      <c r="F27" s="1070">
        <f>IF(SUM(F19:F26)=E8,SUM(F19:F26),"地上面积有误")</f>
        <v>105642.12999999999</v>
      </c>
      <c r="G27" s="1072">
        <f>SUM(G19:G26)</f>
        <v>29701.65</v>
      </c>
      <c r="H27" s="1073">
        <f>SUM(H19:H26)</f>
        <v>421.34999999999997</v>
      </c>
      <c r="I27" s="1074">
        <f>SUM(I19:I26)</f>
        <v>4272.83</v>
      </c>
      <c r="J27" s="1069"/>
      <c r="K27" s="1075">
        <f>SUM(K19:K26)</f>
        <v>4272.83</v>
      </c>
      <c r="L27" s="783">
        <f>SUM(L19:L26)</f>
        <v>0</v>
      </c>
      <c r="M27" s="1076">
        <f>SUM(M19:M26)</f>
        <v>4272.83</v>
      </c>
      <c r="N27" s="1075">
        <f t="shared" ref="N27:O27" si="10">SUM(N19:N26)</f>
        <v>0</v>
      </c>
      <c r="O27" s="783">
        <f t="shared" si="10"/>
        <v>0</v>
      </c>
      <c r="P27" s="94">
        <f>SUM(P19:P26)</f>
        <v>0</v>
      </c>
      <c r="R27" s="966" t="str">
        <f>IF(SUM(R19:R26)=$D$3,SUM(R19:R26),SUM(R19:R26)&amp;"误差"&amp;ROUND(SUM(R19:R26)-$D$3,2))</f>
        <v>13767.48误差0.01</v>
      </c>
      <c r="S27" s="43" t="str">
        <f>IF(SUM(S19:S26)=$E$3,SUM(S19:S26),SUM(S19:S26)&amp;"误差"&amp;ROUND(SUM(S19:S26)-E3,2))</f>
        <v>139616.61误差0.01</v>
      </c>
    </row>
    <row r="28" spans="1:19">
      <c r="A28" s="1547"/>
      <c r="B28" s="45" t="s">
        <v>1150</v>
      </c>
      <c r="C28" s="54" t="s">
        <v>1151</v>
      </c>
      <c r="D28" s="43">
        <f>ROUND($D$3*E28/$E$3,2)</f>
        <v>421.34</v>
      </c>
      <c r="E28" s="51">
        <f>SUM(F28:G28)</f>
        <v>4272.8200000000015</v>
      </c>
      <c r="F28" s="54">
        <f>'数据-基础表'!BQ5+'数据-基础表'!BS5</f>
        <v>0</v>
      </c>
      <c r="G28" s="55">
        <f>'数据-基础表'!BR5+'数据-基础表'!BT5</f>
        <v>4272.8200000000015</v>
      </c>
      <c r="H28" s="2435"/>
      <c r="I28" s="2435"/>
      <c r="J28" s="2435"/>
      <c r="K28" s="2435"/>
      <c r="L28" s="2435"/>
      <c r="M28" s="2435"/>
      <c r="N28" s="2435"/>
      <c r="O28" s="2435"/>
      <c r="P28" s="2435"/>
    </row>
    <row r="29" spans="1:19">
      <c r="A29" s="1547"/>
      <c r="B29" s="45" t="s">
        <v>1150</v>
      </c>
      <c r="C29" s="1553" t="s">
        <v>1152</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7"/>
      <c r="B30" s="45"/>
      <c r="C30" s="1554" t="s">
        <v>1149</v>
      </c>
      <c r="D30" s="1070">
        <f>SUM(D28:D29)</f>
        <v>421.34</v>
      </c>
      <c r="E30" s="1070">
        <f>SUM(E28:E29)</f>
        <v>4272.8200000000015</v>
      </c>
      <c r="F30" s="1070">
        <f>SUM(F28:F29)</f>
        <v>0</v>
      </c>
      <c r="G30" s="1072">
        <f>SUM(G28:G29)</f>
        <v>4272.8200000000015</v>
      </c>
      <c r="H30" s="2435"/>
      <c r="I30" s="2435"/>
      <c r="J30" s="2435"/>
      <c r="K30" s="2435"/>
      <c r="L30" s="2435"/>
      <c r="M30" s="2435"/>
      <c r="N30" s="2435"/>
      <c r="O30" s="2435"/>
      <c r="P30" s="2435"/>
    </row>
    <row r="31" spans="1:19" ht="15.75" thickBot="1">
      <c r="A31" s="1555"/>
      <c r="B31" s="96"/>
      <c r="C31" s="783" t="s">
        <v>1153</v>
      </c>
      <c r="D31" s="643">
        <f>D27+D30</f>
        <v>13767.470000000001</v>
      </c>
      <c r="E31" s="643">
        <f>E27+E30</f>
        <v>139616.6</v>
      </c>
      <c r="F31" s="644">
        <f>F27+F30</f>
        <v>105642.12999999999</v>
      </c>
      <c r="G31" s="645">
        <f>G27+G30</f>
        <v>33974.47</v>
      </c>
      <c r="H31" s="2435"/>
      <c r="I31" s="2435"/>
      <c r="J31" s="2435"/>
      <c r="K31" s="2435"/>
      <c r="L31" s="2435"/>
      <c r="M31" s="2435"/>
      <c r="N31" s="2435"/>
      <c r="O31" s="2435"/>
      <c r="P31" s="2435"/>
    </row>
    <row r="32" spans="1:19">
      <c r="A32" s="1524"/>
      <c r="B32" s="1524" t="s">
        <v>1154</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3" sqref="K23"/>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1155</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9" customFormat="1" ht="15.75" thickBot="1">
      <c r="A2" s="1560" t="s">
        <v>1156</v>
      </c>
      <c r="B2" s="982">
        <f>项目基本情况!D3</f>
        <v>45804</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1157</v>
      </c>
      <c r="B4" s="1562"/>
      <c r="C4" s="1563"/>
      <c r="D4" s="1564"/>
      <c r="E4" s="1563" t="s">
        <v>1158</v>
      </c>
      <c r="F4" s="1563"/>
      <c r="G4" s="1563"/>
      <c r="H4" s="1563"/>
      <c r="I4" s="1563"/>
      <c r="J4" s="1565"/>
      <c r="K4" s="1566"/>
      <c r="L4" s="1567"/>
      <c r="M4" s="1563"/>
      <c r="N4" s="1563" t="s">
        <v>1159</v>
      </c>
      <c r="O4" s="1563"/>
      <c r="P4" s="1563"/>
      <c r="Q4" s="1563"/>
      <c r="R4" s="1563"/>
      <c r="S4" s="1565"/>
      <c r="T4" s="2434" t="str">
        <f>'数据-汇总表'!I17</f>
        <v>按面积比例</v>
      </c>
      <c r="U4" s="1562" t="s">
        <v>1160</v>
      </c>
      <c r="V4" s="1563"/>
      <c r="W4" s="1563"/>
      <c r="X4" s="1563"/>
      <c r="Y4" s="1565"/>
      <c r="Z4" s="1533" t="s">
        <v>1161</v>
      </c>
      <c r="AA4" s="1533"/>
      <c r="AB4" s="1533"/>
      <c r="AC4" s="1533"/>
      <c r="AD4" s="1533"/>
      <c r="AE4" s="1531" t="s">
        <v>1162</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1163</v>
      </c>
      <c r="B5" s="1570" t="s">
        <v>1164</v>
      </c>
      <c r="C5" s="1571" t="s">
        <v>1165</v>
      </c>
      <c r="D5" s="1572" t="s">
        <v>1166</v>
      </c>
      <c r="E5" s="504" t="s">
        <v>1167</v>
      </c>
      <c r="F5" s="1573" t="s">
        <v>1168</v>
      </c>
      <c r="G5" s="504" t="s">
        <v>1169</v>
      </c>
      <c r="H5" s="504" t="s">
        <v>1170</v>
      </c>
      <c r="I5" s="504" t="s">
        <v>1171</v>
      </c>
      <c r="J5" s="1245" t="s">
        <v>1172</v>
      </c>
      <c r="K5" s="1574" t="s">
        <v>1173</v>
      </c>
      <c r="L5" s="1575" t="s">
        <v>1174</v>
      </c>
      <c r="M5" s="1576" t="s">
        <v>1175</v>
      </c>
      <c r="N5" s="1577" t="s">
        <v>3440</v>
      </c>
      <c r="O5" s="1575" t="s">
        <v>1176</v>
      </c>
      <c r="P5" s="1578" t="s">
        <v>1177</v>
      </c>
      <c r="Q5" s="58" t="s">
        <v>1178</v>
      </c>
      <c r="R5" s="1579" t="s">
        <v>1179</v>
      </c>
      <c r="S5" s="1580" t="s">
        <v>1180</v>
      </c>
      <c r="T5" s="1581" t="s">
        <v>1181</v>
      </c>
      <c r="U5" s="983" t="s">
        <v>1182</v>
      </c>
      <c r="V5" s="504" t="s">
        <v>1183</v>
      </c>
      <c r="W5" s="504" t="s">
        <v>1184</v>
      </c>
      <c r="X5" s="60"/>
      <c r="Y5" s="59" t="s">
        <v>1185</v>
      </c>
      <c r="Z5" s="1099" t="s">
        <v>1182</v>
      </c>
      <c r="AA5" s="504" t="s">
        <v>1183</v>
      </c>
      <c r="AB5" s="504" t="s">
        <v>1184</v>
      </c>
      <c r="AC5" s="60"/>
      <c r="AD5" s="60" t="s">
        <v>1185</v>
      </c>
      <c r="AE5" s="983" t="s">
        <v>1186</v>
      </c>
      <c r="AF5" s="504" t="s">
        <v>1187</v>
      </c>
      <c r="AG5" s="59" t="s">
        <v>1188</v>
      </c>
      <c r="AH5" s="983" t="s">
        <v>1189</v>
      </c>
      <c r="AI5" s="1099" t="s">
        <v>1190</v>
      </c>
      <c r="AJ5" s="1099" t="s">
        <v>1191</v>
      </c>
      <c r="AK5" s="504" t="s">
        <v>1192</v>
      </c>
      <c r="AL5" s="504" t="s">
        <v>1193</v>
      </c>
      <c r="AM5" s="59" t="s">
        <v>1194</v>
      </c>
      <c r="AN5" s="1582" t="s">
        <v>1195</v>
      </c>
      <c r="AO5" s="1452" t="s">
        <v>1196</v>
      </c>
      <c r="AP5" s="966" t="s">
        <v>1197</v>
      </c>
      <c r="AQ5" s="1583" t="s">
        <v>1198</v>
      </c>
      <c r="AR5" s="1583" t="s">
        <v>1199</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商业</v>
      </c>
      <c r="B6" s="1585" t="str">
        <f>IF(A6=0,"","经营性")</f>
        <v>经营性</v>
      </c>
      <c r="C6" s="1586" t="s">
        <v>668</v>
      </c>
      <c r="D6" s="803">
        <f>SUMIF(项目基本情况!C$12:I$12,C6,项目基本情况!C$14:I$14)</f>
        <v>40</v>
      </c>
      <c r="E6" s="802">
        <f>IF(B6="","",SUMIF(项目基本情况!C$12:I$12,C6,项目基本情况!C$13:I$13))</f>
        <v>52839</v>
      </c>
      <c r="F6" s="61">
        <f>SUMIF(项目基本情况!C$12:I$12,C6,项目基本情况!C$15:I$15)</f>
        <v>19.27</v>
      </c>
      <c r="G6" s="62">
        <f>IF(ISERROR(ROUND(POWER(1+H6,D6-F6)*(POWER(1+H6,F6)-1)/(POWER(1+H6,D6)-1),3)),0,ROUND(POWER(1+H6,D6-F6)*(POWER(1+H6,F6)-1)/(POWER(1+H6,D6)-1),3))</f>
        <v>0.71</v>
      </c>
      <c r="H6" s="691">
        <v>0.05</v>
      </c>
      <c r="I6" s="691">
        <v>0.06</v>
      </c>
      <c r="J6" s="63">
        <v>7.0000000000000007E-2</v>
      </c>
      <c r="K6" s="968">
        <f>SUMIF('数据-汇总表'!C$19:C$33,A6,'数据-汇总表'!E$19:E$33)</f>
        <v>19484.510000000002</v>
      </c>
      <c r="L6" s="692">
        <v>6000</v>
      </c>
      <c r="M6" s="64">
        <f t="shared" ref="M6:M14" si="0">ROUND(K6*L6/10000,0)</f>
        <v>11691</v>
      </c>
      <c r="N6" s="690">
        <f>N20</f>
        <v>0.76500000000000001</v>
      </c>
      <c r="O6" s="64" t="str">
        <f>IF($N$5="成新度","——",ROUND(M6*N6,0))</f>
        <v>——</v>
      </c>
      <c r="P6" s="65" t="str">
        <f>IF($N$5="成新度","——",M6-O6)</f>
        <v>——</v>
      </c>
      <c r="Q6" s="693">
        <v>0.25</v>
      </c>
      <c r="R6" s="66">
        <f ca="1">SUMIF('数据-汇总表'!C$19:C$33,A6,'数据-汇总表'!R$19:R$27)</f>
        <v>1982.01</v>
      </c>
      <c r="S6" s="49">
        <f>IF('数据-汇总表'!$I$17="按面积比例",SUMIF('数据-汇总表'!C$19:C$33,A6,'数据-汇总表'!K$19:K$33),SUMIF('数据-汇总表'!C$19:C$33,A6,'数据-汇总表'!N$19:N$33))</f>
        <v>615.13</v>
      </c>
      <c r="T6" s="1090">
        <f>ROUND($L$14*S6/10000,0)</f>
        <v>369</v>
      </c>
      <c r="U6" s="3123">
        <v>15</v>
      </c>
      <c r="V6" s="67">
        <v>0.02</v>
      </c>
      <c r="W6" s="67">
        <v>0.1</v>
      </c>
      <c r="X6" s="977"/>
      <c r="Y6" s="68">
        <f>N6</f>
        <v>0.76500000000000001</v>
      </c>
      <c r="Z6" s="69"/>
      <c r="AA6" s="63"/>
      <c r="AB6" s="63"/>
      <c r="AC6" s="977"/>
      <c r="AD6" s="70"/>
      <c r="AE6" s="978">
        <f ca="1">IF(AN6="",0,SUMIF(INDIRECT("'"&amp;AN6&amp;"'"&amp;"!E:E"),$AE$5,INDIRECT("'"&amp;AN6&amp;"'"&amp;"!F:F")))</f>
        <v>19.27</v>
      </c>
      <c r="AF6" s="74"/>
      <c r="AG6" s="130">
        <f>IF(AF6="",0,AE6-AF6)</f>
        <v>0</v>
      </c>
      <c r="AH6" s="71"/>
      <c r="AI6" s="73">
        <v>365</v>
      </c>
      <c r="AJ6" s="74"/>
      <c r="AK6" s="75">
        <v>5.0000000000000001E-3</v>
      </c>
      <c r="AL6" s="76">
        <v>1E-3</v>
      </c>
      <c r="AM6" s="77">
        <v>0.02</v>
      </c>
      <c r="AN6" s="1587" t="s">
        <v>3464</v>
      </c>
      <c r="AO6" s="50">
        <f ca="1">SUMIF(INDIRECT("'"&amp;AN6&amp;"'"&amp;"!A:A"),"总价",INDIRECT("'"&amp;AN6&amp;"'"&amp;"!B:B"))</f>
        <v>102695</v>
      </c>
      <c r="AP6" s="1588">
        <f>IF(C6="住宅",K6*L6,0)</f>
        <v>0</v>
      </c>
      <c r="AQ6" s="50">
        <f>ROUND($L$14*$N$14*S6/10000,0)</f>
        <v>282</v>
      </c>
      <c r="AR6" s="50">
        <f>ROUND($L$14*(1-$N$14)*S6/10000,0)</f>
        <v>87</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办公</v>
      </c>
      <c r="B7" s="1585" t="str">
        <f t="shared" ref="B7:B13" si="1">IF(A7=0,"","经营性")</f>
        <v>经营性</v>
      </c>
      <c r="C7" s="1586" t="s">
        <v>21</v>
      </c>
      <c r="D7" s="803">
        <f>SUMIF(项目基本情况!C$12:I$12,C7,项目基本情况!C$14:I$14)</f>
        <v>50</v>
      </c>
      <c r="E7" s="802">
        <f>IF(B7="","",SUMIF(项目基本情况!C$12:I$12,C7,项目基本情况!C$13:I$13))</f>
        <v>56491</v>
      </c>
      <c r="F7" s="61">
        <f>SUMIF(项目基本情况!C$12:I$12,C7,项目基本情况!C$15:I$15)</f>
        <v>29.27</v>
      </c>
      <c r="G7" s="62">
        <f t="shared" ref="G7:G11" si="2">IF(ISERROR(ROUND(POWER(1+H7,D7-F7)*(POWER(1+H7,F7)-1)/(POWER(1+H7,D7)-1),3)),0,ROUND(POWER(1+H7,D7-F7)*(POWER(1+H7,F7)-1)/(POWER(1+H7,D7)-1),3))</f>
        <v>0.83299999999999996</v>
      </c>
      <c r="H7" s="691">
        <v>0.05</v>
      </c>
      <c r="I7" s="691">
        <v>5.5E-2</v>
      </c>
      <c r="J7" s="63">
        <v>7.0000000000000007E-2</v>
      </c>
      <c r="K7" s="968">
        <f>SUMIF('数据-汇总表'!C$19:C$33,A7,'数据-汇总表'!E$19:E$33)</f>
        <v>91386.26999999999</v>
      </c>
      <c r="L7" s="692">
        <f>L6</f>
        <v>6000</v>
      </c>
      <c r="M7" s="64">
        <f t="shared" si="0"/>
        <v>54832</v>
      </c>
      <c r="N7" s="690">
        <f>N6</f>
        <v>0.76500000000000001</v>
      </c>
      <c r="O7" s="64" t="str">
        <f t="shared" ref="O7:O14" si="3">IF($N$5="成新度","——",ROUND(M7*N7,0))</f>
        <v>——</v>
      </c>
      <c r="P7" s="65" t="str">
        <f t="shared" ref="P7:P14" si="4">IF($N$5="成新度","——",M7-O7)</f>
        <v>——</v>
      </c>
      <c r="Q7" s="693">
        <v>0.25</v>
      </c>
      <c r="R7" s="66">
        <f ca="1">SUMIF('数据-汇总表'!C$19:C$33,A7,'数据-汇总表'!R$19:R$27)</f>
        <v>9296.02</v>
      </c>
      <c r="S7" s="49">
        <f>IF('数据-汇总表'!$I$17="按面积比例",SUMIF('数据-汇总表'!C$19:C$33,A7,'数据-汇总表'!K$19:K$33),SUMIF('数据-汇总表'!C$19:C$33,A7,'数据-汇总表'!N$19:N$33))</f>
        <v>2885.08</v>
      </c>
      <c r="T7" s="1090">
        <f t="shared" ref="T7:T13" si="5">ROUND($L$14*S7/10000,0)</f>
        <v>1731</v>
      </c>
      <c r="U7" s="3123">
        <v>20</v>
      </c>
      <c r="V7" s="67">
        <v>0.02</v>
      </c>
      <c r="W7" s="67">
        <v>0.1</v>
      </c>
      <c r="X7" s="977"/>
      <c r="Y7" s="68">
        <f>N7</f>
        <v>0.76500000000000001</v>
      </c>
      <c r="Z7" s="69"/>
      <c r="AA7" s="63"/>
      <c r="AB7" s="63"/>
      <c r="AC7" s="977"/>
      <c r="AD7" s="70"/>
      <c r="AE7" s="978">
        <f t="shared" ref="AE7:AE13" ca="1" si="6">IF(AN7="",0,SUMIF(INDIRECT("'"&amp;AN7&amp;"'"&amp;"!E:E"),$AE$5,INDIRECT("'"&amp;AN7&amp;"'"&amp;"!F:F")))</f>
        <v>29.27</v>
      </c>
      <c r="AF7" s="74"/>
      <c r="AG7" s="130">
        <f t="shared" ref="AG7:AG13" si="7">IF(AF7="",0,AE7-AF7)</f>
        <v>0</v>
      </c>
      <c r="AH7" s="71"/>
      <c r="AI7" s="73">
        <v>365</v>
      </c>
      <c r="AJ7" s="74"/>
      <c r="AK7" s="75">
        <v>5.0000000000000001E-3</v>
      </c>
      <c r="AL7" s="76">
        <v>1E-3</v>
      </c>
      <c r="AM7" s="77">
        <v>0.02</v>
      </c>
      <c r="AN7" s="1587" t="s">
        <v>3466</v>
      </c>
      <c r="AO7" s="50">
        <f t="shared" ref="AO7:AO13" ca="1" si="8">SUMIF(INDIRECT("'"&amp;AN7&amp;"'"&amp;"!A:A"),"总价",INDIRECT("'"&amp;AN7&amp;"'"&amp;"!B:B"))</f>
        <v>870004</v>
      </c>
      <c r="AP7" s="1588">
        <f t="shared" ref="AP7:AP13" si="9">IF(C7="住宅",K7*L7,0)</f>
        <v>0</v>
      </c>
      <c r="AQ7" s="50">
        <f t="shared" ref="AQ7:AQ13" si="10">ROUND($L$14*$N$14*S7/10000,0)</f>
        <v>1324</v>
      </c>
      <c r="AR7" s="50">
        <f t="shared" ref="AR7:AR13" si="11">ROUND($L$14*(1-$N$14)*S7/10000,0)</f>
        <v>407</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t="str">
        <f>'数据-汇总表'!C21</f>
        <v>地下车库</v>
      </c>
      <c r="B8" s="1585" t="str">
        <f t="shared" si="1"/>
        <v>经营性</v>
      </c>
      <c r="C8" s="1586" t="s">
        <v>3319</v>
      </c>
      <c r="D8" s="803">
        <f>SUMIF(项目基本情况!C$12:I$12,C8,项目基本情况!C$14:I$14)</f>
        <v>50</v>
      </c>
      <c r="E8" s="802">
        <f>IF(B8="","",SUMIF(项目基本情况!C$12:I$12,C8,项目基本情况!C$13:I$13))</f>
        <v>56491</v>
      </c>
      <c r="F8" s="61">
        <f>SUMIF(项目基本情况!C$12:I$12,C8,项目基本情况!C$15:I$15)</f>
        <v>29.27</v>
      </c>
      <c r="G8" s="62">
        <f t="shared" si="2"/>
        <v>0.81399999999999995</v>
      </c>
      <c r="H8" s="691">
        <v>4.4999999999999998E-2</v>
      </c>
      <c r="I8" s="691">
        <v>0.05</v>
      </c>
      <c r="J8" s="63">
        <v>7.0000000000000007E-2</v>
      </c>
      <c r="K8" s="968">
        <f>SUMIF('数据-汇总表'!C$19:C$33,A8,'数据-汇总表'!E$19:E$33)</f>
        <v>24473</v>
      </c>
      <c r="L8" s="692">
        <v>6000</v>
      </c>
      <c r="M8" s="64">
        <f>ROUND(K8*L8/10000,0)</f>
        <v>14684</v>
      </c>
      <c r="N8" s="690">
        <f>N6</f>
        <v>0.76500000000000001</v>
      </c>
      <c r="O8" s="64" t="str">
        <f t="shared" si="3"/>
        <v>——</v>
      </c>
      <c r="P8" s="65" t="str">
        <f t="shared" si="4"/>
        <v>——</v>
      </c>
      <c r="Q8" s="693">
        <v>0.1</v>
      </c>
      <c r="R8" s="66">
        <f ca="1">SUMIF('数据-汇总表'!C$19:C$33,A8,'数据-汇总表'!R$19:R$27)</f>
        <v>2489.4500000000003</v>
      </c>
      <c r="S8" s="49">
        <f>IF('数据-汇总表'!$I$17="按面积比例",SUMIF('数据-汇总表'!C$19:C$33,A8,'数据-汇总表'!K$19:K$33),SUMIF('数据-汇总表'!C$19:C$33,A8,'数据-汇总表'!N$19:N$33))</f>
        <v>772.62</v>
      </c>
      <c r="T8" s="1090">
        <f t="shared" si="5"/>
        <v>464</v>
      </c>
      <c r="U8" s="3124">
        <v>1500</v>
      </c>
      <c r="V8" s="694">
        <v>0.02</v>
      </c>
      <c r="W8" s="694">
        <v>0.1</v>
      </c>
      <c r="X8" s="977"/>
      <c r="Y8" s="68">
        <f>N8</f>
        <v>0.76500000000000001</v>
      </c>
      <c r="Z8" s="69"/>
      <c r="AA8" s="63"/>
      <c r="AB8" s="63"/>
      <c r="AC8" s="977"/>
      <c r="AD8" s="70"/>
      <c r="AE8" s="978">
        <f t="shared" ca="1" si="6"/>
        <v>29.27</v>
      </c>
      <c r="AF8" s="74"/>
      <c r="AG8" s="130">
        <f t="shared" si="7"/>
        <v>0</v>
      </c>
      <c r="AH8" s="695">
        <v>496</v>
      </c>
      <c r="AI8" s="73">
        <v>12</v>
      </c>
      <c r="AJ8" s="74"/>
      <c r="AK8" s="75">
        <v>5.0000000000000001E-3</v>
      </c>
      <c r="AL8" s="76">
        <v>1E-3</v>
      </c>
      <c r="AM8" s="77">
        <v>0.02</v>
      </c>
      <c r="AN8" s="1587" t="s">
        <v>3468</v>
      </c>
      <c r="AO8" s="50">
        <f t="shared" ca="1" si="8"/>
        <v>10908</v>
      </c>
      <c r="AP8" s="1588">
        <f t="shared" si="9"/>
        <v>0</v>
      </c>
      <c r="AQ8" s="50">
        <f t="shared" si="10"/>
        <v>355</v>
      </c>
      <c r="AR8" s="50">
        <f t="shared" si="11"/>
        <v>109</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hidden="1">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hidden="1">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1200</v>
      </c>
      <c r="B14" s="1585" t="s">
        <v>1201</v>
      </c>
      <c r="C14" s="1590" t="s">
        <v>1200</v>
      </c>
      <c r="D14" s="803"/>
      <c r="E14" s="802"/>
      <c r="F14" s="61"/>
      <c r="G14" s="62"/>
      <c r="H14" s="967"/>
      <c r="I14" s="967"/>
      <c r="J14" s="967"/>
      <c r="K14" s="968">
        <f>SUMIF('数据-汇总表'!C$19:C$33,A14,'数据-汇总表'!E$19:E$33)</f>
        <v>4272.8200000000015</v>
      </c>
      <c r="L14" s="79">
        <f>L8</f>
        <v>6000</v>
      </c>
      <c r="M14" s="64">
        <f t="shared" si="0"/>
        <v>2564</v>
      </c>
      <c r="N14" s="80">
        <f>N6</f>
        <v>0.76500000000000001</v>
      </c>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5"/>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1202</v>
      </c>
      <c r="B15" s="1585" t="s">
        <v>1201</v>
      </c>
      <c r="C15" s="1590" t="s">
        <v>1203</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5"/>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1204</v>
      </c>
      <c r="B16" s="82"/>
      <c r="C16" s="781"/>
      <c r="D16" s="1592"/>
      <c r="E16" s="82"/>
      <c r="F16" s="82"/>
      <c r="G16" s="83">
        <f>ROUND(SUMPRODUCT(G6:G13,K6:K13)/SUMPRODUCT((G6:G13&gt;0)*(K6:K13)),3)</f>
        <v>0.81200000000000006</v>
      </c>
      <c r="H16" s="84">
        <f>ROUND(SUMPRODUCT(H6:H13,K6:K13)/SUMPRODUCT((H6:H13&gt;0)*(K6:K13)),3)</f>
        <v>4.9000000000000002E-2</v>
      </c>
      <c r="I16" s="85"/>
      <c r="J16" s="85"/>
      <c r="K16" s="86">
        <f>SUM(K6:K15)</f>
        <v>139616.6</v>
      </c>
      <c r="L16" s="87">
        <f>ROUND(M16*10000/SUM(K6:K14),0)</f>
        <v>6000</v>
      </c>
      <c r="M16" s="87">
        <f>SUM(M6:M14)</f>
        <v>83771</v>
      </c>
      <c r="N16" s="88">
        <f>ROUND(SUMPRODUCT(M6:M14,N6:N14)/M16,3)</f>
        <v>0.76500000000000001</v>
      </c>
      <c r="O16" s="87">
        <f>SUM(O6:O14)</f>
        <v>0</v>
      </c>
      <c r="P16" s="87">
        <f>SUM(P6:P14)</f>
        <v>0</v>
      </c>
      <c r="Q16" s="89">
        <f>ROUND(SUMPRODUCT(Q6:Q13,K6:K13)/SUMPRODUCT((Q6:Q13&gt;0)*(K6:K13)),2)</f>
        <v>0.22</v>
      </c>
      <c r="R16" s="972">
        <f ca="1">SUM(R6:R13)</f>
        <v>13767.480000000001</v>
      </c>
      <c r="S16" s="90">
        <f>SUM(S6:S13)</f>
        <v>4272.83</v>
      </c>
      <c r="T16" s="91">
        <f>IF(SUMIF(T6:T13,"&lt;9E307")=M14,SUMIF(T6:T13,"&lt;9E307"),"有误，请检查")</f>
        <v>2564</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1205</v>
      </c>
      <c r="B18" s="2457"/>
      <c r="C18" s="2435"/>
      <c r="D18" s="2448"/>
      <c r="E18" s="2435"/>
      <c r="F18" s="2435"/>
      <c r="G18" s="2435"/>
      <c r="H18" s="2435"/>
      <c r="I18" s="2435"/>
      <c r="J18" s="2435"/>
      <c r="K18" s="2446"/>
      <c r="L18" s="2446"/>
      <c r="M18" s="3171" t="s">
        <v>3457</v>
      </c>
      <c r="N18" s="3172">
        <f>ROUND(1-(2025-2009)/60,2)</f>
        <v>0.73</v>
      </c>
      <c r="O18" s="2445"/>
      <c r="P18" s="2445"/>
      <c r="Q18" s="2445"/>
      <c r="R18" s="2445"/>
      <c r="S18" s="3171" t="s">
        <v>3447</v>
      </c>
      <c r="T18" s="3171" t="s">
        <v>3448</v>
      </c>
      <c r="U18" s="3171" t="s">
        <v>3456</v>
      </c>
      <c r="V18" s="3521" t="s">
        <v>3484</v>
      </c>
      <c r="W18" s="3171" t="s">
        <v>3449</v>
      </c>
      <c r="X18" s="3170"/>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4" t="s">
        <v>1206</v>
      </c>
      <c r="B19" s="97">
        <v>0</v>
      </c>
      <c r="C19" s="2557" t="s">
        <v>2288</v>
      </c>
      <c r="D19" s="2448"/>
      <c r="E19" s="2435"/>
      <c r="F19" s="2435"/>
      <c r="G19" s="2435"/>
      <c r="H19" s="2435"/>
      <c r="I19" s="2435"/>
      <c r="J19" s="2435"/>
      <c r="K19" s="2446"/>
      <c r="L19" s="2446"/>
      <c r="M19" s="3171" t="s">
        <v>3458</v>
      </c>
      <c r="N19" s="3172">
        <v>0.8</v>
      </c>
      <c r="O19" s="2445"/>
      <c r="P19" s="2445"/>
      <c r="Q19" s="2445"/>
      <c r="R19" s="2445"/>
      <c r="S19" s="3171" t="s">
        <v>3442</v>
      </c>
      <c r="T19" s="3172"/>
      <c r="U19" s="3172">
        <v>20</v>
      </c>
      <c r="V19" s="3522">
        <v>100000</v>
      </c>
      <c r="W19" s="3172">
        <f>Sheet1!M16</f>
        <v>4530.3999999999996</v>
      </c>
      <c r="X19" s="3170">
        <f>U19*W19</f>
        <v>90608</v>
      </c>
      <c r="Y19" s="2445">
        <f>V19*W19</f>
        <v>453039999.99999994</v>
      </c>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5" t="s">
        <v>1207</v>
      </c>
      <c r="B20" s="98">
        <v>2.5</v>
      </c>
      <c r="C20" s="2558" t="s">
        <v>2286</v>
      </c>
      <c r="D20" s="2448"/>
      <c r="E20" s="2435"/>
      <c r="F20" s="2435"/>
      <c r="G20" s="2435"/>
      <c r="H20" s="2435"/>
      <c r="I20" s="2435"/>
      <c r="J20" s="2435"/>
      <c r="K20" s="2446"/>
      <c r="L20" s="2446"/>
      <c r="M20" s="3171" t="s">
        <v>3459</v>
      </c>
      <c r="N20" s="3172">
        <f>(N18+N19)/2</f>
        <v>0.76500000000000001</v>
      </c>
      <c r="O20" s="2445"/>
      <c r="P20" s="2445"/>
      <c r="Q20" s="2445"/>
      <c r="R20" s="2445"/>
      <c r="S20" s="3171" t="s">
        <v>3443</v>
      </c>
      <c r="T20" s="3172">
        <v>0.7</v>
      </c>
      <c r="U20" s="3172">
        <f>$U$19*T20</f>
        <v>14</v>
      </c>
      <c r="V20" s="3522">
        <f>$V$19*T20</f>
        <v>70000</v>
      </c>
      <c r="W20" s="3172">
        <f>Sheet1!M17</f>
        <v>6364.26</v>
      </c>
      <c r="X20" s="3170">
        <f>U20*W20</f>
        <v>89099.64</v>
      </c>
      <c r="Y20" s="2445">
        <f t="shared" ref="Y20:Y24" si="12">V20*W20</f>
        <v>445498200</v>
      </c>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6" t="s">
        <v>1208</v>
      </c>
      <c r="B21" s="98">
        <v>2.5</v>
      </c>
      <c r="C21" s="2435"/>
      <c r="D21" s="2448"/>
      <c r="E21" s="2435"/>
      <c r="F21" s="2435"/>
      <c r="G21" s="2435"/>
      <c r="H21" s="2435"/>
      <c r="I21" s="2435"/>
      <c r="J21" s="2435"/>
      <c r="K21" s="2446"/>
      <c r="L21" s="2446"/>
      <c r="M21" s="2445"/>
      <c r="N21" s="2445"/>
      <c r="O21" s="2445"/>
      <c r="P21" s="2445"/>
      <c r="Q21" s="2445"/>
      <c r="R21" s="2445"/>
      <c r="S21" s="3171" t="s">
        <v>3444</v>
      </c>
      <c r="T21" s="3172">
        <v>0.6</v>
      </c>
      <c r="U21" s="3172">
        <f>$U$19*T21</f>
        <v>12</v>
      </c>
      <c r="V21" s="3522">
        <f t="shared" ref="V21:V23" si="13">$V$19*T21</f>
        <v>60000</v>
      </c>
      <c r="W21" s="3172">
        <f>Sheet1!M18</f>
        <v>1676.99</v>
      </c>
      <c r="X21" s="3170">
        <f>U21*W21</f>
        <v>20123.88</v>
      </c>
      <c r="Y21" s="2445">
        <f t="shared" si="12"/>
        <v>100619400</v>
      </c>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5" t="s">
        <v>1209</v>
      </c>
      <c r="B22" s="99">
        <f>B19+B20</f>
        <v>2.5</v>
      </c>
      <c r="C22" s="2435"/>
      <c r="D22" s="2448"/>
      <c r="E22" s="2435"/>
      <c r="F22" s="2435"/>
      <c r="G22" s="2435"/>
      <c r="H22" s="2435"/>
      <c r="I22" s="2435"/>
      <c r="J22" s="2435"/>
      <c r="K22" s="2446"/>
      <c r="L22" s="2446"/>
      <c r="M22" s="2445"/>
      <c r="N22" s="2445"/>
      <c r="O22" s="2445"/>
      <c r="P22" s="2445"/>
      <c r="Q22" s="2445"/>
      <c r="R22" s="2445"/>
      <c r="S22" s="3171" t="s">
        <v>3445</v>
      </c>
      <c r="T22" s="3172">
        <v>0.5</v>
      </c>
      <c r="U22" s="3172">
        <f>$U$19*T22</f>
        <v>10</v>
      </c>
      <c r="V22" s="3522">
        <f t="shared" si="13"/>
        <v>50000</v>
      </c>
      <c r="W22" s="3172">
        <f>Sheet1!M19</f>
        <v>1684.21</v>
      </c>
      <c r="X22" s="3170">
        <f>U22*W22</f>
        <v>16842.099999999999</v>
      </c>
      <c r="Y22" s="2445">
        <f t="shared" si="12"/>
        <v>84210500</v>
      </c>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6" t="s">
        <v>1210</v>
      </c>
      <c r="B23" s="99">
        <f>B19+B21</f>
        <v>2.5</v>
      </c>
      <c r="C23" s="2435"/>
      <c r="D23" s="2448"/>
      <c r="E23" s="2435"/>
      <c r="F23" s="2435"/>
      <c r="G23" s="2435"/>
      <c r="H23" s="2435"/>
      <c r="I23" s="2435"/>
      <c r="J23" s="2435"/>
      <c r="K23" s="2446"/>
      <c r="L23" s="2446"/>
      <c r="M23" s="2445"/>
      <c r="N23" s="2445"/>
      <c r="O23" s="2445"/>
      <c r="P23" s="2445"/>
      <c r="Q23" s="2445"/>
      <c r="R23" s="2445"/>
      <c r="S23" s="3171" t="s">
        <v>3446</v>
      </c>
      <c r="T23" s="3172">
        <v>0.5</v>
      </c>
      <c r="U23" s="3172">
        <f>$U$19*T23</f>
        <v>10</v>
      </c>
      <c r="V23" s="3522">
        <f t="shared" si="13"/>
        <v>50000</v>
      </c>
      <c r="W23" s="3172">
        <f>Sheet1!M20</f>
        <v>5228.6499999999996</v>
      </c>
      <c r="X23" s="3170">
        <f>U23*W23</f>
        <v>52286.5</v>
      </c>
      <c r="Y23" s="2445">
        <f t="shared" si="12"/>
        <v>261432499.99999997</v>
      </c>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7" t="s">
        <v>1211</v>
      </c>
      <c r="B24" s="100">
        <f>B20-B21</f>
        <v>0</v>
      </c>
      <c r="C24" s="2435"/>
      <c r="D24" s="2448"/>
      <c r="E24" s="2435"/>
      <c r="F24" s="2435"/>
      <c r="G24" s="2435"/>
      <c r="H24" s="2435"/>
      <c r="I24" s="2435"/>
      <c r="J24" s="2435"/>
      <c r="K24" s="2446"/>
      <c r="L24" s="2446"/>
      <c r="M24" s="2445"/>
      <c r="N24" s="2445"/>
      <c r="O24" s="2445"/>
      <c r="P24" s="2445"/>
      <c r="Q24" s="2445"/>
      <c r="R24" s="2445"/>
      <c r="S24" s="3171" t="s">
        <v>3459</v>
      </c>
      <c r="T24" s="3172"/>
      <c r="U24" s="3172">
        <f>ROUND(X24/W24,2)</f>
        <v>13.8</v>
      </c>
      <c r="V24" s="3522">
        <f>Y24/W24</f>
        <v>69018.959162945321</v>
      </c>
      <c r="W24" s="3172">
        <f>SUM(W19:W23)</f>
        <v>19484.510000000002</v>
      </c>
      <c r="X24" s="3170">
        <f>SUM(X19:X23)</f>
        <v>268960.12</v>
      </c>
      <c r="Y24" s="3170">
        <f>SUM(Y19:Y23)</f>
        <v>1344800600</v>
      </c>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7"/>
      <c r="B25" s="1540"/>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0" t="s">
        <v>1212</v>
      </c>
      <c r="B26" s="1598" t="s">
        <v>1213</v>
      </c>
      <c r="C26" s="2449" t="s">
        <v>1214</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9" t="s">
        <v>1215</v>
      </c>
      <c r="B27" s="101">
        <v>160</v>
      </c>
      <c r="C27" s="2559" t="s">
        <v>2290</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0" t="s">
        <v>1216</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1" t="s">
        <v>1217</v>
      </c>
      <c r="B29" s="105">
        <f ca="1">商业成本法!C10</f>
        <v>402</v>
      </c>
      <c r="C29" s="2560" t="s">
        <v>2280</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2" t="s">
        <v>1218</v>
      </c>
      <c r="B30" s="638">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0" t="s">
        <v>1219</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3" t="s">
        <v>1220</v>
      </c>
      <c r="B32" s="639">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9" t="s">
        <v>1221</v>
      </c>
      <c r="B33" s="640">
        <v>0.1</v>
      </c>
      <c r="C33" s="2561" t="s">
        <v>3369</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0" t="s">
        <v>1222</v>
      </c>
      <c r="B34" s="106">
        <v>0</v>
      </c>
      <c r="C34" s="2561" t="s">
        <v>2281</v>
      </c>
      <c r="D34" s="2456" t="s">
        <v>2287</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0" t="s">
        <v>1223</v>
      </c>
      <c r="B35" s="103">
        <v>200</v>
      </c>
      <c r="C35" s="2561" t="s">
        <v>2282</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1" t="s">
        <v>1224</v>
      </c>
      <c r="B36" s="107">
        <v>0.03</v>
      </c>
      <c r="C36" s="2561" t="s">
        <v>3387</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2" t="s">
        <v>1225</v>
      </c>
      <c r="B37" s="108">
        <v>0.03</v>
      </c>
      <c r="C37" s="2561" t="s">
        <v>3370</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0" t="s">
        <v>1226</v>
      </c>
      <c r="B38" s="106">
        <v>0.03</v>
      </c>
      <c r="C38" s="2561" t="s">
        <v>3371</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3" t="s">
        <v>1227</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2296</v>
      </c>
      <c r="B40" s="1013">
        <f ca="1">IF(A40="利息：取LPR",存贷款利率!G1,存贷款利率!G1+C40)</f>
        <v>0.03</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9" t="s">
        <v>1228</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4" t="s">
        <v>1229</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4" t="s">
        <v>1230</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5" t="s">
        <v>1231</v>
      </c>
      <c r="B44" s="112">
        <v>7.0000000000000007E-2</v>
      </c>
      <c r="C44" s="2561" t="s">
        <v>3372</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5" t="s">
        <v>1232</v>
      </c>
      <c r="B45" s="110">
        <v>0.03</v>
      </c>
      <c r="C45" s="2560" t="s">
        <v>2283</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5" t="s">
        <v>1233</v>
      </c>
      <c r="B46" s="110">
        <v>0.02</v>
      </c>
      <c r="C46" s="2560" t="s">
        <v>2284</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6" t="s">
        <v>1234</v>
      </c>
      <c r="B47" s="113"/>
      <c r="C47" s="2563" t="s">
        <v>2291</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7" t="s">
        <v>1235</v>
      </c>
      <c r="B48" s="114">
        <v>0.03</v>
      </c>
      <c r="C48" s="2560" t="s">
        <v>2283</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3" t="s">
        <v>1236</v>
      </c>
      <c r="B49" s="110">
        <v>5.0000000000000001E-4</v>
      </c>
      <c r="C49" s="2560" t="s">
        <v>2285</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8" t="s">
        <v>1237</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1" t="s">
        <v>1238</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8" t="s">
        <v>1239</v>
      </c>
      <c r="B52" s="117">
        <f>SUMIF(A54:A63,B53,B54:B63)</f>
        <v>30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0" t="s">
        <v>1240</v>
      </c>
      <c r="B53" s="1609" t="s">
        <v>144</v>
      </c>
      <c r="C53" s="2436" t="s">
        <v>1241</v>
      </c>
      <c r="D53" s="2562" t="s">
        <v>2289</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0" t="s">
        <v>1242</v>
      </c>
      <c r="B54" s="72">
        <v>30</v>
      </c>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0" t="s">
        <v>1243</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0" t="s">
        <v>1244</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0" t="s">
        <v>1245</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0" t="s">
        <v>1246</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0" t="s">
        <v>1247</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0" t="s">
        <v>1248</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0" t="s">
        <v>1249</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0" t="s">
        <v>1250</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1" t="s">
        <v>1251</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49" customWidth="1"/>
    <col min="19" max="29" width="9" style="749"/>
    <col min="30" max="16384" width="9" style="1520"/>
  </cols>
  <sheetData>
    <row r="1" spans="1:29" s="2257" customFormat="1" ht="18.75" thickBot="1">
      <c r="A1" s="3272" t="s">
        <v>2272</v>
      </c>
      <c r="B1" s="3273"/>
      <c r="C1" s="3273"/>
      <c r="D1" s="3273"/>
      <c r="E1" s="3273"/>
      <c r="F1" s="3273"/>
      <c r="G1" s="327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2269</v>
      </c>
      <c r="D2" s="1593"/>
      <c r="E2" s="2258"/>
      <c r="F2" s="2261"/>
      <c r="G2" s="2260" t="s">
        <v>2270</v>
      </c>
      <c r="H2" s="749"/>
      <c r="I2" s="749"/>
      <c r="J2" s="749"/>
      <c r="K2" s="749"/>
      <c r="L2" s="749"/>
      <c r="M2" s="749"/>
      <c r="N2" s="749"/>
      <c r="O2" s="749"/>
      <c r="P2" s="749"/>
      <c r="Q2" s="749"/>
    </row>
    <row r="3" spans="1:29" ht="24">
      <c r="A3" s="2245" t="s">
        <v>2271</v>
      </c>
      <c r="B3" s="2262" t="s">
        <v>2247</v>
      </c>
      <c r="C3" s="2263"/>
      <c r="D3" s="2264"/>
      <c r="E3" s="2246" t="s">
        <v>2271</v>
      </c>
      <c r="F3" s="2265" t="s">
        <v>2248</v>
      </c>
      <c r="G3" s="2266"/>
      <c r="H3" s="749"/>
      <c r="I3" s="749"/>
      <c r="J3" s="749"/>
      <c r="K3" s="749"/>
      <c r="L3" s="749"/>
      <c r="M3" s="749"/>
      <c r="N3" s="749"/>
      <c r="O3" s="749"/>
      <c r="P3" s="749"/>
      <c r="Q3" s="749"/>
    </row>
    <row r="4" spans="1:29">
      <c r="A4" s="2246"/>
      <c r="B4" s="315" t="s">
        <v>2249</v>
      </c>
      <c r="C4" s="2267"/>
      <c r="D4" s="2264"/>
      <c r="E4" s="2268"/>
      <c r="F4" s="1279" t="s">
        <v>2250</v>
      </c>
      <c r="G4" s="2269"/>
      <c r="H4" s="749"/>
      <c r="I4" s="749"/>
      <c r="J4" s="749"/>
      <c r="K4" s="749"/>
      <c r="L4" s="749"/>
      <c r="M4" s="749"/>
      <c r="N4" s="749"/>
      <c r="O4" s="749"/>
      <c r="P4" s="749"/>
      <c r="Q4" s="749"/>
    </row>
    <row r="5" spans="1:29">
      <c r="A5" s="2246"/>
      <c r="B5" s="315" t="s">
        <v>2251</v>
      </c>
      <c r="C5" s="2267"/>
      <c r="D5" s="2264"/>
      <c r="E5" s="2268"/>
      <c r="F5" s="315" t="s">
        <v>2252</v>
      </c>
      <c r="G5" s="2269"/>
      <c r="H5" s="749"/>
      <c r="I5" s="749"/>
      <c r="J5" s="749"/>
      <c r="K5" s="749"/>
      <c r="L5" s="749"/>
      <c r="M5" s="749"/>
      <c r="N5" s="749"/>
      <c r="O5" s="749"/>
      <c r="P5" s="749"/>
      <c r="Q5" s="749"/>
    </row>
    <row r="6" spans="1:29">
      <c r="A6" s="2246"/>
      <c r="B6" s="315" t="s">
        <v>2253</v>
      </c>
      <c r="C6" s="2269"/>
      <c r="D6" s="2264"/>
      <c r="E6" s="2268"/>
      <c r="F6" s="315" t="s">
        <v>2254</v>
      </c>
      <c r="G6" s="2269"/>
      <c r="H6" s="749"/>
      <c r="I6" s="749"/>
      <c r="J6" s="749"/>
      <c r="K6" s="749"/>
      <c r="L6" s="749"/>
      <c r="M6" s="749"/>
      <c r="N6" s="749"/>
      <c r="O6" s="749"/>
      <c r="P6" s="749"/>
      <c r="Q6" s="749"/>
    </row>
    <row r="7" spans="1:29" ht="15" thickBot="1">
      <c r="A7" s="2246"/>
      <c r="B7" s="315" t="s">
        <v>2252</v>
      </c>
      <c r="C7" s="2269"/>
      <c r="D7" s="2243"/>
      <c r="E7" s="2270"/>
      <c r="F7" s="2271" t="s">
        <v>2255</v>
      </c>
      <c r="G7" s="2272"/>
      <c r="H7" s="749"/>
      <c r="I7" s="749"/>
      <c r="J7" s="749"/>
      <c r="K7" s="749"/>
      <c r="L7" s="749"/>
      <c r="M7" s="749"/>
      <c r="N7" s="749"/>
      <c r="O7" s="749"/>
      <c r="P7" s="749"/>
      <c r="Q7" s="749"/>
    </row>
    <row r="8" spans="1:29">
      <c r="A8" s="2246"/>
      <c r="B8" s="315" t="s">
        <v>2254</v>
      </c>
      <c r="C8" s="2269"/>
      <c r="D8" s="2243"/>
      <c r="E8" s="2243"/>
      <c r="F8" s="121"/>
      <c r="G8" s="121"/>
      <c r="H8" s="749"/>
      <c r="I8" s="749"/>
      <c r="J8" s="749"/>
      <c r="K8" s="749"/>
      <c r="L8" s="749"/>
      <c r="M8" s="749"/>
      <c r="N8" s="749"/>
      <c r="O8" s="749"/>
      <c r="P8" s="749"/>
      <c r="Q8" s="749"/>
    </row>
    <row r="9" spans="1:29">
      <c r="A9" s="2246"/>
      <c r="B9" s="315" t="s">
        <v>2256</v>
      </c>
      <c r="C9" s="2267"/>
      <c r="D9" s="2264"/>
      <c r="E9" s="2243"/>
      <c r="F9" s="121"/>
      <c r="G9" s="121"/>
      <c r="H9" s="749"/>
      <c r="I9" s="749"/>
      <c r="J9" s="749"/>
      <c r="K9" s="749"/>
      <c r="L9" s="749"/>
      <c r="M9" s="749"/>
      <c r="N9" s="749"/>
      <c r="O9" s="749"/>
      <c r="P9" s="749"/>
      <c r="Q9" s="749"/>
    </row>
    <row r="10" spans="1:29" ht="15" thickBot="1">
      <c r="A10" s="2247"/>
      <c r="B10" s="2273" t="s">
        <v>2257</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2273</v>
      </c>
      <c r="B13" s="2278"/>
      <c r="C13" s="2278"/>
      <c r="D13" s="2277"/>
      <c r="E13" s="2278"/>
      <c r="F13" s="2278"/>
      <c r="G13" s="2278"/>
    </row>
    <row r="14" spans="1:29" ht="15" thickBot="1">
      <c r="A14" s="2283"/>
      <c r="B14" s="2283"/>
      <c r="C14" s="2284" t="s">
        <v>2258</v>
      </c>
      <c r="D14" s="2264"/>
      <c r="E14" s="2285"/>
      <c r="F14" s="2285"/>
      <c r="G14" s="2260" t="s">
        <v>2259</v>
      </c>
    </row>
    <row r="15" spans="1:29" ht="24">
      <c r="A15" s="2248" t="s">
        <v>2260</v>
      </c>
      <c r="B15" s="2286" t="s">
        <v>2247</v>
      </c>
      <c r="C15" s="2287">
        <f>C3</f>
        <v>0</v>
      </c>
      <c r="D15" s="2264"/>
      <c r="E15" s="2249" t="s">
        <v>2261</v>
      </c>
      <c r="F15" s="2286" t="s">
        <v>2262</v>
      </c>
      <c r="G15" s="2288">
        <f>G3</f>
        <v>0</v>
      </c>
    </row>
    <row r="16" spans="1:29">
      <c r="A16" s="2250"/>
      <c r="B16" s="2289" t="s">
        <v>2249</v>
      </c>
      <c r="C16" s="2290">
        <f>C4</f>
        <v>0</v>
      </c>
      <c r="D16" s="2264"/>
      <c r="E16" s="2251"/>
      <c r="F16" s="2291" t="s">
        <v>2250</v>
      </c>
      <c r="G16" s="2292">
        <f>G4</f>
        <v>0</v>
      </c>
    </row>
    <row r="17" spans="1:17">
      <c r="A17" s="2250"/>
      <c r="B17" s="2289" t="s">
        <v>2251</v>
      </c>
      <c r="C17" s="2290">
        <f>C5</f>
        <v>0</v>
      </c>
      <c r="D17" s="2243"/>
      <c r="E17" s="2251"/>
      <c r="F17" s="2291" t="s">
        <v>2263</v>
      </c>
      <c r="G17" s="2293"/>
    </row>
    <row r="18" spans="1:17">
      <c r="A18" s="2250"/>
      <c r="B18" s="2291" t="s">
        <v>2253</v>
      </c>
      <c r="C18" s="2292">
        <f>C6</f>
        <v>0</v>
      </c>
      <c r="D18" s="2243"/>
      <c r="E18" s="2251"/>
      <c r="F18" s="2291" t="s">
        <v>2255</v>
      </c>
      <c r="G18" s="2292">
        <f>G7</f>
        <v>0</v>
      </c>
    </row>
    <row r="19" spans="1:17">
      <c r="A19" s="2250"/>
      <c r="B19" s="2291" t="s">
        <v>2264</v>
      </c>
      <c r="C19" s="2293"/>
      <c r="D19" s="2264"/>
      <c r="E19" s="2251"/>
      <c r="F19" s="315" t="s">
        <v>2252</v>
      </c>
      <c r="G19" s="2292">
        <f>G5</f>
        <v>0</v>
      </c>
    </row>
    <row r="20" spans="1:17">
      <c r="A20" s="2250"/>
      <c r="B20" s="2291" t="s">
        <v>2265</v>
      </c>
      <c r="C20" s="2290">
        <f>C9</f>
        <v>0</v>
      </c>
      <c r="D20" s="2243"/>
      <c r="E20" s="2251"/>
      <c r="F20" s="315" t="s">
        <v>2254</v>
      </c>
      <c r="G20" s="2292">
        <f>G6</f>
        <v>0</v>
      </c>
    </row>
    <row r="21" spans="1:17">
      <c r="A21" s="2250"/>
      <c r="B21" s="315" t="s">
        <v>2252</v>
      </c>
      <c r="C21" s="2292">
        <f>C7</f>
        <v>0</v>
      </c>
      <c r="D21" s="2264"/>
      <c r="E21" s="2251"/>
      <c r="F21" s="2291" t="s">
        <v>2266</v>
      </c>
      <c r="G21" s="2294"/>
    </row>
    <row r="22" spans="1:17" ht="13.5" customHeight="1">
      <c r="A22" s="2250"/>
      <c r="B22" s="315" t="s">
        <v>2254</v>
      </c>
      <c r="C22" s="2292">
        <f>C8</f>
        <v>0</v>
      </c>
      <c r="D22" s="2264"/>
      <c r="E22" s="2251"/>
      <c r="F22" s="2291" t="s">
        <v>2257</v>
      </c>
      <c r="G22" s="2293"/>
    </row>
    <row r="23" spans="1:17" s="749" customFormat="1" ht="15" thickBot="1">
      <c r="A23" s="2250"/>
      <c r="B23" s="2291" t="s">
        <v>2266</v>
      </c>
      <c r="C23" s="2294"/>
      <c r="D23" s="1612"/>
      <c r="E23" s="2252"/>
      <c r="F23" s="2295" t="s">
        <v>2267</v>
      </c>
      <c r="G23" s="2296"/>
      <c r="H23" s="2275"/>
      <c r="I23" s="2275"/>
      <c r="J23" s="2275"/>
      <c r="K23" s="2275"/>
      <c r="L23" s="2275"/>
      <c r="M23" s="2275"/>
      <c r="N23" s="2275"/>
      <c r="O23" s="2275"/>
      <c r="P23" s="2275"/>
      <c r="Q23" s="2275"/>
    </row>
    <row r="24" spans="1:17" s="749" customFormat="1" ht="15" thickBot="1">
      <c r="A24" s="2253"/>
      <c r="B24" s="2295" t="s">
        <v>2268</v>
      </c>
      <c r="C24" s="2297">
        <f>C10</f>
        <v>0</v>
      </c>
      <c r="D24" s="1612"/>
      <c r="E24" s="2243"/>
      <c r="F24" s="2243"/>
      <c r="G24" s="2243"/>
      <c r="H24" s="2275"/>
      <c r="I24" s="2275"/>
      <c r="J24" s="2275"/>
      <c r="K24" s="2275"/>
      <c r="L24" s="2275"/>
      <c r="M24" s="2275"/>
      <c r="N24" s="2275"/>
      <c r="O24" s="2275"/>
      <c r="P24" s="2275"/>
      <c r="Q24" s="2275"/>
    </row>
    <row r="25" spans="1:17" s="749" customFormat="1">
      <c r="B25" s="2275"/>
      <c r="C25" s="2275"/>
      <c r="D25" s="2275"/>
      <c r="H25" s="2275"/>
      <c r="I25" s="2275"/>
      <c r="J25" s="2275"/>
      <c r="K25" s="2275"/>
      <c r="L25" s="2275"/>
      <c r="M25" s="2275"/>
      <c r="N25" s="2275"/>
      <c r="O25" s="2275"/>
      <c r="P25" s="2275"/>
      <c r="Q25" s="2275"/>
    </row>
    <row r="26" spans="1:17" s="749" customFormat="1">
      <c r="B26" s="2275"/>
      <c r="C26" s="2275"/>
      <c r="D26" s="2275"/>
      <c r="H26" s="2275"/>
      <c r="I26" s="2275"/>
      <c r="J26" s="2275"/>
      <c r="K26" s="2275"/>
      <c r="L26" s="2275"/>
      <c r="M26" s="2275"/>
      <c r="N26" s="2275"/>
      <c r="O26" s="2275"/>
      <c r="P26" s="2275"/>
      <c r="Q26" s="2275"/>
    </row>
    <row r="27" spans="1:17" s="749" customFormat="1">
      <c r="B27" s="2275"/>
      <c r="C27" s="2275"/>
      <c r="D27" s="2275"/>
      <c r="H27" s="2275"/>
      <c r="I27" s="2275"/>
      <c r="J27" s="2275"/>
      <c r="K27" s="2275"/>
      <c r="L27" s="2275"/>
      <c r="M27" s="2275"/>
      <c r="N27" s="2275"/>
      <c r="O27" s="2275"/>
      <c r="P27" s="2275"/>
      <c r="Q27" s="2275"/>
    </row>
    <row r="28" spans="1:17" s="749" customFormat="1">
      <c r="B28" s="2275"/>
      <c r="C28" s="2275"/>
      <c r="D28" s="2275"/>
      <c r="H28" s="2275"/>
      <c r="I28" s="2275"/>
      <c r="J28" s="2275"/>
      <c r="K28" s="2275"/>
      <c r="L28" s="2275"/>
      <c r="M28" s="2275"/>
      <c r="N28" s="2275"/>
      <c r="O28" s="2275"/>
      <c r="P28" s="2275"/>
      <c r="Q28" s="2275"/>
    </row>
    <row r="29" spans="1:17" s="749" customFormat="1">
      <c r="B29" s="2275"/>
      <c r="C29" s="2275"/>
      <c r="D29" s="2275"/>
      <c r="H29" s="2275"/>
      <c r="I29" s="2275"/>
      <c r="J29" s="2275"/>
      <c r="K29" s="2275"/>
      <c r="L29" s="2275"/>
      <c r="M29" s="2275"/>
      <c r="N29" s="2275"/>
      <c r="O29" s="2275"/>
      <c r="P29" s="2275"/>
      <c r="Q29" s="2275"/>
    </row>
    <row r="30" spans="1:17" s="749" customFormat="1">
      <c r="B30" s="2275"/>
      <c r="C30" s="2275"/>
      <c r="D30" s="2275"/>
      <c r="H30" s="2275"/>
      <c r="I30" s="2275"/>
      <c r="J30" s="2275"/>
      <c r="K30" s="2275"/>
      <c r="L30" s="2275"/>
      <c r="M30" s="2275"/>
      <c r="N30" s="2275"/>
      <c r="O30" s="2275"/>
      <c r="P30" s="2275"/>
      <c r="Q30" s="2275"/>
    </row>
    <row r="31" spans="1:17" s="749" customFormat="1">
      <c r="B31" s="2275"/>
      <c r="C31" s="2275"/>
      <c r="D31" s="2275"/>
      <c r="H31" s="2275"/>
      <c r="I31" s="2275"/>
      <c r="J31" s="2275"/>
      <c r="K31" s="2275"/>
      <c r="L31" s="2275"/>
      <c r="M31" s="2275"/>
      <c r="N31" s="2275"/>
      <c r="O31" s="2275"/>
      <c r="P31" s="2275"/>
      <c r="Q31" s="2275"/>
    </row>
    <row r="32" spans="1:17" s="749" customFormat="1">
      <c r="B32" s="2275"/>
      <c r="C32" s="2275"/>
      <c r="D32" s="2275"/>
      <c r="H32" s="2275"/>
      <c r="I32" s="2275"/>
      <c r="J32" s="2275"/>
      <c r="K32" s="2275"/>
      <c r="L32" s="2275"/>
      <c r="M32" s="2275"/>
      <c r="N32" s="2275"/>
      <c r="O32" s="2275"/>
      <c r="P32" s="2275"/>
      <c r="Q32" s="2275"/>
    </row>
    <row r="33" spans="2:17" s="749" customFormat="1">
      <c r="B33" s="2275"/>
      <c r="C33" s="2275"/>
      <c r="D33" s="2275"/>
      <c r="H33" s="2275"/>
      <c r="I33" s="2275"/>
      <c r="J33" s="2275"/>
      <c r="K33" s="2275"/>
      <c r="L33" s="2275"/>
      <c r="M33" s="2275"/>
      <c r="N33" s="2275"/>
      <c r="O33" s="2275"/>
      <c r="P33" s="2275"/>
      <c r="Q33" s="2275"/>
    </row>
    <row r="34" spans="2:17" s="749" customFormat="1">
      <c r="B34" s="2275"/>
      <c r="C34" s="2275"/>
      <c r="D34" s="2275"/>
      <c r="H34" s="2275"/>
      <c r="I34" s="2275"/>
      <c r="J34" s="2275"/>
      <c r="K34" s="2275"/>
      <c r="L34" s="2275"/>
      <c r="M34" s="2275"/>
      <c r="N34" s="2275"/>
      <c r="O34" s="2275"/>
      <c r="P34" s="2275"/>
      <c r="Q34" s="2275"/>
    </row>
    <row r="35" spans="2:17" s="749" customFormat="1">
      <c r="B35" s="2275"/>
      <c r="C35" s="2275"/>
      <c r="D35" s="2275"/>
      <c r="H35" s="2275"/>
      <c r="I35" s="2275"/>
      <c r="J35" s="2275"/>
      <c r="K35" s="2275"/>
      <c r="L35" s="2275"/>
      <c r="M35" s="2275"/>
      <c r="N35" s="2275"/>
      <c r="O35" s="2275"/>
      <c r="P35" s="2275"/>
      <c r="Q35" s="2275"/>
    </row>
    <row r="36" spans="2:17" s="749" customFormat="1">
      <c r="B36" s="2275"/>
      <c r="C36" s="2275"/>
      <c r="D36" s="2275"/>
      <c r="H36" s="2275"/>
      <c r="I36" s="2275"/>
      <c r="J36" s="2275"/>
      <c r="K36" s="2275"/>
      <c r="L36" s="2275"/>
      <c r="M36" s="2275"/>
      <c r="N36" s="2275"/>
      <c r="O36" s="2275"/>
      <c r="P36" s="2275"/>
      <c r="Q36" s="2275"/>
    </row>
    <row r="37" spans="2:17" s="749" customFormat="1">
      <c r="B37" s="2275"/>
      <c r="C37" s="2275"/>
      <c r="D37" s="2275"/>
      <c r="H37" s="2275"/>
      <c r="I37" s="2275"/>
      <c r="J37" s="2275"/>
      <c r="K37" s="2275"/>
      <c r="L37" s="2275"/>
      <c r="M37" s="2275"/>
      <c r="N37" s="2275"/>
      <c r="O37" s="2275"/>
      <c r="P37" s="2275"/>
      <c r="Q37" s="2275"/>
    </row>
    <row r="38" spans="2:17" s="749" customFormat="1">
      <c r="B38" s="2275"/>
      <c r="C38" s="2275"/>
      <c r="D38" s="2275"/>
      <c r="E38" s="2275"/>
      <c r="F38" s="2275"/>
      <c r="G38" s="2275"/>
      <c r="H38" s="2275"/>
      <c r="I38" s="2275"/>
      <c r="J38" s="2275"/>
      <c r="K38" s="2275"/>
      <c r="L38" s="2275"/>
      <c r="M38" s="2275"/>
      <c r="N38" s="2275"/>
      <c r="O38" s="2275"/>
      <c r="P38" s="2275"/>
      <c r="Q38" s="2275"/>
    </row>
    <row r="39" spans="2:17" s="749" customFormat="1">
      <c r="B39" s="2275"/>
      <c r="C39" s="2275"/>
      <c r="D39" s="2275"/>
      <c r="E39" s="2275"/>
      <c r="F39" s="2275"/>
      <c r="G39" s="2275"/>
      <c r="H39" s="2275"/>
      <c r="I39" s="2275"/>
      <c r="J39" s="2275"/>
      <c r="K39" s="2275"/>
      <c r="L39" s="2275"/>
      <c r="M39" s="2275"/>
      <c r="N39" s="2275"/>
      <c r="O39" s="2275"/>
      <c r="P39" s="2275"/>
      <c r="Q39" s="2275"/>
    </row>
    <row r="40" spans="2:17" s="749" customFormat="1">
      <c r="B40" s="2275"/>
      <c r="C40" s="2275"/>
      <c r="D40" s="2275"/>
      <c r="E40" s="2275"/>
      <c r="F40" s="2275"/>
      <c r="G40" s="2275"/>
      <c r="H40" s="2275"/>
      <c r="I40" s="2275"/>
      <c r="J40" s="2275"/>
      <c r="K40" s="2275"/>
      <c r="L40" s="2275"/>
      <c r="M40" s="2275"/>
      <c r="N40" s="2275"/>
      <c r="O40" s="2275"/>
      <c r="P40" s="2275"/>
      <c r="Q40" s="2275"/>
    </row>
    <row r="41" spans="2:17" s="749" customFormat="1">
      <c r="B41" s="2275"/>
      <c r="C41" s="2275"/>
      <c r="D41" s="2275"/>
      <c r="E41" s="2275"/>
      <c r="F41" s="2275"/>
      <c r="G41" s="2275"/>
      <c r="H41" s="2275"/>
      <c r="I41" s="2275"/>
      <c r="J41" s="2275"/>
      <c r="K41" s="2275"/>
      <c r="L41" s="2275"/>
      <c r="M41" s="2275"/>
      <c r="N41" s="2275"/>
      <c r="O41" s="2275"/>
      <c r="P41" s="2275"/>
      <c r="Q41" s="2275"/>
    </row>
    <row r="42" spans="2:17" s="749" customFormat="1">
      <c r="B42" s="2275"/>
      <c r="C42" s="2275"/>
      <c r="D42" s="2275"/>
      <c r="E42" s="2275"/>
      <c r="F42" s="2275"/>
      <c r="G42" s="2275"/>
      <c r="H42" s="2275"/>
      <c r="I42" s="2275"/>
      <c r="J42" s="2275"/>
      <c r="K42" s="2275"/>
      <c r="L42" s="2275"/>
      <c r="M42" s="2275"/>
      <c r="N42" s="2275"/>
      <c r="O42" s="2275"/>
      <c r="P42" s="2275"/>
      <c r="Q42" s="2275"/>
    </row>
    <row r="43" spans="2:17" s="749" customFormat="1">
      <c r="B43" s="2275"/>
      <c r="C43" s="2275"/>
      <c r="D43" s="2275"/>
      <c r="E43" s="2275"/>
      <c r="F43" s="2275"/>
      <c r="G43" s="2275"/>
      <c r="H43" s="2275"/>
      <c r="I43" s="2275"/>
      <c r="J43" s="2275"/>
      <c r="K43" s="2275"/>
      <c r="L43" s="2275"/>
      <c r="M43" s="2275"/>
      <c r="N43" s="2275"/>
      <c r="O43" s="2275"/>
      <c r="P43" s="2275"/>
      <c r="Q43" s="2275"/>
    </row>
    <row r="44" spans="2:17" s="749" customFormat="1">
      <c r="B44" s="2275"/>
      <c r="C44" s="2275"/>
      <c r="D44" s="2275"/>
      <c r="E44" s="2275"/>
      <c r="F44" s="2275"/>
      <c r="G44" s="2275"/>
      <c r="H44" s="2275"/>
      <c r="I44" s="2275"/>
      <c r="J44" s="2275"/>
      <c r="K44" s="2275"/>
      <c r="L44" s="2275"/>
      <c r="M44" s="2275"/>
      <c r="N44" s="2275"/>
      <c r="O44" s="2275"/>
      <c r="P44" s="2275"/>
      <c r="Q44" s="2275"/>
    </row>
    <row r="45" spans="2:17" s="749" customFormat="1">
      <c r="B45" s="2275"/>
      <c r="C45" s="2275"/>
      <c r="D45" s="2275"/>
      <c r="E45" s="2275"/>
      <c r="F45" s="2275"/>
      <c r="G45" s="2275"/>
      <c r="H45" s="2275"/>
      <c r="I45" s="2275"/>
      <c r="J45" s="2275"/>
      <c r="K45" s="2275"/>
      <c r="L45" s="2275"/>
      <c r="M45" s="2275"/>
      <c r="N45" s="2275"/>
      <c r="O45" s="2275"/>
      <c r="P45" s="2275"/>
      <c r="Q45" s="2275"/>
    </row>
    <row r="46" spans="2:17" s="749" customFormat="1">
      <c r="B46" s="2275"/>
      <c r="C46" s="2275"/>
      <c r="D46" s="2275"/>
      <c r="E46" s="2275"/>
      <c r="F46" s="2275"/>
      <c r="G46" s="2275"/>
      <c r="H46" s="2275"/>
      <c r="I46" s="2275"/>
      <c r="J46" s="2275"/>
      <c r="K46" s="2275"/>
      <c r="L46" s="2275"/>
      <c r="M46" s="2275"/>
      <c r="N46" s="2275"/>
      <c r="O46" s="2275"/>
      <c r="P46" s="2275"/>
      <c r="Q46" s="2275"/>
    </row>
    <row r="47" spans="2:17" s="749" customFormat="1">
      <c r="B47" s="2275"/>
      <c r="C47" s="2275"/>
      <c r="D47" s="2275"/>
      <c r="E47" s="2275"/>
      <c r="F47" s="2275"/>
      <c r="G47" s="2275"/>
      <c r="H47" s="2275"/>
      <c r="I47" s="2275"/>
      <c r="J47" s="2275"/>
      <c r="K47" s="2275"/>
      <c r="L47" s="2275"/>
      <c r="M47" s="2275"/>
      <c r="N47" s="2275"/>
      <c r="O47" s="2275"/>
      <c r="P47" s="2275"/>
      <c r="Q47" s="2275"/>
    </row>
    <row r="48" spans="2:17" s="749" customFormat="1">
      <c r="B48" s="2275"/>
      <c r="C48" s="2275"/>
      <c r="D48" s="2275"/>
      <c r="E48" s="2275"/>
      <c r="F48" s="2275"/>
      <c r="G48" s="2275"/>
      <c r="H48" s="2275"/>
      <c r="I48" s="2275"/>
      <c r="J48" s="2275"/>
      <c r="K48" s="2275"/>
      <c r="L48" s="2275"/>
      <c r="M48" s="2275"/>
      <c r="N48" s="2275"/>
      <c r="O48" s="2275"/>
      <c r="P48" s="2275"/>
      <c r="Q48" s="2275"/>
    </row>
    <row r="49" spans="2:17" s="749" customFormat="1">
      <c r="B49" s="2275"/>
      <c r="C49" s="2275"/>
      <c r="D49" s="2275"/>
      <c r="E49" s="2275"/>
      <c r="F49" s="2275"/>
      <c r="G49" s="2275"/>
      <c r="H49" s="2275"/>
      <c r="I49" s="2275"/>
      <c r="J49" s="2275"/>
      <c r="K49" s="2275"/>
      <c r="L49" s="2275"/>
      <c r="M49" s="2275"/>
      <c r="N49" s="2275"/>
      <c r="O49" s="2275"/>
      <c r="P49" s="2275"/>
      <c r="Q49" s="2275"/>
    </row>
    <row r="50" spans="2:17" s="749" customFormat="1">
      <c r="B50" s="2275"/>
      <c r="C50" s="2275"/>
      <c r="D50" s="2275"/>
      <c r="E50" s="2275"/>
      <c r="F50" s="2275"/>
      <c r="G50" s="2275"/>
      <c r="H50" s="2275"/>
      <c r="I50" s="2275"/>
      <c r="J50" s="2275"/>
      <c r="K50" s="2275"/>
      <c r="L50" s="2275"/>
      <c r="M50" s="2275"/>
      <c r="N50" s="2275"/>
      <c r="O50" s="2275"/>
      <c r="P50" s="2275"/>
      <c r="Q50" s="2275"/>
    </row>
    <row r="51" spans="2:17" s="749" customFormat="1">
      <c r="B51" s="2275"/>
      <c r="C51" s="2275"/>
      <c r="D51" s="2275"/>
      <c r="E51" s="2275"/>
      <c r="F51" s="2275"/>
      <c r="G51" s="2275"/>
      <c r="H51" s="2275"/>
      <c r="I51" s="2275"/>
      <c r="J51" s="2275"/>
      <c r="K51" s="2275"/>
      <c r="L51" s="2275"/>
      <c r="M51" s="2275"/>
      <c r="N51" s="2275"/>
      <c r="O51" s="2275"/>
      <c r="P51" s="2275"/>
      <c r="Q51" s="2275"/>
    </row>
    <row r="52" spans="2:17" s="749" customFormat="1">
      <c r="B52" s="2275"/>
      <c r="C52" s="2275"/>
      <c r="D52" s="2275"/>
      <c r="E52" s="2275"/>
      <c r="F52" s="2275"/>
      <c r="G52" s="2275"/>
      <c r="H52" s="2275"/>
      <c r="I52" s="2275"/>
      <c r="J52" s="2275"/>
      <c r="K52" s="2275"/>
      <c r="L52" s="2275"/>
      <c r="M52" s="2275"/>
      <c r="N52" s="2275"/>
      <c r="O52" s="2275"/>
      <c r="P52" s="2275"/>
      <c r="Q52" s="2275"/>
    </row>
    <row r="53" spans="2:17" s="749" customFormat="1">
      <c r="B53" s="2275"/>
      <c r="C53" s="2275"/>
      <c r="D53" s="2275"/>
      <c r="E53" s="2275"/>
      <c r="F53" s="2275"/>
      <c r="G53" s="2275"/>
      <c r="H53" s="2275"/>
      <c r="I53" s="2275"/>
      <c r="J53" s="2275"/>
      <c r="K53" s="2275"/>
      <c r="L53" s="2275"/>
      <c r="M53" s="2275"/>
      <c r="N53" s="2275"/>
      <c r="O53" s="2275"/>
      <c r="P53" s="2275"/>
      <c r="Q53" s="2275"/>
    </row>
    <row r="54" spans="2:17" s="749" customFormat="1">
      <c r="B54" s="2275"/>
      <c r="C54" s="2275"/>
      <c r="D54" s="2275"/>
      <c r="E54" s="2275"/>
      <c r="F54" s="2275"/>
      <c r="G54" s="2275"/>
      <c r="H54" s="2275"/>
      <c r="I54" s="2275"/>
      <c r="J54" s="2275"/>
      <c r="K54" s="2275"/>
      <c r="L54" s="2275"/>
      <c r="M54" s="2275"/>
      <c r="N54" s="2275"/>
      <c r="O54" s="2275"/>
      <c r="P54" s="2275"/>
      <c r="Q54" s="2275"/>
    </row>
    <row r="55" spans="2:17" s="749" customFormat="1">
      <c r="B55" s="2275"/>
      <c r="C55" s="2275"/>
      <c r="D55" s="2275"/>
      <c r="E55" s="2275"/>
      <c r="F55" s="2275"/>
      <c r="G55" s="2275"/>
      <c r="H55" s="2275"/>
      <c r="I55" s="2275"/>
      <c r="J55" s="2275"/>
      <c r="K55" s="2275"/>
      <c r="L55" s="2275"/>
      <c r="M55" s="2275"/>
      <c r="N55" s="2275"/>
      <c r="O55" s="2275"/>
      <c r="P55" s="2275"/>
      <c r="Q55" s="2275"/>
    </row>
    <row r="56" spans="2:17" s="749" customFormat="1">
      <c r="B56" s="2275"/>
      <c r="C56" s="2275"/>
      <c r="D56" s="2275"/>
      <c r="E56" s="2275"/>
      <c r="F56" s="2275"/>
      <c r="G56" s="2275"/>
      <c r="H56" s="2275"/>
      <c r="I56" s="2275"/>
      <c r="J56" s="2275"/>
      <c r="K56" s="2275"/>
      <c r="L56" s="2275"/>
      <c r="M56" s="2275"/>
      <c r="N56" s="2275"/>
      <c r="O56" s="2275"/>
      <c r="P56" s="2275"/>
      <c r="Q56" s="2275"/>
    </row>
    <row r="57" spans="2:17" s="749" customFormat="1">
      <c r="B57" s="2275"/>
      <c r="C57" s="2275"/>
      <c r="D57" s="2275"/>
      <c r="E57" s="2275"/>
      <c r="F57" s="2275"/>
      <c r="G57" s="2275"/>
      <c r="H57" s="2275"/>
      <c r="I57" s="2275"/>
      <c r="J57" s="2275"/>
      <c r="K57" s="2275"/>
      <c r="L57" s="2275"/>
      <c r="M57" s="2275"/>
      <c r="N57" s="2275"/>
      <c r="O57" s="2275"/>
      <c r="P57" s="2275"/>
      <c r="Q57" s="2275"/>
    </row>
    <row r="58" spans="2:17" s="749" customFormat="1">
      <c r="B58" s="2275"/>
      <c r="C58" s="2275"/>
      <c r="D58" s="2275"/>
      <c r="E58" s="2275"/>
      <c r="F58" s="2275"/>
      <c r="G58" s="2275"/>
      <c r="H58" s="2275"/>
      <c r="I58" s="2275"/>
      <c r="J58" s="2275"/>
      <c r="K58" s="2275"/>
      <c r="L58" s="2275"/>
      <c r="M58" s="2275"/>
      <c r="N58" s="2275"/>
      <c r="O58" s="2275"/>
      <c r="P58" s="2275"/>
      <c r="Q58" s="2275"/>
    </row>
    <row r="59" spans="2:17" s="749" customFormat="1">
      <c r="B59" s="2275"/>
      <c r="C59" s="2275"/>
      <c r="D59" s="2275"/>
      <c r="E59" s="2275"/>
      <c r="F59" s="2275"/>
      <c r="G59" s="2275"/>
      <c r="H59" s="2275"/>
      <c r="I59" s="2275"/>
      <c r="J59" s="2275"/>
      <c r="K59" s="2275"/>
      <c r="L59" s="2275"/>
      <c r="M59" s="2275"/>
      <c r="N59" s="2275"/>
      <c r="O59" s="2275"/>
      <c r="P59" s="2275"/>
      <c r="Q59" s="2275"/>
    </row>
    <row r="60" spans="2:17" s="749" customFormat="1">
      <c r="B60" s="2275"/>
      <c r="C60" s="2275"/>
      <c r="D60" s="2275"/>
      <c r="E60" s="2275"/>
      <c r="F60" s="2275"/>
      <c r="G60" s="2275"/>
      <c r="H60" s="2275"/>
      <c r="I60" s="2275"/>
      <c r="J60" s="2275"/>
      <c r="K60" s="2275"/>
      <c r="L60" s="2275"/>
      <c r="M60" s="2275"/>
      <c r="N60" s="2275"/>
      <c r="O60" s="2275"/>
      <c r="P60" s="2275"/>
      <c r="Q60" s="2275"/>
    </row>
    <row r="61" spans="2:17" s="749" customFormat="1">
      <c r="B61" s="2275"/>
      <c r="C61" s="2275"/>
      <c r="D61" s="2275"/>
      <c r="E61" s="2275"/>
      <c r="F61" s="2275"/>
      <c r="G61" s="2275"/>
      <c r="H61" s="2275"/>
      <c r="I61" s="2275"/>
      <c r="J61" s="2275"/>
      <c r="K61" s="2275"/>
      <c r="L61" s="2275"/>
      <c r="M61" s="2275"/>
      <c r="N61" s="2275"/>
      <c r="O61" s="2275"/>
      <c r="P61" s="2275"/>
      <c r="Q61" s="2275"/>
    </row>
    <row r="62" spans="2:17" s="749" customFormat="1">
      <c r="B62" s="2275"/>
      <c r="C62" s="2275"/>
      <c r="D62" s="2275"/>
      <c r="E62" s="2275"/>
      <c r="F62" s="2275"/>
      <c r="G62" s="2275"/>
      <c r="H62" s="2275"/>
      <c r="I62" s="2275"/>
      <c r="J62" s="2275"/>
      <c r="K62" s="2275"/>
      <c r="L62" s="2275"/>
      <c r="M62" s="2275"/>
      <c r="N62" s="2275"/>
      <c r="O62" s="2275"/>
      <c r="P62" s="2275"/>
      <c r="Q62" s="2275"/>
    </row>
    <row r="63" spans="2:17" s="749" customFormat="1">
      <c r="B63" s="2275"/>
      <c r="C63" s="2275"/>
      <c r="D63" s="2275"/>
      <c r="E63" s="2275"/>
      <c r="F63" s="2275"/>
      <c r="G63" s="2275"/>
      <c r="H63" s="2275"/>
      <c r="I63" s="2275"/>
      <c r="J63" s="2275"/>
      <c r="K63" s="2275"/>
      <c r="L63" s="2275"/>
      <c r="M63" s="2275"/>
      <c r="N63" s="2275"/>
      <c r="O63" s="2275"/>
      <c r="P63" s="2275"/>
      <c r="Q63" s="2275"/>
    </row>
    <row r="64" spans="2:17" s="749" customFormat="1">
      <c r="B64" s="2275"/>
      <c r="C64" s="2275"/>
      <c r="D64" s="2275"/>
      <c r="E64" s="2275"/>
      <c r="F64" s="2275"/>
      <c r="G64" s="2275"/>
      <c r="H64" s="2275"/>
      <c r="I64" s="2275"/>
      <c r="J64" s="2275"/>
      <c r="K64" s="2275"/>
      <c r="L64" s="2275"/>
      <c r="M64" s="2275"/>
      <c r="N64" s="2275"/>
      <c r="O64" s="2275"/>
      <c r="P64" s="2275"/>
      <c r="Q64" s="2275"/>
    </row>
    <row r="65" spans="2:17" s="749" customFormat="1">
      <c r="B65" s="2275"/>
      <c r="C65" s="2275"/>
      <c r="D65" s="2275"/>
      <c r="E65" s="2275"/>
      <c r="F65" s="2275"/>
      <c r="G65" s="2275"/>
      <c r="H65" s="2275"/>
      <c r="I65" s="2275"/>
      <c r="J65" s="2275"/>
      <c r="K65" s="2275"/>
      <c r="L65" s="2275"/>
      <c r="M65" s="2275"/>
      <c r="N65" s="2275"/>
      <c r="O65" s="2275"/>
      <c r="P65" s="2275"/>
      <c r="Q65" s="2275"/>
    </row>
    <row r="66" spans="2:17" s="749" customFormat="1">
      <c r="B66" s="2275"/>
      <c r="C66" s="2275"/>
      <c r="D66" s="2275"/>
      <c r="E66" s="2275"/>
      <c r="F66" s="2275"/>
      <c r="G66" s="2275"/>
      <c r="H66" s="2275"/>
      <c r="I66" s="2275"/>
      <c r="J66" s="2275"/>
      <c r="K66" s="2275"/>
      <c r="L66" s="2275"/>
      <c r="M66" s="2275"/>
      <c r="N66" s="2275"/>
      <c r="O66" s="2275"/>
      <c r="P66" s="2275"/>
      <c r="Q66" s="2275"/>
    </row>
    <row r="67" spans="2:17" s="749" customFormat="1">
      <c r="B67" s="2275"/>
      <c r="C67" s="2275"/>
      <c r="D67" s="2275"/>
      <c r="E67" s="2275"/>
      <c r="F67" s="2275"/>
      <c r="G67" s="2275"/>
      <c r="H67" s="2275"/>
      <c r="I67" s="2275"/>
      <c r="J67" s="2275"/>
      <c r="K67" s="2275"/>
      <c r="L67" s="2275"/>
      <c r="M67" s="2275"/>
      <c r="N67" s="2275"/>
      <c r="O67" s="2275"/>
      <c r="P67" s="2275"/>
      <c r="Q67" s="2275"/>
    </row>
    <row r="68" spans="2:17" s="749" customFormat="1">
      <c r="B68" s="2275"/>
      <c r="C68" s="2275"/>
      <c r="D68" s="2275"/>
      <c r="E68" s="2275"/>
      <c r="F68" s="2275"/>
      <c r="G68" s="2275"/>
      <c r="H68" s="2275"/>
      <c r="I68" s="2275"/>
      <c r="J68" s="2275"/>
      <c r="K68" s="2275"/>
      <c r="L68" s="2275"/>
      <c r="M68" s="2275"/>
      <c r="N68" s="2275"/>
      <c r="O68" s="2275"/>
      <c r="P68" s="2275"/>
      <c r="Q68" s="2275"/>
    </row>
    <row r="69" spans="2:17" s="749" customFormat="1">
      <c r="B69" s="2275"/>
      <c r="C69" s="2275"/>
      <c r="D69" s="2275"/>
      <c r="E69" s="2275"/>
      <c r="F69" s="2275"/>
      <c r="G69" s="2275"/>
      <c r="H69" s="2275"/>
      <c r="I69" s="2275"/>
      <c r="J69" s="2275"/>
      <c r="K69" s="2275"/>
      <c r="L69" s="2275"/>
      <c r="M69" s="2275"/>
      <c r="N69" s="2275"/>
      <c r="O69" s="2275"/>
      <c r="P69" s="2275"/>
      <c r="Q69" s="2275"/>
    </row>
    <row r="70" spans="2:17" s="749" customFormat="1">
      <c r="B70" s="2275"/>
      <c r="C70" s="2275"/>
      <c r="D70" s="2275"/>
      <c r="E70" s="2275"/>
      <c r="F70" s="2275"/>
      <c r="G70" s="2275"/>
      <c r="H70" s="2275"/>
      <c r="I70" s="2275"/>
      <c r="J70" s="2275"/>
      <c r="K70" s="2275"/>
      <c r="L70" s="2275"/>
      <c r="M70" s="2275"/>
      <c r="N70" s="2275"/>
      <c r="O70" s="2275"/>
      <c r="P70" s="2275"/>
      <c r="Q70" s="2275"/>
    </row>
    <row r="71" spans="2:17" s="749" customFormat="1">
      <c r="B71" s="2275"/>
      <c r="C71" s="2275"/>
      <c r="D71" s="2275"/>
      <c r="E71" s="2275"/>
      <c r="F71" s="2275"/>
      <c r="G71" s="2275"/>
      <c r="H71" s="2275"/>
      <c r="I71" s="2275"/>
      <c r="J71" s="2275"/>
      <c r="K71" s="2275"/>
      <c r="L71" s="2275"/>
      <c r="M71" s="2275"/>
      <c r="N71" s="2275"/>
      <c r="O71" s="2275"/>
      <c r="P71" s="2275"/>
      <c r="Q71" s="2275"/>
    </row>
    <row r="72" spans="2:17" s="749" customFormat="1">
      <c r="B72" s="2275"/>
      <c r="C72" s="2275"/>
      <c r="D72" s="2275"/>
      <c r="E72" s="2275"/>
      <c r="F72" s="2275"/>
      <c r="G72" s="2275"/>
      <c r="H72" s="2275"/>
      <c r="I72" s="2275"/>
      <c r="J72" s="2275"/>
      <c r="K72" s="2275"/>
      <c r="L72" s="2275"/>
      <c r="M72" s="2275"/>
      <c r="N72" s="2275"/>
      <c r="O72" s="2275"/>
      <c r="P72" s="2275"/>
      <c r="Q72" s="2275"/>
    </row>
    <row r="73" spans="2:17" s="749" customFormat="1">
      <c r="B73" s="2275"/>
      <c r="C73" s="2275"/>
      <c r="D73" s="2275"/>
      <c r="E73" s="2275"/>
      <c r="F73" s="2275"/>
      <c r="G73" s="2275"/>
      <c r="H73" s="2275"/>
      <c r="I73" s="2275"/>
      <c r="J73" s="2275"/>
      <c r="K73" s="2275"/>
      <c r="L73" s="2275"/>
      <c r="M73" s="2275"/>
      <c r="N73" s="2275"/>
      <c r="O73" s="2275"/>
      <c r="P73" s="2275"/>
      <c r="Q73" s="2275"/>
    </row>
    <row r="74" spans="2:17" s="749" customFormat="1">
      <c r="B74" s="2275"/>
      <c r="C74" s="2275"/>
      <c r="D74" s="2275"/>
      <c r="E74" s="2275"/>
      <c r="F74" s="2275"/>
      <c r="G74" s="2275"/>
      <c r="H74" s="2275"/>
      <c r="I74" s="2275"/>
      <c r="J74" s="2275"/>
      <c r="K74" s="2275"/>
      <c r="L74" s="2275"/>
      <c r="M74" s="2275"/>
      <c r="N74" s="2275"/>
      <c r="O74" s="2275"/>
      <c r="P74" s="2275"/>
      <c r="Q74" s="2275"/>
    </row>
    <row r="75" spans="2:17" s="749" customFormat="1">
      <c r="B75" s="2275"/>
      <c r="C75" s="2275"/>
      <c r="D75" s="2275"/>
      <c r="E75" s="2275"/>
      <c r="F75" s="2275"/>
      <c r="G75" s="2275"/>
      <c r="H75" s="2275"/>
      <c r="I75" s="2275"/>
      <c r="J75" s="2275"/>
      <c r="K75" s="2275"/>
      <c r="L75" s="2275"/>
      <c r="M75" s="2275"/>
      <c r="N75" s="2275"/>
      <c r="O75" s="2275"/>
      <c r="P75" s="2275"/>
      <c r="Q75" s="2275"/>
    </row>
    <row r="76" spans="2:17" s="749" customFormat="1">
      <c r="B76" s="2275"/>
      <c r="C76" s="2275"/>
      <c r="D76" s="2275"/>
      <c r="E76" s="2275"/>
      <c r="F76" s="2275"/>
      <c r="G76" s="2275"/>
      <c r="H76" s="2275"/>
      <c r="I76" s="2275"/>
      <c r="J76" s="2275"/>
      <c r="K76" s="2275"/>
      <c r="L76" s="2275"/>
      <c r="M76" s="2275"/>
      <c r="N76" s="2275"/>
      <c r="O76" s="2275"/>
      <c r="P76" s="2275"/>
      <c r="Q76" s="2275"/>
    </row>
    <row r="77" spans="2:17" s="749" customFormat="1">
      <c r="B77" s="2275"/>
      <c r="C77" s="2275"/>
      <c r="D77" s="2275"/>
      <c r="E77" s="2275"/>
      <c r="F77" s="2275"/>
      <c r="G77" s="2275"/>
      <c r="H77" s="2275"/>
      <c r="I77" s="2275"/>
      <c r="J77" s="2275"/>
      <c r="K77" s="2275"/>
      <c r="L77" s="2275"/>
      <c r="M77" s="2275"/>
      <c r="N77" s="2275"/>
      <c r="O77" s="2275"/>
      <c r="P77" s="2275"/>
      <c r="Q77" s="2275"/>
    </row>
    <row r="78" spans="2:17" s="749" customFormat="1">
      <c r="B78" s="2275"/>
      <c r="C78" s="2275"/>
      <c r="D78" s="2275"/>
      <c r="E78" s="2275"/>
      <c r="F78" s="2275"/>
      <c r="G78" s="2275"/>
      <c r="H78" s="2275"/>
      <c r="I78" s="2275"/>
      <c r="J78" s="2275"/>
      <c r="K78" s="2275"/>
      <c r="L78" s="2275"/>
      <c r="M78" s="2275"/>
      <c r="N78" s="2275"/>
      <c r="O78" s="2275"/>
      <c r="P78" s="2275"/>
      <c r="Q78" s="2275"/>
    </row>
    <row r="79" spans="2:17" s="749" customFormat="1">
      <c r="B79" s="2275"/>
      <c r="C79" s="2275"/>
      <c r="D79" s="2275"/>
      <c r="E79" s="2275"/>
      <c r="F79" s="2275"/>
      <c r="G79" s="2275"/>
      <c r="H79" s="2275"/>
      <c r="I79" s="2275"/>
      <c r="J79" s="2275"/>
      <c r="K79" s="2275"/>
      <c r="L79" s="2275"/>
      <c r="M79" s="2275"/>
      <c r="N79" s="2275"/>
      <c r="O79" s="2275"/>
      <c r="P79" s="2275"/>
      <c r="Q79" s="2275"/>
    </row>
    <row r="80" spans="2:17" s="749" customFormat="1">
      <c r="B80" s="2275"/>
      <c r="C80" s="2275"/>
      <c r="D80" s="2275"/>
      <c r="E80" s="2275"/>
      <c r="F80" s="2275"/>
      <c r="G80" s="2275"/>
      <c r="H80" s="2275"/>
      <c r="I80" s="2275"/>
      <c r="J80" s="2275"/>
      <c r="K80" s="2275"/>
      <c r="L80" s="2275"/>
      <c r="M80" s="2275"/>
      <c r="N80" s="2275"/>
      <c r="O80" s="2275"/>
      <c r="P80" s="2275"/>
      <c r="Q80" s="2275"/>
    </row>
    <row r="81" spans="2:17" s="749" customFormat="1">
      <c r="B81" s="2275"/>
      <c r="C81" s="2275"/>
      <c r="D81" s="2275"/>
      <c r="E81" s="2275"/>
      <c r="F81" s="2275"/>
      <c r="G81" s="2275"/>
      <c r="H81" s="2275"/>
      <c r="I81" s="2275"/>
      <c r="J81" s="2275"/>
      <c r="K81" s="2275"/>
      <c r="L81" s="2275"/>
      <c r="M81" s="2275"/>
      <c r="N81" s="2275"/>
      <c r="O81" s="2275"/>
      <c r="P81" s="2275"/>
      <c r="Q81" s="2275"/>
    </row>
    <row r="82" spans="2:17" s="749" customFormat="1">
      <c r="B82" s="2275"/>
      <c r="C82" s="2275"/>
      <c r="D82" s="2275"/>
      <c r="E82" s="2275"/>
      <c r="F82" s="2275"/>
      <c r="G82" s="2275"/>
      <c r="H82" s="2275"/>
      <c r="I82" s="2275"/>
      <c r="J82" s="2275"/>
      <c r="K82" s="2275"/>
      <c r="L82" s="2275"/>
      <c r="M82" s="2275"/>
      <c r="N82" s="2275"/>
      <c r="O82" s="2275"/>
      <c r="P82" s="2275"/>
      <c r="Q82" s="2275"/>
    </row>
    <row r="83" spans="2:17" s="749" customFormat="1">
      <c r="B83" s="2275"/>
      <c r="C83" s="2275"/>
      <c r="D83" s="2275"/>
      <c r="E83" s="2275"/>
      <c r="F83" s="2275"/>
      <c r="G83" s="2275"/>
      <c r="H83" s="2275"/>
      <c r="I83" s="2275"/>
      <c r="J83" s="2275"/>
      <c r="K83" s="2275"/>
      <c r="L83" s="2275"/>
      <c r="M83" s="2275"/>
      <c r="N83" s="2275"/>
      <c r="O83" s="2275"/>
      <c r="P83" s="2275"/>
      <c r="Q83" s="2275"/>
    </row>
    <row r="84" spans="2:17" s="749" customFormat="1">
      <c r="B84" s="2275"/>
      <c r="C84" s="2275"/>
      <c r="D84" s="2275"/>
      <c r="E84" s="2275"/>
      <c r="F84" s="2275"/>
      <c r="G84" s="2275"/>
      <c r="H84" s="2275"/>
      <c r="I84" s="2275"/>
      <c r="J84" s="2275"/>
      <c r="K84" s="2275"/>
      <c r="L84" s="2275"/>
      <c r="M84" s="2275"/>
      <c r="N84" s="2275"/>
      <c r="O84" s="2275"/>
      <c r="P84" s="2275"/>
      <c r="Q84" s="2275"/>
    </row>
    <row r="85" spans="2:17" s="749" customFormat="1">
      <c r="B85" s="2275"/>
      <c r="C85" s="2275"/>
      <c r="D85" s="2275"/>
      <c r="E85" s="2275"/>
      <c r="F85" s="2275"/>
      <c r="G85" s="2275"/>
      <c r="H85" s="2275"/>
      <c r="I85" s="2275"/>
      <c r="J85" s="2275"/>
      <c r="K85" s="2275"/>
      <c r="L85" s="2275"/>
      <c r="M85" s="2275"/>
      <c r="N85" s="2275"/>
      <c r="O85" s="2275"/>
      <c r="P85" s="2275"/>
      <c r="Q85" s="2275"/>
    </row>
    <row r="86" spans="2:17" s="749" customFormat="1">
      <c r="B86" s="2275"/>
      <c r="C86" s="2275"/>
      <c r="D86" s="2275"/>
      <c r="E86" s="2275"/>
      <c r="F86" s="2275"/>
      <c r="G86" s="2275"/>
      <c r="H86" s="2275"/>
      <c r="I86" s="2275"/>
      <c r="J86" s="2275"/>
      <c r="K86" s="2275"/>
      <c r="L86" s="2275"/>
      <c r="M86" s="2275"/>
      <c r="N86" s="2275"/>
      <c r="O86" s="2275"/>
      <c r="P86" s="2275"/>
      <c r="Q86" s="2275"/>
    </row>
    <row r="87" spans="2:17" s="749" customFormat="1">
      <c r="B87" s="2275"/>
      <c r="C87" s="2275"/>
      <c r="D87" s="2275"/>
      <c r="E87" s="2275"/>
      <c r="F87" s="2275"/>
      <c r="G87" s="2275"/>
      <c r="H87" s="2275"/>
      <c r="I87" s="2275"/>
      <c r="J87" s="2275"/>
      <c r="K87" s="2275"/>
      <c r="L87" s="2275"/>
      <c r="M87" s="2275"/>
      <c r="N87" s="2275"/>
      <c r="O87" s="2275"/>
      <c r="P87" s="2275"/>
      <c r="Q87" s="2275"/>
    </row>
    <row r="88" spans="2:17" s="749" customFormat="1">
      <c r="B88" s="2275"/>
      <c r="C88" s="2275"/>
      <c r="D88" s="2275"/>
      <c r="E88" s="2275"/>
      <c r="F88" s="2275"/>
      <c r="G88" s="2275"/>
      <c r="H88" s="2275"/>
      <c r="I88" s="2275"/>
      <c r="J88" s="2275"/>
      <c r="K88" s="2275"/>
      <c r="L88" s="2275"/>
      <c r="M88" s="2275"/>
      <c r="N88" s="2275"/>
      <c r="O88" s="2275"/>
      <c r="P88" s="2275"/>
      <c r="Q88" s="2275"/>
    </row>
    <row r="89" spans="2:17" s="749" customFormat="1">
      <c r="B89" s="2275"/>
      <c r="C89" s="2275"/>
      <c r="D89" s="2275"/>
      <c r="E89" s="2275"/>
      <c r="F89" s="2275"/>
      <c r="G89" s="2275"/>
      <c r="H89" s="2275"/>
      <c r="I89" s="2275"/>
      <c r="J89" s="2275"/>
      <c r="K89" s="2275"/>
      <c r="L89" s="2275"/>
      <c r="M89" s="2275"/>
      <c r="N89" s="2275"/>
      <c r="O89" s="2275"/>
      <c r="P89" s="2275"/>
      <c r="Q89" s="2275"/>
    </row>
    <row r="90" spans="2:17" s="749" customFormat="1">
      <c r="B90" s="2275"/>
      <c r="C90" s="2275"/>
      <c r="D90" s="2275"/>
      <c r="E90" s="2275"/>
      <c r="F90" s="2275"/>
      <c r="G90" s="2275"/>
      <c r="H90" s="2275"/>
      <c r="I90" s="2275"/>
      <c r="J90" s="2275"/>
      <c r="K90" s="2275"/>
      <c r="L90" s="2275"/>
      <c r="M90" s="2275"/>
      <c r="N90" s="2275"/>
      <c r="O90" s="2275"/>
      <c r="P90" s="2275"/>
      <c r="Q90" s="2275"/>
    </row>
    <row r="91" spans="2:17" s="749" customFormat="1">
      <c r="B91" s="2275"/>
      <c r="C91" s="2275"/>
      <c r="D91" s="2275"/>
      <c r="E91" s="2275"/>
      <c r="F91" s="2275"/>
      <c r="G91" s="2275"/>
      <c r="H91" s="2275"/>
      <c r="I91" s="2275"/>
      <c r="J91" s="2275"/>
      <c r="K91" s="2275"/>
      <c r="L91" s="2275"/>
      <c r="M91" s="2275"/>
      <c r="N91" s="2275"/>
      <c r="O91" s="2275"/>
      <c r="P91" s="2275"/>
      <c r="Q91" s="2275"/>
    </row>
    <row r="92" spans="2:17" s="749" customFormat="1">
      <c r="B92" s="2275"/>
      <c r="C92" s="2275"/>
      <c r="D92" s="2275"/>
      <c r="E92" s="2275"/>
      <c r="F92" s="2275"/>
      <c r="G92" s="2275"/>
      <c r="H92" s="2275"/>
      <c r="I92" s="2275"/>
      <c r="J92" s="2275"/>
      <c r="K92" s="2275"/>
      <c r="L92" s="2275"/>
      <c r="M92" s="2275"/>
      <c r="N92" s="2275"/>
      <c r="O92" s="2275"/>
      <c r="P92" s="2275"/>
      <c r="Q92" s="2275"/>
    </row>
    <row r="93" spans="2:17" s="749" customFormat="1">
      <c r="B93" s="2275"/>
      <c r="C93" s="2275"/>
      <c r="D93" s="2275"/>
      <c r="E93" s="2275"/>
      <c r="F93" s="2275"/>
      <c r="G93" s="2275"/>
      <c r="H93" s="2275"/>
      <c r="I93" s="2275"/>
      <c r="J93" s="2275"/>
      <c r="K93" s="2275"/>
      <c r="L93" s="2275"/>
      <c r="M93" s="2275"/>
      <c r="N93" s="2275"/>
      <c r="O93" s="2275"/>
      <c r="P93" s="2275"/>
      <c r="Q93" s="2275"/>
    </row>
    <row r="94" spans="2:17" s="749" customFormat="1">
      <c r="B94" s="2275"/>
      <c r="C94" s="2275"/>
      <c r="D94" s="2275"/>
      <c r="E94" s="2275"/>
      <c r="F94" s="2275"/>
      <c r="G94" s="2275"/>
      <c r="H94" s="2275"/>
      <c r="I94" s="2275"/>
      <c r="J94" s="2275"/>
      <c r="K94" s="2275"/>
      <c r="L94" s="2275"/>
      <c r="M94" s="2275"/>
      <c r="N94" s="2275"/>
      <c r="O94" s="2275"/>
      <c r="P94" s="2275"/>
      <c r="Q94" s="2275"/>
    </row>
    <row r="95" spans="2:17" s="749" customFormat="1">
      <c r="B95" s="2275"/>
      <c r="C95" s="2275"/>
      <c r="D95" s="2275"/>
      <c r="E95" s="2275"/>
      <c r="F95" s="2275"/>
      <c r="G95" s="2275"/>
      <c r="H95" s="2275"/>
      <c r="I95" s="2275"/>
      <c r="J95" s="2275"/>
      <c r="K95" s="2275"/>
      <c r="L95" s="2275"/>
      <c r="M95" s="2275"/>
      <c r="N95" s="2275"/>
      <c r="O95" s="2275"/>
      <c r="P95" s="2275"/>
      <c r="Q95" s="2275"/>
    </row>
    <row r="96" spans="2:17" s="749" customFormat="1">
      <c r="B96" s="2275"/>
      <c r="C96" s="2275"/>
      <c r="D96" s="2275"/>
      <c r="E96" s="2275"/>
      <c r="F96" s="2275"/>
      <c r="G96" s="2275"/>
      <c r="H96" s="2275"/>
      <c r="I96" s="2275"/>
      <c r="J96" s="2275"/>
      <c r="K96" s="2275"/>
      <c r="L96" s="2275"/>
      <c r="M96" s="2275"/>
      <c r="N96" s="2275"/>
      <c r="O96" s="2275"/>
      <c r="P96" s="2275"/>
      <c r="Q96" s="2275"/>
    </row>
    <row r="97" spans="2:17" s="749" customFormat="1">
      <c r="B97" s="2275"/>
      <c r="C97" s="2275"/>
      <c r="D97" s="2275"/>
      <c r="E97" s="2275"/>
      <c r="F97" s="2275"/>
      <c r="G97" s="2275"/>
      <c r="H97" s="2275"/>
      <c r="I97" s="2275"/>
      <c r="J97" s="2275"/>
      <c r="K97" s="2275"/>
      <c r="L97" s="2275"/>
      <c r="M97" s="2275"/>
      <c r="N97" s="2275"/>
      <c r="O97" s="2275"/>
      <c r="P97" s="2275"/>
      <c r="Q97" s="2275"/>
    </row>
    <row r="98" spans="2:17" s="749" customFormat="1">
      <c r="B98" s="2275"/>
      <c r="C98" s="2275"/>
      <c r="D98" s="2275"/>
      <c r="E98" s="2275"/>
      <c r="F98" s="2275"/>
      <c r="G98" s="2275"/>
      <c r="H98" s="2275"/>
      <c r="I98" s="2275"/>
      <c r="J98" s="2275"/>
      <c r="K98" s="2275"/>
      <c r="L98" s="2275"/>
      <c r="M98" s="2275"/>
      <c r="N98" s="2275"/>
      <c r="O98" s="2275"/>
      <c r="P98" s="2275"/>
      <c r="Q98" s="2275"/>
    </row>
    <row r="99" spans="2:17" s="749" customFormat="1">
      <c r="B99" s="2275"/>
      <c r="C99" s="2275"/>
      <c r="D99" s="2275"/>
      <c r="E99" s="2275"/>
      <c r="F99" s="2275"/>
      <c r="G99" s="2275"/>
      <c r="H99" s="2275"/>
      <c r="I99" s="2275"/>
      <c r="J99" s="2275"/>
      <c r="K99" s="2275"/>
      <c r="L99" s="2275"/>
      <c r="M99" s="2275"/>
      <c r="N99" s="2275"/>
      <c r="O99" s="2275"/>
      <c r="P99" s="2275"/>
      <c r="Q99" s="2275"/>
    </row>
    <row r="100" spans="2:17" s="749" customFormat="1">
      <c r="B100" s="2275"/>
      <c r="C100" s="2275"/>
      <c r="D100" s="2275"/>
      <c r="E100" s="2275"/>
      <c r="F100" s="2275"/>
      <c r="G100" s="2275"/>
      <c r="H100" s="2275"/>
      <c r="I100" s="2275"/>
      <c r="J100" s="2275"/>
      <c r="K100" s="2275"/>
      <c r="L100" s="2275"/>
      <c r="M100" s="2275"/>
      <c r="N100" s="2275"/>
      <c r="O100" s="2275"/>
      <c r="P100" s="2275"/>
      <c r="Q100" s="2275"/>
    </row>
    <row r="101" spans="2:17" s="749" customFormat="1">
      <c r="B101" s="2275"/>
      <c r="C101" s="2275"/>
      <c r="D101" s="2275"/>
      <c r="E101" s="2275"/>
      <c r="F101" s="2275"/>
      <c r="G101" s="2275"/>
      <c r="H101" s="2275"/>
      <c r="I101" s="2275"/>
      <c r="J101" s="2275"/>
      <c r="K101" s="2275"/>
      <c r="L101" s="2275"/>
      <c r="M101" s="2275"/>
      <c r="N101" s="2275"/>
      <c r="O101" s="2275"/>
      <c r="P101" s="2275"/>
      <c r="Q101" s="2275"/>
    </row>
    <row r="102" spans="2:17" s="749" customFormat="1">
      <c r="B102" s="2275"/>
      <c r="C102" s="2275"/>
      <c r="D102" s="2275"/>
      <c r="E102" s="2275"/>
      <c r="F102" s="2275"/>
      <c r="G102" s="2275"/>
      <c r="H102" s="2275"/>
      <c r="I102" s="2275"/>
      <c r="J102" s="2275"/>
      <c r="K102" s="2275"/>
      <c r="L102" s="2275"/>
      <c r="M102" s="2275"/>
      <c r="N102" s="2275"/>
      <c r="O102" s="2275"/>
      <c r="P102" s="2275"/>
      <c r="Q102" s="2275"/>
    </row>
    <row r="103" spans="2:17" s="749" customFormat="1">
      <c r="B103" s="2275"/>
      <c r="C103" s="2275"/>
      <c r="D103" s="2275"/>
      <c r="E103" s="2275"/>
      <c r="F103" s="2275"/>
      <c r="G103" s="2275"/>
      <c r="H103" s="2275"/>
      <c r="I103" s="2275"/>
      <c r="J103" s="2275"/>
      <c r="K103" s="2275"/>
      <c r="L103" s="2275"/>
      <c r="M103" s="2275"/>
      <c r="N103" s="2275"/>
      <c r="O103" s="2275"/>
      <c r="P103" s="2275"/>
      <c r="Q103" s="2275"/>
    </row>
    <row r="104" spans="2:17" s="749" customFormat="1">
      <c r="B104" s="2275"/>
      <c r="C104" s="2275"/>
      <c r="D104" s="2275"/>
      <c r="E104" s="2275"/>
      <c r="F104" s="2275"/>
      <c r="G104" s="2275"/>
      <c r="H104" s="2275"/>
      <c r="I104" s="2275"/>
      <c r="J104" s="2275"/>
      <c r="K104" s="2275"/>
      <c r="L104" s="2275"/>
      <c r="M104" s="2275"/>
      <c r="N104" s="2275"/>
      <c r="O104" s="2275"/>
      <c r="P104" s="2275"/>
      <c r="Q104" s="2275"/>
    </row>
    <row r="105" spans="2:17" s="749" customFormat="1">
      <c r="B105" s="2275"/>
      <c r="C105" s="2275"/>
      <c r="D105" s="2275"/>
      <c r="E105" s="2275"/>
      <c r="F105" s="2275"/>
      <c r="G105" s="2275"/>
      <c r="H105" s="2275"/>
      <c r="I105" s="2275"/>
      <c r="J105" s="2275"/>
      <c r="K105" s="2275"/>
      <c r="L105" s="2275"/>
      <c r="M105" s="2275"/>
      <c r="N105" s="2275"/>
      <c r="O105" s="2275"/>
      <c r="P105" s="2275"/>
      <c r="Q105" s="2275"/>
    </row>
    <row r="106" spans="2:17" s="749" customFormat="1">
      <c r="B106" s="2275"/>
      <c r="C106" s="2275"/>
      <c r="D106" s="2275"/>
      <c r="E106" s="2275"/>
      <c r="F106" s="2275"/>
      <c r="G106" s="2275"/>
      <c r="H106" s="2275"/>
      <c r="I106" s="2275"/>
      <c r="J106" s="2275"/>
      <c r="K106" s="2275"/>
      <c r="L106" s="2275"/>
      <c r="M106" s="2275"/>
      <c r="N106" s="2275"/>
      <c r="O106" s="2275"/>
      <c r="P106" s="2275"/>
      <c r="Q106" s="2275"/>
    </row>
    <row r="107" spans="2:17" s="749" customFormat="1">
      <c r="B107" s="2275"/>
      <c r="C107" s="2275"/>
      <c r="D107" s="2275"/>
      <c r="E107" s="2275"/>
      <c r="F107" s="2275"/>
      <c r="G107" s="2275"/>
      <c r="H107" s="2275"/>
      <c r="I107" s="2275"/>
      <c r="J107" s="2275"/>
      <c r="K107" s="2275"/>
      <c r="L107" s="2275"/>
      <c r="M107" s="2275"/>
      <c r="N107" s="2275"/>
      <c r="O107" s="2275"/>
      <c r="P107" s="2275"/>
      <c r="Q107" s="2275"/>
    </row>
    <row r="108" spans="2:17" s="749" customFormat="1">
      <c r="B108" s="2275"/>
      <c r="C108" s="2275"/>
      <c r="D108" s="2275"/>
      <c r="E108" s="2275"/>
      <c r="F108" s="2275"/>
      <c r="G108" s="2275"/>
      <c r="H108" s="2275"/>
      <c r="I108" s="2275"/>
      <c r="J108" s="2275"/>
      <c r="K108" s="2275"/>
      <c r="L108" s="2275"/>
      <c r="M108" s="2275"/>
      <c r="N108" s="2275"/>
      <c r="O108" s="2275"/>
      <c r="P108" s="2275"/>
      <c r="Q108" s="2275"/>
    </row>
    <row r="109" spans="2:17" s="749" customFormat="1">
      <c r="B109" s="2275"/>
      <c r="C109" s="2275"/>
      <c r="D109" s="2275"/>
      <c r="E109" s="2275"/>
      <c r="F109" s="2275"/>
      <c r="G109" s="2275"/>
      <c r="H109" s="2275"/>
      <c r="I109" s="2275"/>
      <c r="J109" s="2275"/>
      <c r="K109" s="2275"/>
      <c r="L109" s="2275"/>
      <c r="M109" s="2275"/>
      <c r="N109" s="2275"/>
      <c r="O109" s="2275"/>
      <c r="P109" s="2275"/>
      <c r="Q109" s="2275"/>
    </row>
    <row r="110" spans="2:17" s="749" customFormat="1">
      <c r="B110" s="2275"/>
      <c r="C110" s="2275"/>
      <c r="D110" s="2275"/>
      <c r="E110" s="2275"/>
      <c r="F110" s="2275"/>
      <c r="G110" s="2275"/>
      <c r="H110" s="2275"/>
      <c r="I110" s="2275"/>
      <c r="J110" s="2275"/>
      <c r="K110" s="2275"/>
      <c r="L110" s="2275"/>
      <c r="M110" s="2275"/>
      <c r="N110" s="2275"/>
      <c r="O110" s="2275"/>
      <c r="P110" s="2275"/>
      <c r="Q110" s="2275"/>
    </row>
    <row r="111" spans="2:17" s="749" customFormat="1">
      <c r="B111" s="2275"/>
      <c r="C111" s="2275"/>
      <c r="D111" s="2275"/>
      <c r="E111" s="2275"/>
      <c r="F111" s="2275"/>
      <c r="G111" s="2275"/>
      <c r="H111" s="2275"/>
      <c r="I111" s="2275"/>
      <c r="J111" s="2275"/>
      <c r="K111" s="2275"/>
      <c r="L111" s="2275"/>
      <c r="M111" s="2275"/>
      <c r="N111" s="2275"/>
      <c r="O111" s="2275"/>
      <c r="P111" s="2275"/>
      <c r="Q111" s="2275"/>
    </row>
    <row r="112" spans="2:17" s="749" customFormat="1">
      <c r="B112" s="2275"/>
      <c r="C112" s="2275"/>
      <c r="D112" s="2275"/>
      <c r="E112" s="2275"/>
      <c r="F112" s="2275"/>
      <c r="G112" s="2275"/>
      <c r="H112" s="2275"/>
      <c r="I112" s="2275"/>
      <c r="J112" s="2275"/>
      <c r="K112" s="2275"/>
      <c r="L112" s="2275"/>
      <c r="M112" s="2275"/>
      <c r="N112" s="2275"/>
      <c r="O112" s="2275"/>
      <c r="P112" s="2275"/>
      <c r="Q112" s="2275"/>
    </row>
    <row r="113" spans="2:17" s="749" customFormat="1">
      <c r="B113" s="2275"/>
      <c r="C113" s="2275"/>
      <c r="D113" s="2275"/>
      <c r="E113" s="2275"/>
      <c r="F113" s="2275"/>
      <c r="G113" s="2275"/>
      <c r="H113" s="2275"/>
      <c r="I113" s="2275"/>
      <c r="J113" s="2275"/>
      <c r="K113" s="2275"/>
      <c r="L113" s="2275"/>
      <c r="M113" s="2275"/>
      <c r="N113" s="2275"/>
      <c r="O113" s="2275"/>
      <c r="P113" s="2275"/>
      <c r="Q113" s="2275"/>
    </row>
    <row r="114" spans="2:17" s="749" customFormat="1">
      <c r="B114" s="2275"/>
      <c r="C114" s="2275"/>
      <c r="D114" s="2275"/>
      <c r="E114" s="2275"/>
      <c r="F114" s="2275"/>
      <c r="G114" s="2275"/>
      <c r="H114" s="2275"/>
      <c r="I114" s="2275"/>
      <c r="J114" s="2275"/>
      <c r="K114" s="2275"/>
      <c r="L114" s="2275"/>
      <c r="M114" s="2275"/>
      <c r="N114" s="2275"/>
      <c r="O114" s="2275"/>
      <c r="P114" s="2275"/>
      <c r="Q114" s="2275"/>
    </row>
    <row r="115" spans="2:17" s="749" customFormat="1">
      <c r="B115" s="2275"/>
      <c r="C115" s="2275"/>
      <c r="D115" s="2275"/>
      <c r="E115" s="2275"/>
      <c r="F115" s="2275"/>
      <c r="G115" s="2275"/>
      <c r="H115" s="2275"/>
      <c r="I115" s="2275"/>
      <c r="J115" s="2275"/>
      <c r="K115" s="2275"/>
      <c r="L115" s="2275"/>
      <c r="M115" s="2275"/>
      <c r="N115" s="2275"/>
      <c r="O115" s="2275"/>
      <c r="P115" s="2275"/>
      <c r="Q115" s="2275"/>
    </row>
    <row r="116" spans="2:17" s="749" customFormat="1">
      <c r="B116" s="2275"/>
      <c r="C116" s="2275"/>
      <c r="D116" s="2275"/>
      <c r="E116" s="2275"/>
      <c r="F116" s="2275"/>
      <c r="G116" s="2275"/>
      <c r="H116" s="2275"/>
      <c r="I116" s="2275"/>
      <c r="J116" s="2275"/>
      <c r="K116" s="2275"/>
      <c r="L116" s="2275"/>
      <c r="M116" s="2275"/>
      <c r="N116" s="2275"/>
      <c r="O116" s="2275"/>
      <c r="P116" s="2275"/>
      <c r="Q116" s="2275"/>
    </row>
    <row r="117" spans="2:17" s="749" customFormat="1">
      <c r="B117" s="2275"/>
      <c r="C117" s="2275"/>
      <c r="D117" s="2275"/>
      <c r="E117" s="2275"/>
      <c r="F117" s="2275"/>
      <c r="G117" s="2275"/>
      <c r="H117" s="2275"/>
      <c r="I117" s="2275"/>
      <c r="J117" s="2275"/>
      <c r="K117" s="2275"/>
      <c r="L117" s="2275"/>
      <c r="M117" s="2275"/>
      <c r="N117" s="2275"/>
      <c r="O117" s="2275"/>
      <c r="P117" s="2275"/>
      <c r="Q117" s="2275"/>
    </row>
    <row r="118" spans="2:17" s="749" customFormat="1">
      <c r="B118" s="2275"/>
      <c r="C118" s="2275"/>
      <c r="D118" s="2275"/>
      <c r="E118" s="2275"/>
      <c r="F118" s="2275"/>
      <c r="G118" s="2275"/>
      <c r="H118" s="2275"/>
      <c r="I118" s="2275"/>
      <c r="J118" s="2275"/>
      <c r="K118" s="2275"/>
      <c r="L118" s="2275"/>
      <c r="M118" s="2275"/>
      <c r="N118" s="2275"/>
      <c r="O118" s="2275"/>
      <c r="P118" s="2275"/>
      <c r="Q118" s="2275"/>
    </row>
    <row r="119" spans="2:17" s="749" customFormat="1">
      <c r="B119" s="2275"/>
      <c r="C119" s="2275"/>
      <c r="D119" s="2275"/>
      <c r="E119" s="2275"/>
      <c r="F119" s="2275"/>
      <c r="G119" s="2275"/>
      <c r="H119" s="2275"/>
      <c r="I119" s="2275"/>
      <c r="J119" s="2275"/>
      <c r="K119" s="2275"/>
      <c r="L119" s="2275"/>
      <c r="M119" s="2275"/>
      <c r="N119" s="2275"/>
      <c r="O119" s="2275"/>
      <c r="P119" s="2275"/>
      <c r="Q119" s="2275"/>
    </row>
    <row r="120" spans="2:17" s="749" customFormat="1">
      <c r="B120" s="2275"/>
      <c r="C120" s="2275"/>
      <c r="D120" s="2275"/>
      <c r="E120" s="2275"/>
      <c r="F120" s="2275"/>
      <c r="G120" s="2275"/>
      <c r="H120" s="2275"/>
      <c r="I120" s="2275"/>
      <c r="J120" s="2275"/>
      <c r="K120" s="2275"/>
      <c r="L120" s="2275"/>
      <c r="M120" s="2275"/>
      <c r="N120" s="2275"/>
      <c r="O120" s="2275"/>
      <c r="P120" s="2275"/>
      <c r="Q120" s="2275"/>
    </row>
    <row r="121" spans="2:17" s="749" customFormat="1">
      <c r="B121" s="2275"/>
      <c r="C121" s="2275"/>
      <c r="D121" s="2275"/>
      <c r="E121" s="2275"/>
      <c r="F121" s="2275"/>
      <c r="G121" s="2275"/>
      <c r="H121" s="2275"/>
      <c r="I121" s="2275"/>
      <c r="J121" s="2275"/>
      <c r="K121" s="2275"/>
      <c r="L121" s="2275"/>
      <c r="M121" s="2275"/>
      <c r="N121" s="2275"/>
      <c r="O121" s="2275"/>
      <c r="P121" s="2275"/>
      <c r="Q121" s="2275"/>
    </row>
    <row r="122" spans="2:17" s="749" customFormat="1">
      <c r="B122" s="2275"/>
      <c r="C122" s="2275"/>
      <c r="D122" s="2275"/>
      <c r="E122" s="2275"/>
      <c r="F122" s="2275"/>
      <c r="G122" s="2275"/>
      <c r="H122" s="2275"/>
      <c r="I122" s="2275"/>
      <c r="J122" s="2275"/>
      <c r="K122" s="2275"/>
      <c r="L122" s="2275"/>
      <c r="M122" s="2275"/>
      <c r="N122" s="2275"/>
      <c r="O122" s="2275"/>
      <c r="P122" s="2275"/>
      <c r="Q122" s="2275"/>
    </row>
    <row r="123" spans="2:17" s="749" customFormat="1">
      <c r="B123" s="2275"/>
      <c r="C123" s="2275"/>
      <c r="D123" s="2275"/>
      <c r="E123" s="2275"/>
      <c r="F123" s="2275"/>
      <c r="G123" s="2275"/>
      <c r="H123" s="2275"/>
      <c r="I123" s="2275"/>
      <c r="J123" s="2275"/>
      <c r="K123" s="2275"/>
      <c r="L123" s="2275"/>
      <c r="M123" s="2275"/>
      <c r="N123" s="2275"/>
      <c r="O123" s="2275"/>
      <c r="P123" s="2275"/>
      <c r="Q123" s="2275"/>
    </row>
    <row r="124" spans="2:17" s="749" customFormat="1">
      <c r="B124" s="2275"/>
      <c r="C124" s="2275"/>
      <c r="D124" s="2275"/>
      <c r="E124" s="2275"/>
      <c r="F124" s="2275"/>
      <c r="G124" s="2275"/>
      <c r="H124" s="2275"/>
      <c r="I124" s="2275"/>
      <c r="J124" s="2275"/>
      <c r="K124" s="2275"/>
      <c r="L124" s="2275"/>
      <c r="M124" s="2275"/>
      <c r="N124" s="2275"/>
      <c r="O124" s="2275"/>
      <c r="P124" s="2275"/>
      <c r="Q124" s="2275"/>
    </row>
    <row r="125" spans="2:17" s="749" customFormat="1">
      <c r="B125" s="2275"/>
      <c r="C125" s="2275"/>
      <c r="D125" s="2275"/>
      <c r="E125" s="2275"/>
      <c r="F125" s="2275"/>
      <c r="G125" s="2275"/>
      <c r="H125" s="2275"/>
      <c r="I125" s="2275"/>
      <c r="J125" s="2275"/>
      <c r="K125" s="2275"/>
      <c r="L125" s="2275"/>
      <c r="M125" s="2275"/>
      <c r="N125" s="2275"/>
      <c r="O125" s="2275"/>
      <c r="P125" s="2275"/>
      <c r="Q125" s="2275"/>
    </row>
    <row r="126" spans="2:17" s="749" customFormat="1">
      <c r="B126" s="2275"/>
      <c r="C126" s="2275"/>
      <c r="D126" s="2275"/>
      <c r="E126" s="2275"/>
      <c r="F126" s="2275"/>
      <c r="G126" s="2275"/>
      <c r="H126" s="2275"/>
      <c r="I126" s="2275"/>
      <c r="J126" s="2275"/>
      <c r="K126" s="2275"/>
      <c r="L126" s="2275"/>
      <c r="M126" s="2275"/>
      <c r="N126" s="2275"/>
      <c r="O126" s="2275"/>
      <c r="P126" s="2275"/>
      <c r="Q126" s="2275"/>
    </row>
    <row r="127" spans="2:17" s="749" customFormat="1">
      <c r="B127" s="2275"/>
      <c r="C127" s="2275"/>
      <c r="D127" s="2275"/>
      <c r="E127" s="2275"/>
      <c r="F127" s="2275"/>
      <c r="G127" s="2275"/>
      <c r="H127" s="2275"/>
      <c r="I127" s="2275"/>
      <c r="J127" s="2275"/>
      <c r="K127" s="2275"/>
      <c r="L127" s="2275"/>
      <c r="M127" s="2275"/>
      <c r="N127" s="2275"/>
      <c r="O127" s="2275"/>
      <c r="P127" s="2275"/>
      <c r="Q127" s="2275"/>
    </row>
    <row r="128" spans="2:17" s="749" customFormat="1">
      <c r="B128" s="2275"/>
      <c r="C128" s="2275"/>
      <c r="D128" s="2275"/>
      <c r="E128" s="2275"/>
      <c r="F128" s="2275"/>
      <c r="G128" s="2275"/>
      <c r="H128" s="2275"/>
      <c r="I128" s="2275"/>
      <c r="J128" s="2275"/>
      <c r="K128" s="2275"/>
      <c r="L128" s="2275"/>
      <c r="M128" s="2275"/>
      <c r="N128" s="2275"/>
      <c r="O128" s="2275"/>
      <c r="P128" s="2275"/>
      <c r="Q128" s="2275"/>
    </row>
    <row r="129" spans="2:17" s="749" customFormat="1">
      <c r="B129" s="2275"/>
      <c r="C129" s="2275"/>
      <c r="D129" s="2275"/>
      <c r="E129" s="2275"/>
      <c r="F129" s="2275"/>
      <c r="G129" s="2275"/>
      <c r="H129" s="2275"/>
      <c r="I129" s="2275"/>
      <c r="J129" s="2275"/>
      <c r="K129" s="2275"/>
      <c r="L129" s="2275"/>
      <c r="M129" s="2275"/>
      <c r="N129" s="2275"/>
      <c r="O129" s="2275"/>
      <c r="P129" s="2275"/>
      <c r="Q129" s="2275"/>
    </row>
    <row r="130" spans="2:17" s="749" customFormat="1">
      <c r="B130" s="2275"/>
      <c r="C130" s="2275"/>
      <c r="D130" s="2275"/>
      <c r="E130" s="2275"/>
      <c r="F130" s="2275"/>
      <c r="G130" s="2275"/>
      <c r="H130" s="2275"/>
      <c r="I130" s="2275"/>
      <c r="J130" s="2275"/>
      <c r="K130" s="2275"/>
      <c r="L130" s="2275"/>
      <c r="M130" s="2275"/>
      <c r="N130" s="2275"/>
      <c r="O130" s="2275"/>
      <c r="P130" s="2275"/>
      <c r="Q130" s="2275"/>
    </row>
    <row r="131" spans="2:17" s="749" customFormat="1">
      <c r="B131" s="2275"/>
      <c r="C131" s="2275"/>
      <c r="D131" s="2275"/>
      <c r="E131" s="2275"/>
      <c r="F131" s="2275"/>
      <c r="G131" s="2275"/>
      <c r="H131" s="2275"/>
      <c r="I131" s="2275"/>
      <c r="J131" s="2275"/>
      <c r="K131" s="2275"/>
      <c r="L131" s="2275"/>
      <c r="M131" s="2275"/>
      <c r="N131" s="2275"/>
      <c r="O131" s="2275"/>
      <c r="P131" s="2275"/>
      <c r="Q131" s="2275"/>
    </row>
    <row r="132" spans="2:17" s="749" customFormat="1">
      <c r="B132" s="2275"/>
      <c r="C132" s="2275"/>
      <c r="D132" s="2275"/>
      <c r="E132" s="2275"/>
      <c r="F132" s="2275"/>
      <c r="G132" s="2275"/>
      <c r="H132" s="2275"/>
      <c r="I132" s="2275"/>
      <c r="J132" s="2275"/>
      <c r="K132" s="2275"/>
      <c r="L132" s="2275"/>
      <c r="M132" s="2275"/>
      <c r="N132" s="2275"/>
      <c r="O132" s="2275"/>
      <c r="P132" s="2275"/>
      <c r="Q132" s="2275"/>
    </row>
    <row r="133" spans="2:17" s="749" customFormat="1">
      <c r="B133" s="2275"/>
      <c r="C133" s="2275"/>
      <c r="D133" s="2275"/>
      <c r="E133" s="2275"/>
      <c r="F133" s="2275"/>
      <c r="G133" s="2275"/>
      <c r="H133" s="2275"/>
      <c r="I133" s="2275"/>
      <c r="J133" s="2275"/>
      <c r="K133" s="2275"/>
      <c r="L133" s="2275"/>
      <c r="M133" s="2275"/>
      <c r="N133" s="2275"/>
      <c r="O133" s="2275"/>
      <c r="P133" s="2275"/>
      <c r="Q133" s="2275"/>
    </row>
    <row r="134" spans="2:17" s="749" customFormat="1">
      <c r="B134" s="2275"/>
      <c r="C134" s="2275"/>
      <c r="D134" s="2275"/>
      <c r="E134" s="2275"/>
      <c r="F134" s="2275"/>
      <c r="G134" s="2275"/>
      <c r="H134" s="2275"/>
      <c r="I134" s="2275"/>
      <c r="J134" s="2275"/>
      <c r="K134" s="2275"/>
      <c r="L134" s="2275"/>
      <c r="M134" s="2275"/>
      <c r="N134" s="2275"/>
      <c r="O134" s="2275"/>
      <c r="P134" s="2275"/>
      <c r="Q134" s="2275"/>
    </row>
    <row r="135" spans="2:17" s="749" customFormat="1">
      <c r="B135" s="2275"/>
      <c r="C135" s="2275"/>
      <c r="D135" s="2275"/>
      <c r="E135" s="2275"/>
      <c r="F135" s="2275"/>
      <c r="G135" s="2275"/>
      <c r="H135" s="2275"/>
      <c r="I135" s="2275"/>
      <c r="J135" s="2275"/>
      <c r="K135" s="2275"/>
      <c r="L135" s="2275"/>
      <c r="M135" s="2275"/>
      <c r="N135" s="2275"/>
      <c r="O135" s="2275"/>
      <c r="P135" s="2275"/>
      <c r="Q135" s="2275"/>
    </row>
    <row r="136" spans="2:17" s="749" customFormat="1">
      <c r="B136" s="2275"/>
      <c r="C136" s="2275"/>
      <c r="D136" s="2275"/>
      <c r="E136" s="2275"/>
      <c r="F136" s="2275"/>
      <c r="G136" s="2275"/>
      <c r="H136" s="2275"/>
      <c r="I136" s="2275"/>
      <c r="J136" s="2275"/>
      <c r="K136" s="2275"/>
      <c r="L136" s="2275"/>
      <c r="M136" s="2275"/>
      <c r="N136" s="2275"/>
      <c r="O136" s="2275"/>
      <c r="P136" s="2275"/>
      <c r="Q136" s="2275"/>
    </row>
    <row r="137" spans="2:17" s="749" customFormat="1">
      <c r="B137" s="2275"/>
      <c r="C137" s="2275"/>
      <c r="D137" s="2275"/>
      <c r="E137" s="2275"/>
      <c r="F137" s="2275"/>
      <c r="G137" s="2275"/>
      <c r="H137" s="2275"/>
      <c r="I137" s="2275"/>
      <c r="J137" s="2275"/>
      <c r="K137" s="2275"/>
      <c r="L137" s="2275"/>
      <c r="M137" s="2275"/>
      <c r="N137" s="2275"/>
      <c r="O137" s="2275"/>
      <c r="P137" s="2275"/>
      <c r="Q137" s="2275"/>
    </row>
    <row r="138" spans="2:17" s="749" customFormat="1">
      <c r="B138" s="2275"/>
      <c r="C138" s="2275"/>
      <c r="D138" s="2275"/>
      <c r="E138" s="2275"/>
      <c r="F138" s="2275"/>
      <c r="G138" s="2275"/>
      <c r="H138" s="2275"/>
      <c r="I138" s="2275"/>
      <c r="J138" s="2275"/>
      <c r="K138" s="2275"/>
      <c r="L138" s="2275"/>
      <c r="M138" s="2275"/>
      <c r="N138" s="2275"/>
      <c r="O138" s="2275"/>
      <c r="P138" s="2275"/>
      <c r="Q138" s="2275"/>
    </row>
    <row r="139" spans="2:17" s="749" customFormat="1">
      <c r="B139" s="2275"/>
      <c r="C139" s="2275"/>
      <c r="D139" s="2275"/>
      <c r="E139" s="2275"/>
      <c r="F139" s="2275"/>
      <c r="G139" s="2275"/>
      <c r="H139" s="2275"/>
      <c r="I139" s="2275"/>
      <c r="J139" s="2275"/>
      <c r="K139" s="2275"/>
      <c r="L139" s="2275"/>
      <c r="M139" s="2275"/>
      <c r="N139" s="2275"/>
      <c r="O139" s="2275"/>
      <c r="P139" s="2275"/>
      <c r="Q139" s="2275"/>
    </row>
    <row r="140" spans="2:17" s="749" customFormat="1">
      <c r="B140" s="2275"/>
      <c r="C140" s="2275"/>
      <c r="D140" s="2275"/>
      <c r="E140" s="2275"/>
      <c r="F140" s="2275"/>
      <c r="G140" s="2275"/>
      <c r="H140" s="2275"/>
      <c r="I140" s="2275"/>
      <c r="J140" s="2275"/>
      <c r="K140" s="2275"/>
      <c r="L140" s="2275"/>
      <c r="M140" s="2275"/>
      <c r="N140" s="2275"/>
      <c r="O140" s="2275"/>
      <c r="P140" s="2275"/>
      <c r="Q140" s="2275"/>
    </row>
    <row r="141" spans="2:17" s="749" customFormat="1">
      <c r="B141" s="2275"/>
      <c r="C141" s="2275"/>
      <c r="D141" s="2275"/>
      <c r="E141" s="2275"/>
      <c r="F141" s="2275"/>
      <c r="G141" s="2275"/>
      <c r="H141" s="2275"/>
      <c r="I141" s="2275"/>
      <c r="J141" s="2275"/>
      <c r="K141" s="2275"/>
      <c r="L141" s="2275"/>
      <c r="M141" s="2275"/>
      <c r="N141" s="2275"/>
      <c r="O141" s="2275"/>
      <c r="P141" s="2275"/>
      <c r="Q141" s="2275"/>
    </row>
    <row r="142" spans="2:17" s="749" customFormat="1">
      <c r="B142" s="2275"/>
      <c r="C142" s="2275"/>
      <c r="D142" s="2275"/>
      <c r="E142" s="2275"/>
      <c r="F142" s="2275"/>
      <c r="G142" s="2275"/>
      <c r="H142" s="2275"/>
      <c r="I142" s="2275"/>
      <c r="J142" s="2275"/>
      <c r="K142" s="2275"/>
      <c r="L142" s="2275"/>
      <c r="M142" s="2275"/>
      <c r="N142" s="2275"/>
      <c r="O142" s="2275"/>
      <c r="P142" s="2275"/>
      <c r="Q142" s="2275"/>
    </row>
    <row r="143" spans="2:17" s="749" customFormat="1">
      <c r="B143" s="2275"/>
      <c r="C143" s="2275"/>
      <c r="D143" s="2275"/>
      <c r="E143" s="2275"/>
      <c r="F143" s="2275"/>
      <c r="G143" s="2275"/>
      <c r="H143" s="2275"/>
      <c r="I143" s="2275"/>
      <c r="J143" s="2275"/>
      <c r="K143" s="2275"/>
      <c r="L143" s="2275"/>
      <c r="M143" s="2275"/>
      <c r="N143" s="2275"/>
      <c r="O143" s="2275"/>
      <c r="P143" s="2275"/>
      <c r="Q143" s="2275"/>
    </row>
    <row r="144" spans="2:17" s="749" customFormat="1">
      <c r="B144" s="2275"/>
      <c r="C144" s="2275"/>
      <c r="D144" s="2275"/>
      <c r="E144" s="2275"/>
      <c r="F144" s="2275"/>
      <c r="G144" s="2275"/>
      <c r="H144" s="2275"/>
      <c r="I144" s="2275"/>
      <c r="J144" s="2275"/>
      <c r="K144" s="2275"/>
      <c r="L144" s="2275"/>
      <c r="M144" s="2275"/>
      <c r="N144" s="2275"/>
      <c r="O144" s="2275"/>
      <c r="P144" s="2275"/>
      <c r="Q144" s="2275"/>
    </row>
    <row r="145" spans="2:17" s="749" customFormat="1">
      <c r="B145" s="2275"/>
      <c r="C145" s="2275"/>
      <c r="D145" s="2275"/>
      <c r="E145" s="2275"/>
      <c r="F145" s="2275"/>
      <c r="G145" s="2275"/>
      <c r="H145" s="2275"/>
      <c r="I145" s="2275"/>
      <c r="J145" s="2275"/>
      <c r="K145" s="2275"/>
      <c r="L145" s="2275"/>
      <c r="M145" s="2275"/>
      <c r="N145" s="2275"/>
      <c r="O145" s="2275"/>
      <c r="P145" s="2275"/>
      <c r="Q145" s="2275"/>
    </row>
    <row r="146" spans="2:17" s="749" customFormat="1">
      <c r="B146" s="2275"/>
      <c r="C146" s="2275"/>
      <c r="D146" s="2275"/>
      <c r="E146" s="2275"/>
      <c r="F146" s="2275"/>
      <c r="G146" s="2275"/>
      <c r="H146" s="2275"/>
      <c r="I146" s="2275"/>
      <c r="J146" s="2275"/>
      <c r="K146" s="2275"/>
      <c r="L146" s="2275"/>
      <c r="M146" s="2275"/>
      <c r="N146" s="2275"/>
      <c r="O146" s="2275"/>
      <c r="P146" s="2275"/>
      <c r="Q146" s="2275"/>
    </row>
    <row r="147" spans="2:17" s="749" customFormat="1">
      <c r="B147" s="2275"/>
      <c r="C147" s="2275"/>
      <c r="D147" s="2275"/>
      <c r="E147" s="2275"/>
      <c r="F147" s="2275"/>
      <c r="G147" s="2275"/>
      <c r="H147" s="2275"/>
      <c r="I147" s="2275"/>
      <c r="J147" s="2275"/>
      <c r="K147" s="2275"/>
      <c r="L147" s="2275"/>
      <c r="M147" s="2275"/>
      <c r="N147" s="2275"/>
      <c r="O147" s="2275"/>
      <c r="P147" s="2275"/>
      <c r="Q147" s="2275"/>
    </row>
    <row r="148" spans="2:17" s="749" customFormat="1">
      <c r="B148" s="2275"/>
      <c r="C148" s="2275"/>
      <c r="D148" s="2275"/>
      <c r="E148" s="2275"/>
      <c r="F148" s="2275"/>
      <c r="G148" s="2275"/>
      <c r="H148" s="2275"/>
      <c r="I148" s="2275"/>
      <c r="J148" s="2275"/>
      <c r="K148" s="2275"/>
      <c r="L148" s="2275"/>
      <c r="M148" s="2275"/>
      <c r="N148" s="2275"/>
      <c r="O148" s="2275"/>
      <c r="P148" s="2275"/>
      <c r="Q148" s="2275"/>
    </row>
    <row r="149" spans="2:17" s="749" customFormat="1">
      <c r="B149" s="2275"/>
      <c r="C149" s="2275"/>
      <c r="D149" s="2275"/>
      <c r="E149" s="2275"/>
      <c r="F149" s="2275"/>
      <c r="G149" s="2275"/>
      <c r="H149" s="2275"/>
      <c r="I149" s="2275"/>
      <c r="J149" s="2275"/>
      <c r="K149" s="2275"/>
      <c r="L149" s="2275"/>
      <c r="M149" s="2275"/>
      <c r="N149" s="2275"/>
      <c r="O149" s="2275"/>
      <c r="P149" s="2275"/>
      <c r="Q149" s="2275"/>
    </row>
    <row r="150" spans="2:17" s="749" customFormat="1">
      <c r="B150" s="2275"/>
      <c r="C150" s="2275"/>
      <c r="D150" s="2275"/>
      <c r="E150" s="2275"/>
      <c r="F150" s="2275"/>
      <c r="G150" s="2275"/>
      <c r="H150" s="2275"/>
      <c r="I150" s="2275"/>
      <c r="J150" s="2275"/>
      <c r="K150" s="2275"/>
      <c r="L150" s="2275"/>
      <c r="M150" s="2275"/>
      <c r="N150" s="2275"/>
      <c r="O150" s="2275"/>
      <c r="P150" s="2275"/>
      <c r="Q150" s="2275"/>
    </row>
    <row r="151" spans="2:17" s="749" customFormat="1">
      <c r="B151" s="2275"/>
      <c r="C151" s="2275"/>
      <c r="D151" s="2275"/>
      <c r="E151" s="2275"/>
      <c r="F151" s="2275"/>
      <c r="G151" s="2275"/>
      <c r="H151" s="2275"/>
      <c r="I151" s="2275"/>
      <c r="J151" s="2275"/>
      <c r="K151" s="2275"/>
      <c r="L151" s="2275"/>
      <c r="M151" s="2275"/>
      <c r="N151" s="2275"/>
      <c r="O151" s="2275"/>
      <c r="P151" s="2275"/>
      <c r="Q151" s="2275"/>
    </row>
    <row r="152" spans="2:17" s="749" customFormat="1">
      <c r="B152" s="2275"/>
      <c r="C152" s="2275"/>
      <c r="D152" s="2275"/>
      <c r="E152" s="2275"/>
      <c r="F152" s="2275"/>
      <c r="G152" s="2275"/>
      <c r="H152" s="2275"/>
      <c r="I152" s="2275"/>
      <c r="J152" s="2275"/>
      <c r="K152" s="2275"/>
      <c r="L152" s="2275"/>
      <c r="M152" s="2275"/>
      <c r="N152" s="2275"/>
      <c r="O152" s="2275"/>
      <c r="P152" s="2275"/>
      <c r="Q152" s="2275"/>
    </row>
    <row r="153" spans="2:17" s="749" customFormat="1">
      <c r="B153" s="2275"/>
      <c r="C153" s="2275"/>
      <c r="D153" s="2275"/>
      <c r="E153" s="2275"/>
      <c r="F153" s="2275"/>
      <c r="G153" s="2275"/>
      <c r="H153" s="2275"/>
      <c r="I153" s="2275"/>
      <c r="J153" s="2275"/>
      <c r="K153" s="2275"/>
      <c r="L153" s="2275"/>
      <c r="M153" s="2275"/>
      <c r="N153" s="2275"/>
      <c r="O153" s="2275"/>
      <c r="P153" s="2275"/>
      <c r="Q153" s="2275"/>
    </row>
    <row r="154" spans="2:17" s="749" customFormat="1">
      <c r="B154" s="2275"/>
      <c r="C154" s="2275"/>
      <c r="D154" s="2275"/>
      <c r="E154" s="2275"/>
      <c r="F154" s="2275"/>
      <c r="G154" s="2275"/>
      <c r="H154" s="2275"/>
      <c r="I154" s="2275"/>
      <c r="J154" s="2275"/>
      <c r="K154" s="2275"/>
      <c r="L154" s="2275"/>
      <c r="M154" s="2275"/>
      <c r="N154" s="2275"/>
      <c r="O154" s="2275"/>
      <c r="P154" s="2275"/>
      <c r="Q154" s="2275"/>
    </row>
    <row r="155" spans="2:17" s="749" customFormat="1">
      <c r="B155" s="2275"/>
      <c r="C155" s="2275"/>
      <c r="D155" s="2275"/>
      <c r="E155" s="2275"/>
      <c r="F155" s="2275"/>
      <c r="G155" s="2275"/>
      <c r="H155" s="2275"/>
      <c r="I155" s="2275"/>
      <c r="J155" s="2275"/>
      <c r="K155" s="2275"/>
      <c r="L155" s="2275"/>
      <c r="M155" s="2275"/>
      <c r="N155" s="2275"/>
      <c r="O155" s="2275"/>
      <c r="P155" s="2275"/>
      <c r="Q155" s="2275"/>
    </row>
    <row r="156" spans="2:17" s="749" customFormat="1">
      <c r="B156" s="2275"/>
      <c r="C156" s="2275"/>
      <c r="D156" s="2275"/>
      <c r="E156" s="2275"/>
      <c r="F156" s="2275"/>
      <c r="G156" s="2275"/>
      <c r="H156" s="2275"/>
      <c r="I156" s="2275"/>
      <c r="J156" s="2275"/>
      <c r="K156" s="2275"/>
      <c r="L156" s="2275"/>
      <c r="M156" s="2275"/>
      <c r="N156" s="2275"/>
      <c r="O156" s="2275"/>
      <c r="P156" s="2275"/>
      <c r="Q156" s="2275"/>
    </row>
    <row r="157" spans="2:17" s="749" customFormat="1">
      <c r="B157" s="2275"/>
      <c r="C157" s="2275"/>
      <c r="D157" s="2275"/>
      <c r="E157" s="2275"/>
      <c r="F157" s="2275"/>
      <c r="G157" s="2275"/>
      <c r="H157" s="2275"/>
      <c r="I157" s="2275"/>
      <c r="J157" s="2275"/>
      <c r="K157" s="2275"/>
      <c r="L157" s="2275"/>
      <c r="M157" s="2275"/>
      <c r="N157" s="2275"/>
      <c r="O157" s="2275"/>
      <c r="P157" s="2275"/>
      <c r="Q157" s="2275"/>
    </row>
    <row r="158" spans="2:17" s="749" customFormat="1">
      <c r="B158" s="2275"/>
      <c r="C158" s="2275"/>
      <c r="D158" s="2275"/>
      <c r="E158" s="2275"/>
      <c r="F158" s="2275"/>
      <c r="G158" s="2275"/>
      <c r="H158" s="2275"/>
      <c r="I158" s="2275"/>
      <c r="J158" s="2275"/>
      <c r="K158" s="2275"/>
      <c r="L158" s="2275"/>
      <c r="M158" s="2275"/>
      <c r="N158" s="2275"/>
      <c r="O158" s="2275"/>
      <c r="P158" s="2275"/>
      <c r="Q158" s="2275"/>
    </row>
    <row r="159" spans="2:17" s="749" customFormat="1">
      <c r="B159" s="2275"/>
      <c r="C159" s="2275"/>
      <c r="D159" s="2275"/>
      <c r="E159" s="2275"/>
      <c r="F159" s="2275"/>
      <c r="G159" s="2275"/>
      <c r="H159" s="2275"/>
      <c r="I159" s="2275"/>
      <c r="J159" s="2275"/>
      <c r="K159" s="2275"/>
      <c r="L159" s="2275"/>
      <c r="M159" s="2275"/>
      <c r="N159" s="2275"/>
      <c r="O159" s="2275"/>
      <c r="P159" s="2275"/>
      <c r="Q159" s="2275"/>
    </row>
    <row r="160" spans="2:17" s="749" customFormat="1">
      <c r="B160" s="2275"/>
      <c r="C160" s="2275"/>
      <c r="D160" s="2275"/>
      <c r="E160" s="2275"/>
      <c r="F160" s="2275"/>
      <c r="G160" s="2275"/>
      <c r="H160" s="2275"/>
      <c r="I160" s="2275"/>
      <c r="J160" s="2275"/>
      <c r="K160" s="2275"/>
      <c r="L160" s="2275"/>
      <c r="M160" s="2275"/>
      <c r="N160" s="2275"/>
      <c r="O160" s="2275"/>
      <c r="P160" s="2275"/>
      <c r="Q160" s="2275"/>
    </row>
    <row r="161" spans="2:17" s="749" customFormat="1">
      <c r="B161" s="2275"/>
      <c r="C161" s="2275"/>
      <c r="D161" s="2275"/>
      <c r="E161" s="2275"/>
      <c r="F161" s="2275"/>
      <c r="G161" s="2275"/>
      <c r="H161" s="2275"/>
      <c r="I161" s="2275"/>
      <c r="J161" s="2275"/>
      <c r="K161" s="2275"/>
      <c r="L161" s="2275"/>
      <c r="M161" s="2275"/>
      <c r="N161" s="2275"/>
      <c r="O161" s="2275"/>
      <c r="P161" s="2275"/>
      <c r="Q161" s="2275"/>
    </row>
    <row r="162" spans="2:17" s="749" customFormat="1">
      <c r="B162" s="2275"/>
      <c r="C162" s="2275"/>
      <c r="D162" s="2275"/>
      <c r="E162" s="2275"/>
      <c r="F162" s="2275"/>
      <c r="G162" s="2275"/>
      <c r="H162" s="2275"/>
      <c r="I162" s="2275"/>
      <c r="J162" s="2275"/>
      <c r="K162" s="2275"/>
      <c r="L162" s="2275"/>
      <c r="M162" s="2275"/>
      <c r="N162" s="2275"/>
      <c r="O162" s="2275"/>
      <c r="P162" s="2275"/>
      <c r="Q162" s="2275"/>
    </row>
    <row r="163" spans="2:17" s="749" customFormat="1">
      <c r="B163" s="2275"/>
      <c r="C163" s="2275"/>
      <c r="D163" s="2275"/>
      <c r="E163" s="2275"/>
      <c r="F163" s="2275"/>
      <c r="G163" s="2275"/>
      <c r="H163" s="2275"/>
      <c r="I163" s="2275"/>
      <c r="J163" s="2275"/>
      <c r="K163" s="2275"/>
      <c r="L163" s="2275"/>
      <c r="M163" s="2275"/>
      <c r="N163" s="2275"/>
      <c r="O163" s="2275"/>
      <c r="P163" s="2275"/>
      <c r="Q163" s="2275"/>
    </row>
    <row r="164" spans="2:17" s="749" customFormat="1">
      <c r="B164" s="2275"/>
      <c r="C164" s="2275"/>
      <c r="D164" s="2275"/>
      <c r="E164" s="2275"/>
      <c r="F164" s="2275"/>
      <c r="G164" s="2275"/>
      <c r="H164" s="2275"/>
      <c r="I164" s="2275"/>
      <c r="J164" s="2275"/>
      <c r="K164" s="2275"/>
      <c r="L164" s="2275"/>
      <c r="M164" s="2275"/>
      <c r="N164" s="2275"/>
      <c r="O164" s="2275"/>
      <c r="P164" s="2275"/>
      <c r="Q164" s="2275"/>
    </row>
    <row r="165" spans="2:17" s="749" customFormat="1">
      <c r="B165" s="2275"/>
      <c r="C165" s="2275"/>
      <c r="D165" s="2275"/>
      <c r="E165" s="2275"/>
      <c r="F165" s="2275"/>
      <c r="G165" s="2275"/>
      <c r="H165" s="2275"/>
      <c r="I165" s="2275"/>
      <c r="J165" s="2275"/>
      <c r="K165" s="2275"/>
      <c r="L165" s="2275"/>
      <c r="M165" s="2275"/>
      <c r="N165" s="2275"/>
      <c r="O165" s="2275"/>
      <c r="P165" s="2275"/>
      <c r="Q165" s="2275"/>
    </row>
    <row r="166" spans="2:17" s="749" customFormat="1">
      <c r="B166" s="2275"/>
      <c r="C166" s="2275"/>
      <c r="D166" s="2275"/>
      <c r="E166" s="2275"/>
      <c r="F166" s="2275"/>
      <c r="G166" s="2275"/>
      <c r="H166" s="2275"/>
      <c r="I166" s="2275"/>
      <c r="J166" s="2275"/>
      <c r="K166" s="2275"/>
      <c r="L166" s="2275"/>
      <c r="M166" s="2275"/>
      <c r="N166" s="2275"/>
      <c r="O166" s="2275"/>
      <c r="P166" s="2275"/>
      <c r="Q166" s="2275"/>
    </row>
    <row r="167" spans="2:17" s="749" customFormat="1">
      <c r="B167" s="2275"/>
      <c r="C167" s="2275"/>
      <c r="D167" s="2275"/>
      <c r="E167" s="2275"/>
      <c r="F167" s="2275"/>
      <c r="G167" s="2275"/>
      <c r="H167" s="2275"/>
      <c r="I167" s="2275"/>
      <c r="J167" s="2275"/>
      <c r="K167" s="2275"/>
      <c r="L167" s="2275"/>
      <c r="M167" s="2275"/>
      <c r="N167" s="2275"/>
      <c r="O167" s="2275"/>
      <c r="P167" s="2275"/>
      <c r="Q167" s="2275"/>
    </row>
    <row r="168" spans="2:17" s="749" customFormat="1">
      <c r="B168" s="2275"/>
      <c r="C168" s="2275"/>
      <c r="D168" s="2275"/>
      <c r="E168" s="2275"/>
      <c r="F168" s="2275"/>
      <c r="G168" s="2275"/>
      <c r="H168" s="2275"/>
      <c r="I168" s="2275"/>
      <c r="J168" s="2275"/>
      <c r="K168" s="2275"/>
      <c r="L168" s="2275"/>
      <c r="M168" s="2275"/>
      <c r="N168" s="2275"/>
      <c r="O168" s="2275"/>
      <c r="P168" s="2275"/>
      <c r="Q168" s="2275"/>
    </row>
    <row r="169" spans="2:17" s="749" customFormat="1">
      <c r="B169" s="2275"/>
      <c r="C169" s="2275"/>
      <c r="D169" s="2275"/>
      <c r="E169" s="2275"/>
      <c r="F169" s="2275"/>
      <c r="G169" s="2275"/>
      <c r="H169" s="2275"/>
      <c r="I169" s="2275"/>
      <c r="J169" s="2275"/>
      <c r="K169" s="2275"/>
      <c r="L169" s="2275"/>
      <c r="M169" s="2275"/>
      <c r="N169" s="2275"/>
      <c r="O169" s="2275"/>
      <c r="P169" s="2275"/>
      <c r="Q169" s="2275"/>
    </row>
    <row r="170" spans="2:17" s="749" customFormat="1">
      <c r="B170" s="2275"/>
      <c r="C170" s="2275"/>
      <c r="D170" s="2275"/>
      <c r="E170" s="2275"/>
      <c r="F170" s="2275"/>
      <c r="G170" s="2275"/>
      <c r="H170" s="2275"/>
      <c r="I170" s="2275"/>
      <c r="J170" s="2275"/>
      <c r="K170" s="2275"/>
      <c r="L170" s="2275"/>
      <c r="M170" s="2275"/>
      <c r="N170" s="2275"/>
      <c r="O170" s="2275"/>
      <c r="P170" s="2275"/>
      <c r="Q170" s="2275"/>
    </row>
    <row r="171" spans="2:17" s="749" customFormat="1">
      <c r="B171" s="2275"/>
      <c r="C171" s="2275"/>
      <c r="D171" s="2275"/>
      <c r="E171" s="2275"/>
      <c r="F171" s="2275"/>
      <c r="G171" s="2275"/>
      <c r="H171" s="2275"/>
      <c r="I171" s="2275"/>
      <c r="J171" s="2275"/>
      <c r="K171" s="2275"/>
      <c r="L171" s="2275"/>
      <c r="M171" s="2275"/>
      <c r="N171" s="2275"/>
      <c r="O171" s="2275"/>
      <c r="P171" s="2275"/>
      <c r="Q171" s="2275"/>
    </row>
    <row r="172" spans="2:17" s="749" customFormat="1">
      <c r="B172" s="2275"/>
      <c r="C172" s="2275"/>
      <c r="D172" s="2275"/>
      <c r="E172" s="2275"/>
      <c r="F172" s="2275"/>
      <c r="G172" s="2275"/>
      <c r="H172" s="2275"/>
      <c r="I172" s="2275"/>
      <c r="J172" s="2275"/>
      <c r="K172" s="2275"/>
      <c r="L172" s="2275"/>
      <c r="M172" s="2275"/>
      <c r="N172" s="2275"/>
      <c r="O172" s="2275"/>
      <c r="P172" s="2275"/>
      <c r="Q172" s="2275"/>
    </row>
    <row r="173" spans="2:17" s="749" customFormat="1">
      <c r="B173" s="2275"/>
      <c r="C173" s="2275"/>
      <c r="D173" s="2275"/>
      <c r="E173" s="2275"/>
      <c r="F173" s="2275"/>
      <c r="G173" s="2275"/>
      <c r="H173" s="2275"/>
      <c r="I173" s="2275"/>
      <c r="J173" s="2275"/>
      <c r="K173" s="2275"/>
      <c r="L173" s="2275"/>
      <c r="M173" s="2275"/>
      <c r="N173" s="2275"/>
      <c r="O173" s="2275"/>
      <c r="P173" s="2275"/>
      <c r="Q173" s="2275"/>
    </row>
    <row r="174" spans="2:17" s="749" customFormat="1">
      <c r="B174" s="2275"/>
      <c r="C174" s="2275"/>
      <c r="D174" s="2275"/>
      <c r="E174" s="2275"/>
      <c r="F174" s="2275"/>
      <c r="G174" s="2275"/>
      <c r="H174" s="2275"/>
      <c r="I174" s="2275"/>
      <c r="J174" s="2275"/>
      <c r="K174" s="2275"/>
      <c r="L174" s="2275"/>
      <c r="M174" s="2275"/>
      <c r="N174" s="2275"/>
      <c r="O174" s="2275"/>
      <c r="P174" s="2275"/>
      <c r="Q174" s="2275"/>
    </row>
    <row r="175" spans="2:17" s="749" customFormat="1">
      <c r="B175" s="2275"/>
      <c r="C175" s="2275"/>
      <c r="D175" s="2275"/>
      <c r="E175" s="2275"/>
      <c r="F175" s="2275"/>
      <c r="G175" s="2275"/>
      <c r="H175" s="2275"/>
      <c r="I175" s="2275"/>
      <c r="J175" s="2275"/>
      <c r="K175" s="2275"/>
      <c r="L175" s="2275"/>
      <c r="M175" s="2275"/>
      <c r="N175" s="2275"/>
      <c r="O175" s="2275"/>
      <c r="P175" s="2275"/>
      <c r="Q175" s="2275"/>
    </row>
    <row r="176" spans="2:17" s="749" customFormat="1">
      <c r="B176" s="2275"/>
      <c r="C176" s="2275"/>
      <c r="D176" s="2275"/>
      <c r="E176" s="2275"/>
      <c r="F176" s="2275"/>
      <c r="G176" s="2275"/>
      <c r="H176" s="2275"/>
      <c r="I176" s="2275"/>
      <c r="J176" s="2275"/>
      <c r="K176" s="2275"/>
      <c r="L176" s="2275"/>
      <c r="M176" s="2275"/>
      <c r="N176" s="2275"/>
      <c r="O176" s="2275"/>
      <c r="P176" s="2275"/>
      <c r="Q176" s="2275"/>
    </row>
    <row r="177" spans="1:17" s="749" customFormat="1">
      <c r="B177" s="2275"/>
      <c r="C177" s="2275"/>
      <c r="D177" s="2275"/>
      <c r="E177" s="2275"/>
      <c r="F177" s="2275"/>
      <c r="G177" s="2275"/>
      <c r="H177" s="2275"/>
      <c r="I177" s="2275"/>
      <c r="J177" s="2275"/>
      <c r="K177" s="2275"/>
      <c r="L177" s="2275"/>
      <c r="M177" s="2275"/>
      <c r="N177" s="2275"/>
      <c r="O177" s="2275"/>
      <c r="P177" s="2275"/>
      <c r="Q177" s="2275"/>
    </row>
    <row r="178" spans="1:17" s="749" customFormat="1">
      <c r="B178" s="2275"/>
      <c r="C178" s="2275"/>
      <c r="D178" s="2275"/>
      <c r="E178" s="2275"/>
      <c r="F178" s="2275"/>
      <c r="G178" s="2275"/>
      <c r="H178" s="2275"/>
      <c r="I178" s="2275"/>
      <c r="J178" s="2275"/>
      <c r="K178" s="2275"/>
      <c r="L178" s="2275"/>
      <c r="M178" s="2275"/>
      <c r="N178" s="2275"/>
      <c r="O178" s="2275"/>
      <c r="P178" s="2275"/>
      <c r="Q178" s="2275"/>
    </row>
    <row r="179" spans="1:17" s="749" customFormat="1">
      <c r="B179" s="2275"/>
      <c r="C179" s="2275"/>
      <c r="D179" s="2275"/>
      <c r="E179" s="2275"/>
      <c r="F179" s="2275"/>
      <c r="G179" s="2275"/>
      <c r="H179" s="2275"/>
      <c r="I179" s="2275"/>
      <c r="J179" s="2275"/>
      <c r="K179" s="2275"/>
      <c r="L179" s="2275"/>
      <c r="M179" s="2275"/>
      <c r="N179" s="2275"/>
      <c r="O179" s="2275"/>
      <c r="P179" s="2275"/>
      <c r="Q179" s="2275"/>
    </row>
    <row r="180" spans="1:17" s="749" customFormat="1">
      <c r="B180" s="2275"/>
      <c r="C180" s="2275"/>
      <c r="D180" s="2275"/>
      <c r="E180" s="2275"/>
      <c r="F180" s="2275"/>
      <c r="G180" s="2275"/>
      <c r="H180" s="2275"/>
      <c r="I180" s="2275"/>
      <c r="J180" s="2275"/>
      <c r="K180" s="2275"/>
      <c r="L180" s="2275"/>
      <c r="M180" s="2275"/>
      <c r="N180" s="2275"/>
      <c r="O180" s="2275"/>
      <c r="P180" s="2275"/>
      <c r="Q180" s="2275"/>
    </row>
    <row r="181" spans="1:17" s="749" customFormat="1">
      <c r="B181" s="2275"/>
      <c r="C181" s="2275"/>
      <c r="D181" s="2275"/>
      <c r="E181" s="2275"/>
      <c r="F181" s="2275"/>
      <c r="G181" s="2275"/>
      <c r="H181" s="2275"/>
      <c r="I181" s="2275"/>
      <c r="J181" s="2275"/>
      <c r="K181" s="2275"/>
      <c r="L181" s="2275"/>
      <c r="M181" s="2275"/>
      <c r="N181" s="2275"/>
      <c r="O181" s="2275"/>
      <c r="P181" s="2275"/>
      <c r="Q181" s="2275"/>
    </row>
    <row r="182" spans="1:17" s="749" customFormat="1">
      <c r="B182" s="2275"/>
      <c r="C182" s="2275"/>
      <c r="D182" s="2275"/>
      <c r="E182" s="2275"/>
      <c r="F182" s="2275"/>
      <c r="G182" s="2275"/>
      <c r="H182" s="2275"/>
      <c r="I182" s="2275"/>
      <c r="J182" s="2275"/>
      <c r="K182" s="2275"/>
      <c r="L182" s="2275"/>
      <c r="M182" s="2275"/>
      <c r="N182" s="2275"/>
      <c r="O182" s="2275"/>
      <c r="P182" s="2275"/>
      <c r="Q182" s="2275"/>
    </row>
    <row r="183" spans="1:17" s="749" customFormat="1">
      <c r="B183" s="2275"/>
      <c r="C183" s="2275"/>
      <c r="D183" s="2275"/>
      <c r="E183" s="2275"/>
      <c r="F183" s="2275"/>
      <c r="G183" s="2275"/>
      <c r="H183" s="2275"/>
      <c r="I183" s="2275"/>
      <c r="J183" s="2275"/>
      <c r="K183" s="2275"/>
      <c r="L183" s="2275"/>
      <c r="M183" s="2275"/>
      <c r="N183" s="2275"/>
      <c r="O183" s="2275"/>
      <c r="P183" s="2275"/>
      <c r="Q183" s="2275"/>
    </row>
    <row r="184" spans="1:17" s="749" customFormat="1">
      <c r="B184" s="2275"/>
      <c r="C184" s="2275"/>
      <c r="D184" s="2275"/>
      <c r="E184" s="2275"/>
      <c r="F184" s="2275"/>
      <c r="G184" s="2275"/>
      <c r="H184" s="2275"/>
      <c r="I184" s="2275"/>
      <c r="J184" s="2275"/>
      <c r="K184" s="2275"/>
      <c r="L184" s="2275"/>
      <c r="M184" s="2275"/>
      <c r="N184" s="2275"/>
      <c r="O184" s="2275"/>
      <c r="P184" s="2275"/>
      <c r="Q184" s="2275"/>
    </row>
    <row r="185" spans="1:17" s="749" customFormat="1">
      <c r="B185" s="2275"/>
      <c r="C185" s="2275"/>
      <c r="D185" s="2275"/>
      <c r="E185" s="2275"/>
      <c r="F185" s="2275"/>
      <c r="G185" s="2275"/>
      <c r="H185" s="2275"/>
      <c r="I185" s="2275"/>
      <c r="J185" s="2275"/>
      <c r="K185" s="2275"/>
      <c r="L185" s="2275"/>
      <c r="M185" s="2275"/>
      <c r="N185" s="2275"/>
      <c r="O185" s="2275"/>
      <c r="P185" s="2275"/>
      <c r="Q185" s="2275"/>
    </row>
    <row r="186" spans="1:17">
      <c r="A186" s="749"/>
      <c r="B186" s="2275"/>
      <c r="C186" s="2275"/>
      <c r="E186" s="2275"/>
      <c r="F186" s="2275"/>
      <c r="G186" s="2275"/>
    </row>
    <row r="187" spans="1:17">
      <c r="A187" s="749"/>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21" sqref="C21"/>
    </sheetView>
  </sheetViews>
  <sheetFormatPr defaultColWidth="9" defaultRowHeight="13.5"/>
  <cols>
    <col min="1" max="1" width="25" style="2299" customWidth="1"/>
    <col min="2" max="9" width="15.75" style="2299" customWidth="1"/>
    <col min="10" max="16384" width="9" style="2299"/>
  </cols>
  <sheetData>
    <row r="1" spans="1:11" ht="16.5">
      <c r="A1" s="2298" t="s">
        <v>662</v>
      </c>
      <c r="B1" s="2298">
        <f>SUM(B14:B23)</f>
        <v>135343.78</v>
      </c>
      <c r="C1" s="2458"/>
      <c r="D1" s="2458"/>
      <c r="E1" s="2458"/>
      <c r="F1" s="2458"/>
      <c r="G1" s="2459"/>
      <c r="H1" s="2459"/>
      <c r="I1" s="2459"/>
      <c r="J1" s="2459"/>
      <c r="K1" s="2459"/>
    </row>
    <row r="2" spans="1:11" ht="16.5">
      <c r="A2" s="2298" t="s">
        <v>650</v>
      </c>
      <c r="B2" s="2298">
        <f>SUM(C14:C23)</f>
        <v>0</v>
      </c>
      <c r="C2" s="2458"/>
      <c r="D2" s="2458"/>
      <c r="E2" s="2458"/>
      <c r="F2" s="2458"/>
      <c r="G2" s="2459"/>
      <c r="H2" s="2459"/>
      <c r="I2" s="2459"/>
      <c r="J2" s="2459"/>
      <c r="K2" s="2459"/>
    </row>
    <row r="3" spans="1:11" ht="16.5">
      <c r="A3" s="2298" t="s">
        <v>659</v>
      </c>
      <c r="B3" s="2300">
        <f>项目基本情况!D3</f>
        <v>45804</v>
      </c>
      <c r="C3" s="2458"/>
      <c r="D3" s="2458"/>
      <c r="E3" s="2458"/>
      <c r="F3" s="2458"/>
      <c r="G3" s="2459"/>
      <c r="H3" s="2459"/>
      <c r="I3" s="2459"/>
      <c r="J3" s="2459"/>
      <c r="K3" s="2459"/>
    </row>
    <row r="4" spans="1:11" ht="30">
      <c r="A4" s="3174" t="s">
        <v>658</v>
      </c>
      <c r="B4" s="3174" t="s">
        <v>657</v>
      </c>
      <c r="C4" s="3174" t="s">
        <v>656</v>
      </c>
      <c r="D4" s="3174" t="s">
        <v>655</v>
      </c>
      <c r="E4" s="2458"/>
      <c r="F4" s="2459"/>
      <c r="G4" s="2459"/>
      <c r="H4" s="2459"/>
      <c r="I4" s="2459"/>
      <c r="J4" s="2459"/>
      <c r="K4" s="2459"/>
    </row>
    <row r="5" spans="1:11" ht="16.5">
      <c r="A5" s="3174" t="s">
        <v>654</v>
      </c>
      <c r="B5" s="3174">
        <f ca="1">SUM(D14:D23)</f>
        <v>885981</v>
      </c>
      <c r="C5" s="3174">
        <f ca="1">IF(B5=D14,商业结果表!H102,ROUND(B5*10000/$B$1,0))</f>
        <v>65462</v>
      </c>
      <c r="D5" s="3174" t="e">
        <f ca="1">ROUND(B5*10000/$B$2,0)</f>
        <v>#DIV/0!</v>
      </c>
      <c r="E5" s="2458"/>
      <c r="F5" s="2459"/>
      <c r="G5" s="2459"/>
      <c r="H5" s="2459"/>
      <c r="I5" s="2459"/>
      <c r="J5" s="2459"/>
      <c r="K5" s="2459"/>
    </row>
    <row r="6" spans="1:11" ht="16.5">
      <c r="A6" s="3174" t="s">
        <v>653</v>
      </c>
      <c r="B6" s="3174">
        <f>SUM(G14:G23)</f>
        <v>0</v>
      </c>
      <c r="C6" s="3174">
        <f ca="1">IF(B6=G14,商业结果表!H108,ROUND(B6*10000/$B$1,0))</f>
        <v>6983</v>
      </c>
      <c r="D6" s="3174" t="e">
        <f>ROUND(B6*10000/$B$2,0)</f>
        <v>#DIV/0!</v>
      </c>
      <c r="E6" s="2458"/>
      <c r="F6" s="2459"/>
      <c r="G6" s="2459"/>
      <c r="H6" s="2459"/>
      <c r="I6" s="2459"/>
      <c r="J6" s="2459"/>
      <c r="K6" s="2459"/>
    </row>
    <row r="7" spans="1:11" ht="16.5">
      <c r="A7" s="2298" t="s">
        <v>661</v>
      </c>
      <c r="B7" s="2298">
        <f>SUM(H14:H23)</f>
        <v>0</v>
      </c>
      <c r="C7" s="2298" t="str">
        <f>IF(B7=H14,商业结果表!H110,ROUND(B7*10000/$B$1,0))</f>
        <v>——</v>
      </c>
      <c r="D7" s="2298" t="e">
        <f>ROUND(B7*10000/$B$2,0)</f>
        <v>#DIV/0!</v>
      </c>
      <c r="E7" s="2458"/>
      <c r="F7" s="2459"/>
      <c r="G7" s="2459"/>
      <c r="H7" s="2459"/>
      <c r="I7" s="2459"/>
      <c r="J7" s="2459"/>
      <c r="K7" s="2459"/>
    </row>
    <row r="8" spans="1:11" ht="16.5">
      <c r="A8" s="2298" t="s">
        <v>587</v>
      </c>
      <c r="B8" s="2298">
        <f>SUM(I14:I23)</f>
        <v>0</v>
      </c>
      <c r="C8" s="2298" t="str">
        <f>IF(B8=I14,商业结果表!H112,ROUND(B8*10000/$B$1,0))</f>
        <v>——</v>
      </c>
      <c r="D8" s="2298" t="e">
        <f>ROUND(B8*10000/$B$2,0)</f>
        <v>#DIV/0!</v>
      </c>
      <c r="E8" s="2458"/>
      <c r="F8" s="2459"/>
      <c r="G8" s="2459"/>
      <c r="H8" s="2459"/>
      <c r="I8" s="2459"/>
      <c r="J8" s="2459"/>
      <c r="K8" s="2459"/>
    </row>
    <row r="9" spans="1:11" ht="16.5">
      <c r="A9" s="2298" t="s">
        <v>652</v>
      </c>
      <c r="B9" s="1242"/>
      <c r="C9" s="2458"/>
      <c r="D9" s="2458"/>
      <c r="E9" s="2458"/>
      <c r="F9" s="2459"/>
      <c r="G9" s="2459"/>
      <c r="H9" s="2459"/>
      <c r="I9" s="2459"/>
      <c r="J9" s="2459"/>
      <c r="K9" s="2459"/>
    </row>
    <row r="10" spans="1:11" ht="16.5">
      <c r="A10" s="2298" t="s">
        <v>651</v>
      </c>
      <c r="B10" s="2298">
        <f>IF(E10="",0,ROUND(B1*(E10*365/G10)/10000,0))</f>
        <v>0</v>
      </c>
      <c r="C10" s="2298" t="s">
        <v>3342</v>
      </c>
      <c r="D10" s="2298" t="s">
        <v>3343</v>
      </c>
      <c r="E10" s="3133"/>
      <c r="F10" s="3137" t="s">
        <v>3344</v>
      </c>
      <c r="G10" s="3134"/>
      <c r="H10" s="2459"/>
      <c r="I10" s="2459"/>
      <c r="J10" s="2459"/>
      <c r="K10" s="2459"/>
    </row>
    <row r="11" spans="1:11" ht="16.5">
      <c r="A11" s="2298" t="s">
        <v>665</v>
      </c>
      <c r="B11" s="1242"/>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0.75">
      <c r="A13" s="3177" t="s">
        <v>664</v>
      </c>
      <c r="B13" s="3173" t="s">
        <v>3482</v>
      </c>
      <c r="C13" s="3173" t="s">
        <v>3483</v>
      </c>
      <c r="D13" s="3173" t="s">
        <v>663</v>
      </c>
      <c r="E13" s="3174" t="s">
        <v>656</v>
      </c>
      <c r="F13" s="3174" t="s">
        <v>655</v>
      </c>
      <c r="G13" s="3173" t="s">
        <v>649</v>
      </c>
      <c r="H13" s="3173" t="s">
        <v>660</v>
      </c>
      <c r="I13" s="3173" t="s">
        <v>648</v>
      </c>
      <c r="J13" s="2459"/>
      <c r="K13" s="2459"/>
    </row>
    <row r="14" spans="1:11" ht="15">
      <c r="A14" s="3178" t="s">
        <v>3403</v>
      </c>
      <c r="B14" s="3175">
        <f>'数据-汇总表'!E19</f>
        <v>19484.510000000002</v>
      </c>
      <c r="C14" s="3175"/>
      <c r="D14" s="3175">
        <f ca="1">商业结果表!G19</f>
        <v>97492</v>
      </c>
      <c r="E14" s="3175">
        <f ca="1">ROUND(D14*10000/B14,0)</f>
        <v>50036</v>
      </c>
      <c r="F14" s="3175" t="e">
        <f ca="1">ROUND(D14*10000/C14,0)</f>
        <v>#DIV/0!</v>
      </c>
      <c r="G14" s="3175"/>
      <c r="H14" s="3175"/>
      <c r="I14" s="3175"/>
      <c r="J14" s="2459"/>
      <c r="K14" s="2459"/>
    </row>
    <row r="15" spans="1:11" ht="15">
      <c r="A15" s="3178" t="s">
        <v>2798</v>
      </c>
      <c r="B15" s="3178">
        <f>'数据-汇总表'!E20</f>
        <v>91386.26999999999</v>
      </c>
      <c r="C15" s="3178"/>
      <c r="D15" s="3178">
        <f ca="1">'办公结果表 '!G19</f>
        <v>760061</v>
      </c>
      <c r="E15" s="3175">
        <f t="shared" ref="E15:E23" ca="1" si="0">ROUND(D15*10000/B15,0)</f>
        <v>83170</v>
      </c>
      <c r="F15" s="3175" t="e">
        <f t="shared" ref="F15:F23" ca="1" si="1">ROUND(D15*10000/C15,0)</f>
        <v>#DIV/0!</v>
      </c>
      <c r="G15" s="3176"/>
      <c r="H15" s="3176"/>
      <c r="I15" s="3178"/>
      <c r="J15" s="2459"/>
      <c r="K15" s="2459"/>
    </row>
    <row r="16" spans="1:11" ht="15">
      <c r="A16" s="3178" t="s">
        <v>3481</v>
      </c>
      <c r="B16" s="3178">
        <f>'数据-汇总表'!E21</f>
        <v>24473</v>
      </c>
      <c r="C16" s="3178"/>
      <c r="D16" s="3178">
        <f ca="1">地下车库结果表!G19</f>
        <v>28428</v>
      </c>
      <c r="E16" s="3175">
        <f t="shared" ca="1" si="0"/>
        <v>11616</v>
      </c>
      <c r="F16" s="3175" t="e">
        <f t="shared" ca="1" si="1"/>
        <v>#DIV/0!</v>
      </c>
      <c r="G16" s="3176"/>
      <c r="H16" s="3176"/>
      <c r="I16" s="3178"/>
      <c r="J16" s="2459"/>
      <c r="K16" s="2459"/>
    </row>
    <row r="17" spans="1:11" ht="16.5">
      <c r="A17" s="2301" t="s">
        <v>647</v>
      </c>
      <c r="B17" s="2303"/>
      <c r="C17" s="2303"/>
      <c r="D17" s="2303"/>
      <c r="E17" s="2302" t="e">
        <f t="shared" si="0"/>
        <v>#DIV/0!</v>
      </c>
      <c r="F17" s="2302" t="e">
        <f t="shared" si="1"/>
        <v>#DIV/0!</v>
      </c>
      <c r="G17" s="1242"/>
      <c r="H17" s="1242"/>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2" t="e">
        <f t="shared" si="0"/>
        <v>#DIV/0!</v>
      </c>
      <c r="F23" s="1242"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G28" sqref="G28"/>
    </sheetView>
  </sheetViews>
  <sheetFormatPr defaultColWidth="12.625" defaultRowHeight="21.75" customHeight="1"/>
  <cols>
    <col min="1" max="2" width="12.625" style="1559"/>
    <col min="3" max="4" width="12.625" style="1559" customWidth="1"/>
    <col min="5" max="9" width="12.625" style="1559"/>
    <col min="10" max="11" width="12.625" style="684" customWidth="1"/>
    <col min="12" max="12" width="12.625" style="684"/>
    <col min="13" max="13" width="14.125" style="684" bestFit="1" customWidth="1"/>
    <col min="14" max="26" width="12.625" style="684"/>
    <col min="27" max="35" width="12.625" style="1621"/>
    <col min="36" max="16384" width="12.625" style="1559"/>
  </cols>
  <sheetData>
    <row r="1" spans="1:12" ht="21.75" customHeight="1" thickBot="1">
      <c r="A1" s="1519" t="s">
        <v>1257</v>
      </c>
      <c r="B1" s="646"/>
      <c r="C1" s="1618"/>
      <c r="D1" s="646"/>
      <c r="E1" s="646"/>
      <c r="F1" s="1619" t="s">
        <v>1258</v>
      </c>
      <c r="G1" s="1451"/>
      <c r="H1" s="1619" t="str">
        <f>IF(G1="现房","——","估价对象范围")</f>
        <v>估价对象范围</v>
      </c>
      <c r="I1" s="1620"/>
    </row>
    <row r="2" spans="1:12" ht="21.75" customHeight="1" thickBot="1">
      <c r="A2" s="3308" t="str">
        <f>项目基本情况!S2</f>
        <v>北京市房地产</v>
      </c>
      <c r="B2" s="3309"/>
      <c r="C2" s="3309"/>
      <c r="D2" s="3309"/>
      <c r="E2" s="3309"/>
      <c r="F2" s="3309"/>
      <c r="G2" s="3309"/>
      <c r="H2" s="3309"/>
      <c r="I2" s="3310"/>
    </row>
    <row r="3" spans="1:12" ht="12.75">
      <c r="A3" s="3312" t="s">
        <v>1259</v>
      </c>
      <c r="B3" s="3313"/>
      <c r="C3" s="3313"/>
      <c r="D3" s="3313"/>
      <c r="E3" s="3313"/>
      <c r="F3" s="3313"/>
      <c r="G3" s="3313"/>
      <c r="H3" s="3313"/>
      <c r="I3" s="3313"/>
    </row>
    <row r="4" spans="1:12" ht="14.25">
      <c r="A4" s="1622" t="s">
        <v>1260</v>
      </c>
      <c r="B4" s="1623" t="s">
        <v>1261</v>
      </c>
      <c r="C4" s="1624" t="s">
        <v>3473</v>
      </c>
      <c r="D4" s="1624" t="s">
        <v>3464</v>
      </c>
      <c r="E4" s="3314" t="s">
        <v>1262</v>
      </c>
      <c r="F4" s="3315"/>
      <c r="G4" s="3315"/>
      <c r="H4" s="3315"/>
      <c r="I4" s="3316"/>
      <c r="K4" s="138" t="str">
        <f>IF(ISNUMBER(FIND("比较法",商业结果表!C4)),"比较法",IF(ISNUMBER(FIND("成本法",商业结果表!C4)),"成本法",IF(ISNUMBER(FIND("假设开发法",商业结果表!C4)),"假设开发法",IF(ISNUMBER(FIND("收益法",商业结果表!C4)),"收益法","基准地价系数修正法"))))</f>
        <v>成本法</v>
      </c>
      <c r="L4" s="138" t="str">
        <f>IF(ISNUMBER(FIND("比较法",商业结果表!D4)),"比较法",IF(ISNUMBER(FIND("成本法",商业结果表!D4)),"成本法",IF(ISNUMBER(FIND("假设开发法",商业结果表!D4)),"假设开发法",IF(ISNUMBER(FIND("收益法",商业结果表!D4)),"收益法","基准地价系数修正法"))))</f>
        <v>收益法</v>
      </c>
    </row>
    <row r="5" spans="1:12" ht="12.75">
      <c r="A5" s="3288" t="s">
        <v>1263</v>
      </c>
      <c r="B5" s="3275">
        <v>25</v>
      </c>
      <c r="C5" s="3291"/>
      <c r="D5" s="3311"/>
      <c r="E5" s="123" t="s">
        <v>1264</v>
      </c>
      <c r="F5" s="1625"/>
      <c r="G5" s="1625"/>
      <c r="H5" s="1625"/>
      <c r="I5" s="1279"/>
    </row>
    <row r="6" spans="1:12" ht="12.75">
      <c r="A6" s="3288"/>
      <c r="B6" s="3275"/>
      <c r="C6" s="3292"/>
      <c r="D6" s="3311"/>
      <c r="E6" s="123" t="s">
        <v>1265</v>
      </c>
      <c r="F6" s="1625"/>
      <c r="G6" s="1625"/>
      <c r="H6" s="1625"/>
      <c r="I6" s="1279"/>
    </row>
    <row r="7" spans="1:12" ht="12.75">
      <c r="A7" s="3288"/>
      <c r="B7" s="3275"/>
      <c r="C7" s="3293"/>
      <c r="D7" s="3311"/>
      <c r="E7" s="123" t="s">
        <v>1266</v>
      </c>
      <c r="F7" s="1625"/>
      <c r="G7" s="1625"/>
      <c r="H7" s="1625"/>
      <c r="I7" s="1279"/>
    </row>
    <row r="8" spans="1:12" ht="12.75">
      <c r="A8" s="3288" t="s">
        <v>1267</v>
      </c>
      <c r="B8" s="3275">
        <v>15</v>
      </c>
      <c r="C8" s="3291"/>
      <c r="D8" s="3311"/>
      <c r="E8" s="123" t="s">
        <v>1268</v>
      </c>
      <c r="F8" s="1625"/>
      <c r="G8" s="1625"/>
      <c r="H8" s="1625"/>
      <c r="I8" s="1279"/>
    </row>
    <row r="9" spans="1:12" ht="12.75">
      <c r="A9" s="3288"/>
      <c r="B9" s="3275"/>
      <c r="C9" s="3293"/>
      <c r="D9" s="3311"/>
      <c r="E9" s="123" t="s">
        <v>1269</v>
      </c>
      <c r="F9" s="1625"/>
      <c r="G9" s="1625"/>
      <c r="H9" s="1625"/>
      <c r="I9" s="1279"/>
    </row>
    <row r="10" spans="1:12" ht="12.75">
      <c r="A10" s="3288" t="s">
        <v>1270</v>
      </c>
      <c r="B10" s="3275">
        <v>15</v>
      </c>
      <c r="C10" s="3291"/>
      <c r="D10" s="3311"/>
      <c r="E10" s="123" t="s">
        <v>1271</v>
      </c>
      <c r="F10" s="1625"/>
      <c r="G10" s="1625"/>
      <c r="H10" s="1625"/>
      <c r="I10" s="1279"/>
    </row>
    <row r="11" spans="1:12" ht="12.75">
      <c r="A11" s="3288"/>
      <c r="B11" s="3275"/>
      <c r="C11" s="3293"/>
      <c r="D11" s="3311"/>
      <c r="E11" s="123" t="s">
        <v>1272</v>
      </c>
      <c r="F11" s="1625"/>
      <c r="G11" s="1625"/>
      <c r="H11" s="1625"/>
      <c r="I11" s="1279"/>
    </row>
    <row r="12" spans="1:12" ht="12.75">
      <c r="A12" s="3288" t="s">
        <v>1273</v>
      </c>
      <c r="B12" s="3275">
        <v>15</v>
      </c>
      <c r="C12" s="3291"/>
      <c r="D12" s="3311"/>
      <c r="E12" s="123" t="s">
        <v>1274</v>
      </c>
      <c r="F12" s="1625"/>
      <c r="G12" s="1625"/>
      <c r="H12" s="1625"/>
      <c r="I12" s="1279"/>
    </row>
    <row r="13" spans="1:12" ht="12.75">
      <c r="A13" s="3288"/>
      <c r="B13" s="3275"/>
      <c r="C13" s="3293"/>
      <c r="D13" s="3311"/>
      <c r="E13" s="123" t="s">
        <v>1275</v>
      </c>
      <c r="F13" s="1625"/>
      <c r="G13" s="1625"/>
      <c r="H13" s="1625"/>
      <c r="I13" s="1279"/>
    </row>
    <row r="14" spans="1:12" ht="12.75">
      <c r="A14" s="3288" t="s">
        <v>1276</v>
      </c>
      <c r="B14" s="3275">
        <v>30</v>
      </c>
      <c r="C14" s="3291">
        <v>5</v>
      </c>
      <c r="D14" s="3311">
        <v>5</v>
      </c>
      <c r="E14" s="123" t="s">
        <v>1277</v>
      </c>
      <c r="F14" s="1625"/>
      <c r="G14" s="1625"/>
      <c r="H14" s="1625"/>
      <c r="I14" s="1279"/>
    </row>
    <row r="15" spans="1:12" ht="12.75">
      <c r="A15" s="3288"/>
      <c r="B15" s="3275"/>
      <c r="C15" s="3292"/>
      <c r="D15" s="3311"/>
      <c r="E15" s="123" t="s">
        <v>1278</v>
      </c>
      <c r="F15" s="1625"/>
      <c r="G15" s="1625"/>
      <c r="H15" s="1625"/>
      <c r="I15" s="1279"/>
    </row>
    <row r="16" spans="1:12" ht="12.75">
      <c r="A16" s="3288"/>
      <c r="B16" s="3275"/>
      <c r="C16" s="3293"/>
      <c r="D16" s="3311"/>
      <c r="E16" s="123" t="s">
        <v>1279</v>
      </c>
      <c r="F16" s="1625"/>
      <c r="G16" s="1625"/>
      <c r="H16" s="1625"/>
      <c r="I16" s="1279"/>
    </row>
    <row r="17" spans="1:36" ht="15">
      <c r="A17" s="1626" t="s">
        <v>1280</v>
      </c>
      <c r="B17" s="54"/>
      <c r="C17" s="124">
        <f>SUM(C5:C16)</f>
        <v>5</v>
      </c>
      <c r="D17" s="124">
        <f>SUM(D5:D16)</f>
        <v>5</v>
      </c>
      <c r="E17" s="121"/>
      <c r="F17" s="121"/>
      <c r="G17" s="121"/>
      <c r="H17" s="121"/>
      <c r="I17" s="121"/>
      <c r="K17" s="294"/>
      <c r="L17" s="294" t="s">
        <v>1281</v>
      </c>
      <c r="M17" s="294" t="s">
        <v>1282</v>
      </c>
    </row>
    <row r="18" spans="1:36" ht="31.9" customHeight="1" thickBot="1">
      <c r="A18" s="1627" t="s">
        <v>1283</v>
      </c>
      <c r="B18" s="1540"/>
      <c r="C18" s="125">
        <f>ROUND(C17/SUM(C17:D17),2)</f>
        <v>0.5</v>
      </c>
      <c r="D18" s="125">
        <f>1-C18</f>
        <v>0.5</v>
      </c>
      <c r="E18" s="3298" t="s">
        <v>2126</v>
      </c>
      <c r="F18" s="3299"/>
      <c r="G18" s="3299"/>
      <c r="H18" s="3299"/>
      <c r="I18" s="3299"/>
      <c r="K18" s="294" t="s">
        <v>1284</v>
      </c>
      <c r="L18" s="294">
        <f>IF(C1="",'数据-汇总表'!E3,SUMIF(项目类型,C1,'数据-汇总表'!E17:E26)+SUMIF(项目类型,C1,'数据-汇总表'!I17:I26))</f>
        <v>139616.6</v>
      </c>
      <c r="M18" s="294">
        <f>IF(C1="",'数据-汇总表'!E3,SUMIF(项目类型,C1,'数据-汇总表'!E17:E26))</f>
        <v>139616.6</v>
      </c>
    </row>
    <row r="19" spans="1:36" ht="15">
      <c r="A19" s="1628" t="s">
        <v>1285</v>
      </c>
      <c r="B19" s="1629" t="s">
        <v>1286</v>
      </c>
      <c r="C19" s="126">
        <f ca="1">SUMIF(INDIRECT("'"&amp;C4&amp;"'"&amp;"!A:A"),商业结果表!B19,INDIRECT("'"&amp;C4&amp;"'"&amp;"!B:B"))</f>
        <v>92288</v>
      </c>
      <c r="D19" s="127">
        <f ca="1">SUMIF(INDIRECT("'"&amp;D4&amp;"'"&amp;"!A:A"),商业结果表!B19,INDIRECT("'"&amp;D4&amp;"'"&amp;"!B:B"))</f>
        <v>102695</v>
      </c>
      <c r="E19" s="1628" t="s">
        <v>1287</v>
      </c>
      <c r="F19" s="1629" t="s">
        <v>1286</v>
      </c>
      <c r="G19" s="128">
        <f ca="1">ROUND(C19*$C$18+D19*$D$18,0)</f>
        <v>97492</v>
      </c>
      <c r="H19" s="1630" t="s">
        <v>1288</v>
      </c>
      <c r="I19" s="121"/>
      <c r="K19" s="294" t="s">
        <v>1289</v>
      </c>
      <c r="L19" s="294">
        <f>IF(C1="",'数据-汇总表'!D3,SUMIF(项目类型,C1,'数据-汇总表'!D17:D26)+SUMIF(项目类型,C1,'数据-汇总表'!H17:H27))</f>
        <v>13767.47</v>
      </c>
      <c r="M19" s="294">
        <f>IF(C1="",'数据-汇总表'!D3,SUMIF(项目类型,C1,'数据-汇总表'!D17:D26))</f>
        <v>13767.47</v>
      </c>
    </row>
    <row r="20" spans="1:36" ht="15">
      <c r="A20" s="1631"/>
      <c r="B20" s="43" t="s">
        <v>1290</v>
      </c>
      <c r="C20" s="129">
        <f ca="1">SUMIF(INDIRECT("'"&amp;C4&amp;"'"&amp;"!A:A"),商业结果表!B20,INDIRECT("'"&amp;C4&amp;"'"&amp;"!B:B"))</f>
        <v>47365</v>
      </c>
      <c r="D20" s="130">
        <f ca="1">SUMIF(INDIRECT("'"&amp;D4&amp;"'"&amp;"!A:A"),商业结果表!B20,INDIRECT("'"&amp;D4&amp;"'"&amp;"!B:B"))</f>
        <v>52706</v>
      </c>
      <c r="E20" s="1631"/>
      <c r="F20" s="43" t="s">
        <v>1290</v>
      </c>
      <c r="G20" s="131">
        <f ca="1">ROUND(C20*$C$18+D20*$D$18,0)</f>
        <v>50036</v>
      </c>
      <c r="H20" s="758" t="s">
        <v>1291</v>
      </c>
      <c r="I20" s="121"/>
    </row>
    <row r="21" spans="1:36" ht="15" customHeight="1" thickBot="1">
      <c r="A21" s="449"/>
      <c r="B21" s="93" t="s">
        <v>1292</v>
      </c>
      <c r="C21" s="678">
        <f ca="1">ROUND(C19*10000/L19,0)</f>
        <v>67033</v>
      </c>
      <c r="D21" s="679">
        <f ca="1">ROUND(D19*10000/L19,0)</f>
        <v>74592</v>
      </c>
      <c r="E21" s="449"/>
      <c r="F21" s="93" t="s">
        <v>1292</v>
      </c>
      <c r="G21" s="132">
        <f ca="1">ROUND(G19*10000/L19,0)</f>
        <v>70813</v>
      </c>
      <c r="H21" s="1632" t="s">
        <v>1291</v>
      </c>
      <c r="I21" s="121"/>
    </row>
    <row r="22" spans="1:36" ht="15" thickBot="1">
      <c r="A22" s="1562" t="s">
        <v>1293</v>
      </c>
      <c r="B22" s="1633"/>
      <c r="C22" s="1634"/>
      <c r="D22" s="680">
        <f ca="1">IF(C19&lt;D19,D19/C19-1,C19/D19-1)</f>
        <v>0.11276655686546455</v>
      </c>
      <c r="E22" s="121"/>
      <c r="F22" s="121"/>
      <c r="G22" s="121"/>
      <c r="H22" s="121"/>
      <c r="I22" s="121"/>
    </row>
    <row r="23" spans="1:36" ht="13.5" thickBot="1">
      <c r="A23" s="646"/>
      <c r="B23" s="646"/>
      <c r="C23" s="646"/>
      <c r="D23" s="646"/>
      <c r="E23" s="121"/>
      <c r="F23" s="121"/>
      <c r="G23" s="121"/>
      <c r="H23" s="121"/>
      <c r="I23" s="121"/>
    </row>
    <row r="24" spans="1:36" ht="14.25">
      <c r="A24" s="3282" t="s">
        <v>1294</v>
      </c>
      <c r="B24" s="1629" t="s">
        <v>1286</v>
      </c>
      <c r="C24" s="128">
        <f>IF(B30=0,0,D30)</f>
        <v>0</v>
      </c>
      <c r="D24" s="1635"/>
      <c r="E24" s="121"/>
      <c r="F24" s="121"/>
      <c r="G24" s="121"/>
      <c r="H24" s="121"/>
      <c r="I24" s="121"/>
    </row>
    <row r="25" spans="1:36" ht="14.25">
      <c r="A25" s="3283"/>
      <c r="B25" s="43" t="s">
        <v>1290</v>
      </c>
      <c r="C25" s="133">
        <f>IF(B30=0,0,C30)</f>
        <v>0</v>
      </c>
      <c r="D25" s="1636"/>
      <c r="E25" s="121"/>
      <c r="F25" s="121"/>
      <c r="G25" s="121"/>
      <c r="H25" s="121"/>
      <c r="I25" s="121"/>
    </row>
    <row r="26" spans="1:36" ht="13.5" customHeight="1">
      <c r="A26" s="1637" t="s">
        <v>1295</v>
      </c>
      <c r="B26" s="134" t="s">
        <v>1296</v>
      </c>
      <c r="C26" s="134" t="s">
        <v>1297</v>
      </c>
      <c r="D26" s="135" t="s">
        <v>1298</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1299</v>
      </c>
      <c r="B30" s="134"/>
      <c r="C30" s="134"/>
      <c r="D30" s="134"/>
      <c r="E30" s="2125" t="s">
        <v>2127</v>
      </c>
      <c r="F30" s="121"/>
      <c r="G30" s="121"/>
      <c r="H30" s="121"/>
      <c r="I30" s="121"/>
    </row>
    <row r="31" spans="1:36" s="2131" customFormat="1" ht="26.45" customHeight="1" thickTop="1" thickBot="1">
      <c r="A31" s="2126"/>
      <c r="B31" s="2127"/>
      <c r="C31" s="2127"/>
      <c r="D31" s="2127"/>
      <c r="E31" s="2127"/>
      <c r="F31" s="2127"/>
      <c r="G31" s="2127"/>
      <c r="H31" s="2127"/>
      <c r="I31" s="2128" t="s">
        <v>2128</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1300</v>
      </c>
      <c r="B32" s="1533"/>
      <c r="C32" s="136">
        <f ca="1">IF(D32="总价",G19-C24,G20-C25)</f>
        <v>97492</v>
      </c>
      <c r="D32" s="1639" t="s">
        <v>3470</v>
      </c>
      <c r="E32" s="121"/>
      <c r="F32" s="121"/>
      <c r="G32" s="121"/>
      <c r="H32" s="121"/>
      <c r="I32" s="121"/>
    </row>
    <row r="33" spans="1:15" ht="15">
      <c r="A33" s="738" t="s">
        <v>1301</v>
      </c>
      <c r="B33" s="123"/>
      <c r="C33" s="1640" t="s">
        <v>3471</v>
      </c>
      <c r="D33" s="1641" t="s">
        <v>3441</v>
      </c>
      <c r="E33" s="1642" t="s">
        <v>1302</v>
      </c>
      <c r="F33" s="1643" t="str">
        <f>IF(D32="楼面单价","取值（单价）","取值（总价）")</f>
        <v>取值（总价）</v>
      </c>
      <c r="G33" s="121"/>
      <c r="H33" s="121"/>
      <c r="I33" s="121"/>
    </row>
    <row r="34" spans="1:15" ht="15">
      <c r="A34" s="1644"/>
      <c r="B34" s="1645" t="s">
        <v>1303</v>
      </c>
      <c r="C34" s="140" t="e">
        <f ca="1">IF(C33="自定义",F34,C32-C35)</f>
        <v>#REF!</v>
      </c>
      <c r="D34" s="806" t="e">
        <f ca="1">IF(C33="自定义",ROUND(C34/C32,3),IF(C33="收益比率",SUMIF(INDIRECT("'"&amp;D33&amp;"'"&amp;"!b:b"),"土地收益比率",INDIRECT("'"&amp;D33&amp;"'"&amp;"!c:c")),SUMIF(INDIRECT("'"&amp;D33&amp;"'"&amp;"!b:b"),"土地成本比率",INDIRECT("'"&amp;D33&amp;"'"&amp;"!c:c"))))</f>
        <v>#REF!</v>
      </c>
      <c r="E34" s="1646" t="s">
        <v>1304</v>
      </c>
      <c r="F34" s="1241"/>
      <c r="G34" s="121"/>
      <c r="H34" s="121"/>
      <c r="I34" s="121"/>
    </row>
    <row r="35" spans="1:15" ht="15.75" thickBot="1">
      <c r="A35" s="1647"/>
      <c r="B35" s="1648" t="s">
        <v>1305</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1306</v>
      </c>
      <c r="F35" s="146"/>
      <c r="G35" s="121"/>
      <c r="H35" s="121"/>
      <c r="I35" s="121"/>
    </row>
    <row r="36" spans="1:15" ht="15.75" thickBot="1">
      <c r="A36" s="3302" t="s">
        <v>1307</v>
      </c>
      <c r="B36" s="1650" t="s">
        <v>1308</v>
      </c>
      <c r="C36" s="137"/>
      <c r="D36" s="1651"/>
      <c r="E36" s="1565"/>
      <c r="F36" s="1652"/>
      <c r="G36" s="121"/>
      <c r="H36" s="121"/>
      <c r="I36" s="121"/>
    </row>
    <row r="37" spans="1:15" ht="15.75" thickBot="1">
      <c r="A37" s="3303"/>
      <c r="B37" s="1553" t="s">
        <v>1309</v>
      </c>
      <c r="C37" s="139"/>
      <c r="D37" s="1069"/>
      <c r="E37" s="1069"/>
      <c r="F37" s="1652"/>
      <c r="G37" s="121"/>
      <c r="H37" s="121"/>
      <c r="I37" s="121"/>
    </row>
    <row r="38" spans="1:15" ht="15.75" thickBot="1">
      <c r="A38" s="3304"/>
      <c r="B38" s="1653" t="s">
        <v>1310</v>
      </c>
      <c r="C38" s="641"/>
      <c r="D38" s="1654" t="s">
        <v>1311</v>
      </c>
      <c r="E38" s="1069"/>
      <c r="F38" s="1652"/>
      <c r="G38" s="121"/>
      <c r="H38" s="121"/>
      <c r="I38" s="121"/>
    </row>
    <row r="39" spans="1:15" ht="15">
      <c r="A39" s="1631" t="s">
        <v>1312</v>
      </c>
      <c r="B39" s="1655" t="s">
        <v>1313</v>
      </c>
      <c r="C39" s="1656" t="s">
        <v>1314</v>
      </c>
      <c r="D39" s="1656" t="s">
        <v>1315</v>
      </c>
      <c r="E39" s="1657" t="s">
        <v>1316</v>
      </c>
      <c r="F39" s="1652"/>
      <c r="G39" s="121"/>
      <c r="H39" s="121"/>
      <c r="I39" s="121"/>
    </row>
    <row r="40" spans="1:15" ht="14.25">
      <c r="A40" s="1658" t="s">
        <v>1317</v>
      </c>
      <c r="B40" s="141"/>
      <c r="C40" s="142"/>
      <c r="D40" s="142"/>
      <c r="E40" s="143"/>
      <c r="F40" s="1652"/>
      <c r="G40" s="121"/>
      <c r="H40" s="121"/>
      <c r="I40" s="121"/>
    </row>
    <row r="41" spans="1:15" ht="14.25">
      <c r="A41" s="1658" t="s">
        <v>1318</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1319</v>
      </c>
      <c r="B44" s="1662"/>
      <c r="C44" s="1662"/>
      <c r="D44" s="1663"/>
      <c r="E44" s="1663"/>
      <c r="F44" s="1664"/>
      <c r="G44" s="1664"/>
      <c r="H44" s="1664"/>
      <c r="I44" s="1664"/>
      <c r="J44" s="1665" t="s">
        <v>1320</v>
      </c>
      <c r="K44" s="4"/>
      <c r="L44" s="4"/>
      <c r="M44" s="4"/>
      <c r="N44" s="4"/>
      <c r="O44" s="4"/>
    </row>
    <row r="45" spans="1:15" ht="14.25" customHeight="1" thickBot="1">
      <c r="A45" s="3279" t="s">
        <v>1321</v>
      </c>
      <c r="B45" s="3280"/>
      <c r="C45" s="3281"/>
      <c r="D45" s="147">
        <f ca="1">ROUND(H101*F45,0)</f>
        <v>97492</v>
      </c>
      <c r="E45" s="148" t="s">
        <v>1322</v>
      </c>
      <c r="F45" s="149">
        <v>1</v>
      </c>
      <c r="G45" s="150" t="s">
        <v>1323</v>
      </c>
      <c r="H45" s="121"/>
      <c r="I45" s="121"/>
      <c r="J45" s="3357" t="s">
        <v>1324</v>
      </c>
      <c r="K45" s="3357"/>
      <c r="L45" s="3357"/>
      <c r="M45" s="3357"/>
      <c r="N45" s="3357"/>
      <c r="O45" s="3357"/>
    </row>
    <row r="46" spans="1:15" ht="14.25" customHeight="1">
      <c r="A46" s="3276" t="s">
        <v>1325</v>
      </c>
      <c r="B46" s="3277"/>
      <c r="C46" s="3277"/>
      <c r="D46" s="3277"/>
      <c r="E46" s="3277"/>
      <c r="F46" s="3277"/>
      <c r="G46" s="3278"/>
      <c r="H46" s="1666"/>
      <c r="I46" s="151"/>
      <c r="J46" s="2306">
        <v>1</v>
      </c>
      <c r="K46" s="3338" t="s">
        <v>1326</v>
      </c>
      <c r="L46" s="3338"/>
      <c r="M46" s="3358"/>
      <c r="N46" s="3358"/>
      <c r="O46" s="3358"/>
    </row>
    <row r="47" spans="1:15" ht="12" customHeight="1">
      <c r="A47" s="152" t="s">
        <v>1327</v>
      </c>
      <c r="B47" s="153"/>
      <c r="C47" s="154"/>
      <c r="D47" s="1022" t="s">
        <v>1328</v>
      </c>
      <c r="E47" s="294" t="s">
        <v>1329</v>
      </c>
      <c r="F47" s="155" t="s">
        <v>1330</v>
      </c>
      <c r="G47" s="2329" t="s">
        <v>1331</v>
      </c>
      <c r="H47" s="2330"/>
      <c r="I47" s="151"/>
      <c r="J47" s="2306">
        <v>2</v>
      </c>
      <c r="K47" s="3338" t="s">
        <v>1332</v>
      </c>
      <c r="L47" s="3338"/>
      <c r="M47" s="3359">
        <f>'数据-取费表'!B2</f>
        <v>45804</v>
      </c>
      <c r="N47" s="3359"/>
      <c r="O47" s="3359"/>
    </row>
    <row r="48" spans="1:15" ht="25.5">
      <c r="A48" s="3307" t="s">
        <v>1333</v>
      </c>
      <c r="B48" s="3290"/>
      <c r="C48" s="3290"/>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1334</v>
      </c>
      <c r="H48" s="2333"/>
      <c r="I48" s="1666"/>
      <c r="J48" s="2306">
        <v>3</v>
      </c>
      <c r="K48" s="3338" t="s">
        <v>1335</v>
      </c>
      <c r="L48" s="3338"/>
      <c r="M48" s="3360">
        <f ca="1">H101</f>
        <v>97492</v>
      </c>
      <c r="N48" s="3360"/>
      <c r="O48" s="3360"/>
    </row>
    <row r="49" spans="1:35" ht="25.5" customHeight="1">
      <c r="A49" s="2150" t="s">
        <v>1336</v>
      </c>
      <c r="B49" s="3274" t="s">
        <v>1337</v>
      </c>
      <c r="C49" s="3274"/>
      <c r="D49" s="1476">
        <v>0</v>
      </c>
      <c r="E49" s="316" t="s">
        <v>1338</v>
      </c>
      <c r="F49" s="2231" t="s">
        <v>28</v>
      </c>
      <c r="G49" s="3344"/>
      <c r="H49" s="2132" t="s">
        <v>2129</v>
      </c>
      <c r="I49" s="2133"/>
      <c r="J49" s="2306">
        <v>4</v>
      </c>
      <c r="K49" s="3338" t="str">
        <f>IF(项目基本情况!E8="房地产抵押价值","房地产抵押价值","抵押担保权已注销时的房地产抵押价值")</f>
        <v>房地产抵押价值</v>
      </c>
      <c r="L49" s="3338"/>
      <c r="M49" s="3360">
        <f ca="1">IF(项目基本情况!E8="房地产抵押价值",H107,H109)</f>
        <v>97492</v>
      </c>
      <c r="N49" s="3360"/>
      <c r="O49" s="3360"/>
    </row>
    <row r="50" spans="1:35" ht="25.5" customHeight="1">
      <c r="A50" s="2334"/>
      <c r="B50" s="3274" t="s">
        <v>1339</v>
      </c>
      <c r="C50" s="3274"/>
      <c r="D50" s="2187"/>
      <c r="E50" s="323"/>
      <c r="F50" s="2231"/>
      <c r="G50" s="3345"/>
      <c r="H50" s="2134" t="s">
        <v>2130</v>
      </c>
      <c r="I50" s="2133"/>
      <c r="J50" s="3357" t="s">
        <v>1340</v>
      </c>
      <c r="K50" s="3357"/>
      <c r="L50" s="3357"/>
      <c r="M50" s="3357"/>
      <c r="N50" s="3357"/>
      <c r="O50" s="3357"/>
    </row>
    <row r="51" spans="1:35" ht="20.45" customHeight="1">
      <c r="A51" s="2335"/>
      <c r="B51" s="3274" t="s">
        <v>1341</v>
      </c>
      <c r="C51" s="3274"/>
      <c r="D51" s="1022"/>
      <c r="E51" s="319"/>
      <c r="F51" s="2231"/>
      <c r="G51" s="3346"/>
      <c r="H51" s="2134" t="s">
        <v>2131</v>
      </c>
      <c r="I51" s="2133"/>
      <c r="J51" s="2307" t="s">
        <v>1342</v>
      </c>
      <c r="K51" s="3338" t="s">
        <v>1343</v>
      </c>
      <c r="L51" s="3338"/>
      <c r="M51" s="2307" t="s">
        <v>1344</v>
      </c>
      <c r="N51" s="2307" t="s">
        <v>1345</v>
      </c>
      <c r="O51" s="2307" t="s">
        <v>1346</v>
      </c>
    </row>
    <row r="52" spans="1:35" ht="24" customHeight="1">
      <c r="A52" s="2151" t="s">
        <v>1347</v>
      </c>
      <c r="B52" s="3274" t="s">
        <v>1348</v>
      </c>
      <c r="C52" s="3274"/>
      <c r="D52" s="1022">
        <f ca="1">ROUND(D45*'数据-取费表'!B41/(1+'数据-取费表'!C42),0)</f>
        <v>5200</v>
      </c>
      <c r="E52" s="1254" t="s">
        <v>1349</v>
      </c>
      <c r="F52" s="2336">
        <f>'数据-取费表'!B41</f>
        <v>5.6000000000000001E-2</v>
      </c>
      <c r="G52" s="2337"/>
      <c r="H52" s="2327"/>
      <c r="I52" s="1667"/>
      <c r="J52" s="2306">
        <v>1</v>
      </c>
      <c r="K52" s="3339" t="s">
        <v>1350</v>
      </c>
      <c r="L52" s="3339"/>
      <c r="M52" s="2308" t="b">
        <f>D48</f>
        <v>0</v>
      </c>
      <c r="N52" s="2306" t="str">
        <f>E48</f>
        <v>销售额×税（费）率</v>
      </c>
      <c r="O52" s="2309">
        <f>F48</f>
        <v>5.6000000000000001E-2</v>
      </c>
    </row>
    <row r="53" spans="1:35" ht="12" customHeight="1">
      <c r="A53" s="2151" t="s">
        <v>1351</v>
      </c>
      <c r="B53" s="3300" t="s">
        <v>2277</v>
      </c>
      <c r="C53" s="3301"/>
      <c r="D53" s="1022">
        <f ca="1">ROUND(D45*'数据-取费表'!B41/(1+'数据-取费表'!C42),0)</f>
        <v>5200</v>
      </c>
      <c r="E53" s="1254" t="s">
        <v>1349</v>
      </c>
      <c r="F53" s="2336">
        <f>'数据-取费表'!B41</f>
        <v>5.6000000000000001E-2</v>
      </c>
      <c r="G53" s="2337"/>
      <c r="H53" s="2327"/>
      <c r="I53" s="1667"/>
      <c r="J53" s="2306">
        <v>2</v>
      </c>
      <c r="K53" s="3339" t="s">
        <v>1352</v>
      </c>
      <c r="L53" s="3339"/>
      <c r="M53" s="2308">
        <f t="shared" ref="M53:O54" ca="1" si="0">D55</f>
        <v>49</v>
      </c>
      <c r="N53" s="2306" t="str">
        <f t="shared" si="0"/>
        <v>销售额×税（费）率</v>
      </c>
      <c r="O53" s="2309" t="str">
        <f t="shared" si="0"/>
        <v>免征</v>
      </c>
    </row>
    <row r="54" spans="1:35" ht="12" customHeight="1">
      <c r="A54" s="2151" t="s">
        <v>1353</v>
      </c>
      <c r="B54" s="3300" t="s">
        <v>2278</v>
      </c>
      <c r="C54" s="3301"/>
      <c r="D54" s="1022">
        <f ca="1">C68</f>
        <v>5200</v>
      </c>
      <c r="E54" s="319" t="s">
        <v>1354</v>
      </c>
      <c r="F54" s="2336">
        <f>'数据-取费表'!B41</f>
        <v>5.6000000000000001E-2</v>
      </c>
      <c r="G54" s="2337"/>
      <c r="H54" s="2338"/>
      <c r="I54" s="1667"/>
      <c r="J54" s="2306">
        <v>3</v>
      </c>
      <c r="K54" s="3339" t="s">
        <v>1355</v>
      </c>
      <c r="L54" s="3339"/>
      <c r="M54" s="2308">
        <f t="shared" ca="1" si="0"/>
        <v>55181</v>
      </c>
      <c r="N54" s="2306" t="str">
        <f t="shared" si="0"/>
        <v>增值额×税（费）率</v>
      </c>
      <c r="O54" s="2310" t="str">
        <f t="shared" si="0"/>
        <v>免征</v>
      </c>
    </row>
    <row r="55" spans="1:35" ht="24" customHeight="1">
      <c r="A55" s="3289" t="s">
        <v>1356</v>
      </c>
      <c r="B55" s="3290"/>
      <c r="C55" s="3290"/>
      <c r="D55" s="12">
        <f ca="1">IF(H55="个人住宅",0,ROUND(D45*I55,0))</f>
        <v>49</v>
      </c>
      <c r="E55" s="1254" t="s">
        <v>1357</v>
      </c>
      <c r="F55" s="2336" t="str">
        <f>IF(H55="正常",I55,"免征")</f>
        <v>免征</v>
      </c>
      <c r="G55" s="2337"/>
      <c r="H55" s="2333"/>
      <c r="I55" s="157">
        <f>'数据-取费表'!B49</f>
        <v>5.0000000000000001E-4</v>
      </c>
      <c r="J55" s="2306">
        <f>IF(H59="非个人房产","",4)</f>
        <v>4</v>
      </c>
      <c r="K55" s="3339" t="str">
        <f>IF(H59="非个人房产","——","个人所得税")</f>
        <v>个人所得税</v>
      </c>
      <c r="L55" s="3339"/>
      <c r="M55" s="2311">
        <f ca="1">D59</f>
        <v>929</v>
      </c>
      <c r="N55" s="1881" t="str">
        <f>E59</f>
        <v>差额计税</v>
      </c>
      <c r="O55" s="2312">
        <f>F59</f>
        <v>0.01</v>
      </c>
    </row>
    <row r="56" spans="1:35" ht="24.75">
      <c r="A56" s="3289" t="s">
        <v>1358</v>
      </c>
      <c r="B56" s="3290"/>
      <c r="C56" s="3290"/>
      <c r="D56" s="12">
        <f ca="1">IF(H56="个人住宅",D57,D58)</f>
        <v>55181</v>
      </c>
      <c r="E56" s="1254" t="s">
        <v>1359</v>
      </c>
      <c r="F56" s="2336" t="str">
        <f>IF(H56="正常",F58,"免征")</f>
        <v>免征</v>
      </c>
      <c r="G56" s="2339" t="s">
        <v>1360</v>
      </c>
      <c r="H56" s="2340"/>
      <c r="I56" s="1668"/>
      <c r="J56" s="2306" t="str">
        <f>IF(项目基本情况!K6="上海银行",IF(J55="",4,J55+1),"")</f>
        <v/>
      </c>
      <c r="K56" s="3362" t="str">
        <f>IF(项目基本情况!K6="上海银行","其他处置费用","")</f>
        <v/>
      </c>
      <c r="L56" s="3363"/>
      <c r="M56" s="2308" t="str">
        <f>IF(项目基本情况!K6="上海银行",M69,"")</f>
        <v/>
      </c>
      <c r="N56" s="3362" t="str">
        <f>IF(项目基本情况!K6="上海银行","包含处置中涉及的律师、诉讼、拍卖、评估等费用","")</f>
        <v/>
      </c>
      <c r="O56" s="3365"/>
    </row>
    <row r="57" spans="1:35" ht="12.75">
      <c r="A57" s="2151" t="s">
        <v>1336</v>
      </c>
      <c r="B57" s="3300" t="s">
        <v>1361</v>
      </c>
      <c r="C57" s="3301"/>
      <c r="D57" s="1476">
        <v>0</v>
      </c>
      <c r="E57" s="316" t="s">
        <v>1338</v>
      </c>
      <c r="F57" s="294"/>
      <c r="G57" s="2337"/>
      <c r="H57" s="2341"/>
      <c r="I57" s="1668"/>
      <c r="J57" s="3339">
        <f>IF(AND(J55="",J56=""),4,IF(项目基本情况!K6="上海银行",商业结果表!J56+1,商业结果表!J55+1))</f>
        <v>5</v>
      </c>
      <c r="K57" s="3339" t="s">
        <v>1362</v>
      </c>
      <c r="L57" s="2313" t="s">
        <v>1363</v>
      </c>
      <c r="M57" s="2314"/>
      <c r="N57" s="2315">
        <f ca="1">SUMIF(M52:M56,"&lt;9e307")</f>
        <v>56159</v>
      </c>
      <c r="O57" s="2316"/>
      <c r="P57" s="2461">
        <f ca="1">N57/M49</f>
        <v>0.57603700816477255</v>
      </c>
    </row>
    <row r="58" spans="1:35" ht="24.75">
      <c r="A58" s="2151" t="s">
        <v>1347</v>
      </c>
      <c r="B58" s="3300" t="s">
        <v>1364</v>
      </c>
      <c r="C58" s="3274"/>
      <c r="D58" s="12">
        <f ca="1">IF(H58="转让取得",C81,C97)</f>
        <v>55181</v>
      </c>
      <c r="E58" s="1254" t="s">
        <v>1359</v>
      </c>
      <c r="F58" s="294" t="s">
        <v>28</v>
      </c>
      <c r="G58" s="2337"/>
      <c r="H58" s="2340"/>
      <c r="I58" s="1668"/>
      <c r="J58" s="3339"/>
      <c r="K58" s="3339"/>
      <c r="L58" s="2313" t="s">
        <v>1365</v>
      </c>
      <c r="M58" s="2317"/>
      <c r="N58" s="2318" t="str">
        <f ca="1">NUMBERSTRING(INT(N57*10000),2)&amp;"元整"</f>
        <v>伍亿陆仟壹佰伍拾玖万元整</v>
      </c>
      <c r="O58" s="2319"/>
    </row>
    <row r="59" spans="1:35" ht="24.75" thickBot="1">
      <c r="A59" s="3342" t="s">
        <v>1366</v>
      </c>
      <c r="B59" s="3343"/>
      <c r="C59" s="3343"/>
      <c r="D59" s="2342">
        <f ca="1">IF(H59="非个人房产","——",IF(H59="个人住宅（满五唯一有凭证）",0,IF(H59="个人其他（无凭证）",ROUND(D45*F59,0),ROUND(C67*F59,0))))</f>
        <v>929</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1360</v>
      </c>
      <c r="H59" s="2136"/>
      <c r="I59" s="2135" t="s">
        <v>2132</v>
      </c>
      <c r="J59" s="3340">
        <f>J57+1</f>
        <v>6</v>
      </c>
      <c r="K59" s="3339" t="s">
        <v>1367</v>
      </c>
      <c r="L59" s="2306" t="s">
        <v>1363</v>
      </c>
      <c r="M59" s="2320"/>
      <c r="N59" s="2321">
        <f ca="1">M49-N57</f>
        <v>41333</v>
      </c>
      <c r="O59" s="2322"/>
    </row>
    <row r="60" spans="1:35" ht="12" customHeight="1">
      <c r="A60" s="1669"/>
      <c r="B60" s="646"/>
      <c r="C60" s="646"/>
      <c r="D60" s="646"/>
      <c r="E60" s="1464"/>
      <c r="F60" s="1668"/>
      <c r="G60" s="1668"/>
      <c r="H60" s="151"/>
      <c r="I60" s="121"/>
      <c r="J60" s="3341"/>
      <c r="K60" s="3339"/>
      <c r="L60" s="2313" t="s">
        <v>1365</v>
      </c>
      <c r="M60" s="2317"/>
      <c r="N60" s="2318" t="str">
        <f ca="1">NUMBERSTRING(INT(N59*10000),2)&amp;"元整"</f>
        <v>肆亿壹仟叁佰叁拾叁万元整</v>
      </c>
      <c r="O60" s="2319"/>
    </row>
    <row r="61" spans="1:35" ht="13.5" thickBot="1">
      <c r="A61" s="3287" t="s">
        <v>1368</v>
      </c>
      <c r="B61" s="3287"/>
      <c r="C61" s="3287"/>
      <c r="D61" s="3287"/>
      <c r="E61" s="3287"/>
      <c r="F61" s="1668"/>
      <c r="G61" s="1668"/>
      <c r="H61" s="151"/>
      <c r="I61" s="121"/>
      <c r="J61" s="2306">
        <f>J59+1</f>
        <v>7</v>
      </c>
      <c r="K61" s="3339" t="s">
        <v>1369</v>
      </c>
      <c r="L61" s="3339"/>
      <c r="M61" s="2323"/>
      <c r="N61" s="2324">
        <f ca="1">ROUND(N59*10000/'数据-汇总表'!E3,0)</f>
        <v>2960</v>
      </c>
      <c r="O61" s="2325"/>
    </row>
    <row r="62" spans="1:35" ht="12.75">
      <c r="A62" s="3305" t="s">
        <v>1370</v>
      </c>
      <c r="B62" s="3306"/>
      <c r="C62" s="1863"/>
      <c r="D62" s="1863" t="s">
        <v>1371</v>
      </c>
      <c r="E62" s="158" t="s">
        <v>1372</v>
      </c>
      <c r="F62" s="1668"/>
      <c r="G62" s="1668"/>
      <c r="H62" s="151"/>
      <c r="I62" s="121"/>
    </row>
    <row r="63" spans="1:35" ht="12.75">
      <c r="A63" s="165" t="s">
        <v>330</v>
      </c>
      <c r="B63" s="159" t="s">
        <v>1373</v>
      </c>
      <c r="C63" s="2346">
        <f ca="1">ROUND((C64+C65)/(1+'数据-取费表'!C42),0)</f>
        <v>92850</v>
      </c>
      <c r="D63" s="159"/>
      <c r="E63" s="160"/>
      <c r="F63" s="1668"/>
      <c r="G63" s="1668"/>
      <c r="H63" s="151"/>
      <c r="I63" s="121"/>
      <c r="J63" s="3364" t="s">
        <v>1374</v>
      </c>
      <c r="K63" s="1243" t="s">
        <v>1375</v>
      </c>
      <c r="L63" s="1243">
        <f ca="1">IF(M49&gt;10000,M49*0.5%,IF(AND(M49&gt;1000,M49&lt;=10000),M49*1%,IF(AND(M49&gt;100,M49&lt;=1000),M49*3%,IF(AND(M49&gt;10,M49&lt;=100),M49*5%,M49*8%))))</f>
        <v>487.46000000000004</v>
      </c>
      <c r="M63" s="294">
        <f ca="1">ROUND(L63,1)</f>
        <v>487.5</v>
      </c>
      <c r="N63" s="2326"/>
      <c r="Z63" s="1621"/>
      <c r="AI63" s="1559"/>
    </row>
    <row r="64" spans="1:35" ht="14.25" customHeight="1">
      <c r="A64" s="161" t="s">
        <v>325</v>
      </c>
      <c r="B64" s="162" t="s">
        <v>1376</v>
      </c>
      <c r="C64" s="2347">
        <f ca="1">D45</f>
        <v>97492</v>
      </c>
      <c r="D64" s="162" t="s">
        <v>26</v>
      </c>
      <c r="E64" s="164"/>
      <c r="F64" s="1668"/>
      <c r="G64" s="1668"/>
      <c r="H64" s="151"/>
      <c r="I64" s="121"/>
      <c r="J64" s="3364"/>
      <c r="K64" s="1243" t="s">
        <v>1377</v>
      </c>
      <c r="L64" s="1243">
        <f ca="1">IF(M49&gt;2000,M49*0.5%,IF(AND(M49&gt;1000,M49&lt;=2000),M49*0.6%,IF(AND(M49&gt;500,M49&lt;=1000),M49*0.7%,IF(AND(M49&gt;200,M49&lt;=500),M49*0.8%,IF(AND(M49&gt;100,M49&lt;=200),M49*0.9%,IF(AND(M49&gt;50,M49&lt;=100),M49*1%,IF(AND(M49&gt;20,M49&lt;=50),M49*1.5%,IF(AND(M49&gt;10,M49&lt;=20),M49*2%,IF(AND(M49&gt;1,M49&lt;=10),M49*2.5%)))))))))</f>
        <v>487.46000000000004</v>
      </c>
      <c r="M64" s="294">
        <f t="shared" ref="M64:M65" ca="1" si="1">ROUND(L64,1)</f>
        <v>487.5</v>
      </c>
      <c r="N64" s="2327" t="s">
        <v>1378</v>
      </c>
      <c r="Z64" s="1621"/>
      <c r="AI64" s="1559"/>
    </row>
    <row r="65" spans="1:35" ht="14.25" customHeight="1">
      <c r="A65" s="161" t="s">
        <v>326</v>
      </c>
      <c r="B65" s="162" t="s">
        <v>1379</v>
      </c>
      <c r="C65" s="2348"/>
      <c r="D65" s="162"/>
      <c r="E65" s="164"/>
      <c r="F65" s="1668"/>
      <c r="G65" s="1668"/>
      <c r="H65" s="151"/>
      <c r="I65" s="121"/>
      <c r="J65" s="3364"/>
      <c r="K65" s="1243" t="s">
        <v>1380</v>
      </c>
      <c r="L65" s="1243">
        <f ca="1">IF(M49&gt;1000,M49*0.1%,IF(AND(M49&gt;500,M49&lt;=1000),M49*0.5%,IF(AND(M49&gt;50,M49&lt;=500),M49*1%,IF(AND(M49&gt;1,M49&lt;=50),M49*1.5%))))</f>
        <v>97.492000000000004</v>
      </c>
      <c r="M65" s="294">
        <f t="shared" ca="1" si="1"/>
        <v>97.5</v>
      </c>
      <c r="N65" s="2327" t="s">
        <v>1378</v>
      </c>
      <c r="Z65" s="1621"/>
      <c r="AI65" s="1559"/>
    </row>
    <row r="66" spans="1:35" ht="14.25" customHeight="1">
      <c r="A66" s="165" t="s">
        <v>327</v>
      </c>
      <c r="B66" s="166" t="s">
        <v>1381</v>
      </c>
      <c r="C66" s="2349"/>
      <c r="D66" s="166" t="s">
        <v>26</v>
      </c>
      <c r="E66" s="1249" t="s">
        <v>666</v>
      </c>
      <c r="F66" s="1668"/>
      <c r="G66" s="1668"/>
      <c r="H66" s="151"/>
      <c r="I66" s="121"/>
      <c r="J66" s="3364"/>
      <c r="K66" s="1243" t="s">
        <v>1382</v>
      </c>
      <c r="L66" s="1243">
        <f ca="1">M49*0.5%</f>
        <v>487.46000000000004</v>
      </c>
      <c r="M66" s="294">
        <f ca="1">IF(L66&gt;0.5,0.5,ROUND(L66,0))</f>
        <v>0.5</v>
      </c>
      <c r="N66" s="2327" t="s">
        <v>1383</v>
      </c>
      <c r="Z66" s="1621"/>
      <c r="AI66" s="1559"/>
    </row>
    <row r="67" spans="1:35" ht="14.25" customHeight="1">
      <c r="A67" s="165" t="s">
        <v>328</v>
      </c>
      <c r="B67" s="166" t="s">
        <v>1384</v>
      </c>
      <c r="C67" s="2350">
        <f ca="1">C63-C66</f>
        <v>92850</v>
      </c>
      <c r="D67" s="162" t="s">
        <v>26</v>
      </c>
      <c r="E67" s="164"/>
      <c r="F67" s="1668"/>
      <c r="G67" s="1668"/>
      <c r="H67" s="151"/>
      <c r="I67" s="121"/>
      <c r="J67" s="3364"/>
      <c r="K67" s="1243" t="s">
        <v>1385</v>
      </c>
      <c r="L67" s="1243">
        <f ca="1">IF(M49&gt;=10000,(8.25+(M49-10000)*0.01%),IF(AND(M49&gt;=8000,M49&lt;10000),(7.85+(M49-8000)*0.02%),IF(AND(M49&gt;=5000,M49&lt;8000),(6.65+(M49-5000)*0.04%),IF(AND(M49&gt;=2000,M49&lt;5000),(4.25+(PM49-2000)*0.08%),IF(AND(M49&gt;=1000,M49&lt;2000),(2.75+(M49-1000)*0.15%),IF(AND(M49&gt;=100,M49&lt;1000),(0.5+(M49-100)*0.25%),IF(AND(M49&gt;0,M49&lt;100),M49*0.5%)))))))</f>
        <v>16.999200000000002</v>
      </c>
      <c r="M67" s="294">
        <f ca="1">ROUND(L67*0.9,1)</f>
        <v>15.3</v>
      </c>
      <c r="N67" s="2326"/>
      <c r="Z67" s="1621"/>
      <c r="AI67" s="1559"/>
    </row>
    <row r="68" spans="1:35" ht="14.25" customHeight="1" thickBot="1">
      <c r="A68" s="168" t="s">
        <v>329</v>
      </c>
      <c r="B68" s="169" t="s">
        <v>1386</v>
      </c>
      <c r="C68" s="2351">
        <f ca="1">IF(C67&lt;=0,0,ROUND(C67*D68,0))</f>
        <v>5200</v>
      </c>
      <c r="D68" s="2352">
        <f>'数据-取费表'!B41</f>
        <v>5.6000000000000001E-2</v>
      </c>
      <c r="E68" s="170"/>
      <c r="F68" s="1668"/>
      <c r="G68" s="1668"/>
      <c r="H68" s="151"/>
      <c r="I68" s="121"/>
      <c r="J68" s="3364"/>
      <c r="K68" s="1243" t="s">
        <v>1387</v>
      </c>
      <c r="L68" s="1243">
        <f ca="1">IF(M49&gt;10000,M49*0.5%,IF(AND(M49&gt;5000,M49&lt;=10000),M49*1%,IF(AND(M49&gt;1000,M49&lt;=5000),M49*2%,IF(AND(M49&gt;200,M49&lt;=1000),M49*3%,M49*5%))))</f>
        <v>487.46000000000004</v>
      </c>
      <c r="M68" s="294">
        <f ca="1">ROUND(L68,1)</f>
        <v>487.5</v>
      </c>
      <c r="N68" s="2326"/>
      <c r="Z68" s="1621"/>
      <c r="AI68" s="1559"/>
    </row>
    <row r="69" spans="1:35" ht="16.5" customHeight="1">
      <c r="A69" s="1670"/>
      <c r="B69" s="1671"/>
      <c r="C69" s="1672"/>
      <c r="D69" s="1673"/>
      <c r="E69" s="1674"/>
      <c r="F69" s="1464"/>
      <c r="G69" s="1464"/>
      <c r="H69" s="1465"/>
      <c r="I69" s="646"/>
      <c r="J69" s="3364"/>
      <c r="K69" s="1243" t="s">
        <v>1388</v>
      </c>
      <c r="L69" s="1243"/>
      <c r="M69" s="294">
        <f ca="1">ROUND(SUM(M63:M68),0)</f>
        <v>1576</v>
      </c>
      <c r="N69" s="2328">
        <f ca="1">M69/M49</f>
        <v>1.6165428958273498E-2</v>
      </c>
      <c r="Z69" s="1621"/>
      <c r="AI69" s="1559"/>
    </row>
    <row r="70" spans="1:35" s="642" customFormat="1" ht="15" thickBot="1">
      <c r="A70" s="3326" t="s">
        <v>1389</v>
      </c>
      <c r="B70" s="3327"/>
      <c r="C70" s="3327"/>
      <c r="D70" s="3327"/>
      <c r="E70" s="3327"/>
      <c r="F70" s="3327"/>
      <c r="G70" s="3327"/>
      <c r="H70" s="3327"/>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4.25">
      <c r="A71" s="3305" t="s">
        <v>1370</v>
      </c>
      <c r="B71" s="3306"/>
      <c r="C71" s="1863"/>
      <c r="D71" s="1863" t="s">
        <v>1371</v>
      </c>
      <c r="E71" s="171" t="s">
        <v>1372</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4.25">
      <c r="A72" s="165" t="s">
        <v>330</v>
      </c>
      <c r="B72" s="166" t="s">
        <v>1390</v>
      </c>
      <c r="C72" s="2350">
        <f ca="1">ROUND(D45/(1+'数据-取费表'!C42),0)</f>
        <v>92850</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4.25">
      <c r="A73" s="165" t="s">
        <v>327</v>
      </c>
      <c r="B73" s="155" t="s">
        <v>1391</v>
      </c>
      <c r="C73" s="2350">
        <f ca="1">C74+C78</f>
        <v>557</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1392</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14.25">
      <c r="A75" s="161" t="s">
        <v>331</v>
      </c>
      <c r="B75" s="162" t="s">
        <v>1393</v>
      </c>
      <c r="C75" s="2353"/>
      <c r="D75" s="162" t="s">
        <v>26</v>
      </c>
      <c r="E75" s="176" t="s">
        <v>1394</v>
      </c>
      <c r="F75" s="2354"/>
      <c r="G75" s="176" t="s">
        <v>1395</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1396</v>
      </c>
      <c r="C76" s="162">
        <f>IF(F75="购房发票",ROUND(C75*H75*D76,0),0)</f>
        <v>0</v>
      </c>
      <c r="D76" s="2356">
        <v>0.05</v>
      </c>
      <c r="E76" s="3300" t="s">
        <v>1397</v>
      </c>
      <c r="F76" s="3274"/>
      <c r="G76" s="3274"/>
      <c r="H76" s="3325"/>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1398</v>
      </c>
      <c r="C77" s="162">
        <f>ROUND(IF(G77="个人住宅",0,IF(G77="2016年5月1日前购买",C75*D77,C75*D77/(1+'数据-取费表'!C42))),0)</f>
        <v>0</v>
      </c>
      <c r="D77" s="2357">
        <f>'数据-取费表'!B48+'数据-取费表'!B49</f>
        <v>3.0499999999999999E-2</v>
      </c>
      <c r="E77" s="12" t="s">
        <v>1399</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1400</v>
      </c>
      <c r="C78" s="2358">
        <f ca="1">ROUND(D45*D78/(1+'数据-取费表'!C42),0)</f>
        <v>557</v>
      </c>
      <c r="D78" s="2359">
        <f>'数据-取费表'!B43</f>
        <v>6.000000000000001E-3</v>
      </c>
      <c r="E78" s="3284" t="s">
        <v>1401</v>
      </c>
      <c r="F78" s="3285"/>
      <c r="G78" s="3285"/>
      <c r="H78" s="3294"/>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4.25">
      <c r="A79" s="165" t="s">
        <v>334</v>
      </c>
      <c r="B79" s="166" t="s">
        <v>1402</v>
      </c>
      <c r="C79" s="2350">
        <f ca="1">C72-C73</f>
        <v>92293</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1403</v>
      </c>
      <c r="C80" s="2360">
        <f ca="1">IF(C79&lt;=0,0,C79/C73)</f>
        <v>165.69658886894075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75" thickBot="1">
      <c r="A81" s="168" t="s">
        <v>336</v>
      </c>
      <c r="B81" s="169" t="s">
        <v>1404</v>
      </c>
      <c r="C81" s="2361">
        <f ca="1">ROUND(IF(C79&lt;=0,0,IF(C80&gt;=200%,C79*60%-C73*35%,IF(C80&gt;=100%,C79*50%-C73*15%,IF(C80&gt;=50%,C79*40%-C73*5%,IF(C80&lt;50%,C79*30%,0))))),0)</f>
        <v>55181</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5" thickBot="1">
      <c r="A83" s="3326" t="s">
        <v>1405</v>
      </c>
      <c r="B83" s="3327"/>
      <c r="C83" s="3327"/>
      <c r="D83" s="3327"/>
      <c r="E83" s="3327"/>
      <c r="F83" s="3327"/>
      <c r="G83" s="3327"/>
      <c r="H83" s="3327"/>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4.25">
      <c r="A84" s="3305" t="s">
        <v>1370</v>
      </c>
      <c r="B84" s="3306"/>
      <c r="C84" s="1863"/>
      <c r="D84" s="1863" t="s">
        <v>1371</v>
      </c>
      <c r="E84" s="171" t="s">
        <v>1372</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4.25">
      <c r="A85" s="165" t="s">
        <v>330</v>
      </c>
      <c r="B85" s="166" t="s">
        <v>1390</v>
      </c>
      <c r="C85" s="2350">
        <f ca="1">ROUND(D45/(1+'数据-取费表'!C42),0)</f>
        <v>92850</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4.25">
      <c r="A86" s="165" t="s">
        <v>327</v>
      </c>
      <c r="B86" s="155" t="s">
        <v>1391</v>
      </c>
      <c r="C86" s="2350">
        <f ca="1">IF(H88="仅含出让金",C87+C90+C91+C92+C93+C94,C87+C91+C92+C93+C94)</f>
        <v>557</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4.25">
      <c r="A87" s="161" t="s">
        <v>325</v>
      </c>
      <c r="B87" s="162" t="s">
        <v>1406</v>
      </c>
      <c r="C87" s="2358">
        <f>C88+C89</f>
        <v>0</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25">
      <c r="A88" s="161" t="s">
        <v>331</v>
      </c>
      <c r="B88" s="162" t="s">
        <v>1407</v>
      </c>
      <c r="C88" s="2364"/>
      <c r="D88" s="2359"/>
      <c r="E88" s="185" t="s">
        <v>1408</v>
      </c>
      <c r="F88" s="2146"/>
      <c r="G88" s="186" t="s">
        <v>1409</v>
      </c>
      <c r="H88" s="1682"/>
      <c r="I88" s="1679"/>
      <c r="J88" s="2304" t="s">
        <v>2274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4.25">
      <c r="A89" s="161" t="s">
        <v>332</v>
      </c>
      <c r="B89" s="162" t="s">
        <v>1398</v>
      </c>
      <c r="C89" s="2358">
        <f>ROUND(C88*D89,0)</f>
        <v>0</v>
      </c>
      <c r="D89" s="2359">
        <f>'数据-取费表'!B48+'数据-取费表'!B49</f>
        <v>3.0499999999999999E-2</v>
      </c>
      <c r="E89" s="185" t="s">
        <v>1410</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25">
      <c r="A90" s="161" t="s">
        <v>326</v>
      </c>
      <c r="B90" s="162" t="s">
        <v>1411</v>
      </c>
      <c r="C90" s="2364"/>
      <c r="D90" s="2359"/>
      <c r="E90" s="185" t="str">
        <f>IF(H88="-","土地取得成本中已包含该笔费用"," ")</f>
        <v xml:space="preserve"> </v>
      </c>
      <c r="F90" s="2146"/>
      <c r="G90" s="3366" t="s">
        <v>2124</v>
      </c>
      <c r="H90" s="3367"/>
      <c r="I90" s="1679"/>
      <c r="J90" s="2304" t="s">
        <v>2275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1412</v>
      </c>
      <c r="B91" s="162" t="s">
        <v>1413</v>
      </c>
      <c r="C91" s="2358">
        <f>IF(H91="——",商业成本法!C33,I91)</f>
        <v>0</v>
      </c>
      <c r="D91" s="2359"/>
      <c r="E91" s="3284" t="s">
        <v>1414</v>
      </c>
      <c r="F91" s="3285"/>
      <c r="G91" s="3285"/>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1415</v>
      </c>
      <c r="B92" s="162" t="s">
        <v>1416</v>
      </c>
      <c r="C92" s="2358">
        <f>ROUND((C87+C90+C91)*D92,0)</f>
        <v>0</v>
      </c>
      <c r="D92" s="2365"/>
      <c r="E92" s="3284" t="s">
        <v>1417</v>
      </c>
      <c r="F92" s="3285"/>
      <c r="G92" s="3285"/>
      <c r="H92" s="3294"/>
      <c r="I92" s="1679"/>
      <c r="J92" s="2305" t="s">
        <v>2276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1418</v>
      </c>
      <c r="B93" s="162" t="s">
        <v>1400</v>
      </c>
      <c r="C93" s="2358">
        <f ca="1">ROUND(D45*D93/(1+'数据-取费表'!C42),0)</f>
        <v>557</v>
      </c>
      <c r="D93" s="2359">
        <f>'数据-取费表'!B43</f>
        <v>6.000000000000001E-3</v>
      </c>
      <c r="E93" s="3284" t="s">
        <v>1401</v>
      </c>
      <c r="F93" s="3285"/>
      <c r="G93" s="3285"/>
      <c r="H93" s="3294"/>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1419</v>
      </c>
      <c r="B94" s="162" t="s">
        <v>1420</v>
      </c>
      <c r="C94" s="2364">
        <f>ROUND((C87+C90+C91)*D94,0)</f>
        <v>0</v>
      </c>
      <c r="D94" s="2359">
        <v>0.2</v>
      </c>
      <c r="E94" s="3295" t="s">
        <v>1421</v>
      </c>
      <c r="F94" s="3296"/>
      <c r="G94" s="3296"/>
      <c r="H94" s="3297"/>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4.25">
      <c r="A95" s="165" t="s">
        <v>334</v>
      </c>
      <c r="B95" s="166" t="s">
        <v>1402</v>
      </c>
      <c r="C95" s="2350">
        <f ca="1">ROUND(C85-C86,0)</f>
        <v>92293</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1403</v>
      </c>
      <c r="C96" s="2360">
        <f ca="1">IF(C95&lt;=0,0,C95/C86)</f>
        <v>165.69658886894075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75" thickBot="1">
      <c r="A97" s="168" t="s">
        <v>336</v>
      </c>
      <c r="B97" s="169" t="s">
        <v>1404</v>
      </c>
      <c r="C97" s="2361">
        <f ca="1">ROUND(IF(C95&lt;=0,0,IF(C96&gt;=200%,C95*60%-C86*35%,IF(C96&gt;=100%,C95*50%-C86*15%,IF(C96&gt;=50%,C95*40%-C86*5%,IF(C96&lt;50%,C95*30%,0))))),0)</f>
        <v>55181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1422</v>
      </c>
      <c r="B99" s="646"/>
      <c r="C99" s="646"/>
      <c r="D99" s="646"/>
      <c r="E99" s="1464"/>
      <c r="F99" s="1464"/>
      <c r="G99" s="1464"/>
      <c r="H99" s="1465"/>
      <c r="I99" s="121"/>
    </row>
    <row r="100" spans="1:35" ht="18.75" customHeight="1">
      <c r="A100" s="3268" t="s">
        <v>1423</v>
      </c>
      <c r="B100" s="3269"/>
      <c r="C100" s="3269"/>
      <c r="D100" s="3286"/>
      <c r="E100" s="3269" t="s">
        <v>1424</v>
      </c>
      <c r="F100" s="3269"/>
      <c r="G100" s="3269"/>
      <c r="H100" s="3286"/>
      <c r="I100" s="121"/>
    </row>
    <row r="101" spans="1:35" ht="18.75" customHeight="1">
      <c r="A101" s="3347" t="s">
        <v>1425</v>
      </c>
      <c r="B101" s="3348"/>
      <c r="C101" s="2367" t="str">
        <f>C4</f>
        <v>商业成本法</v>
      </c>
      <c r="D101" s="2368" t="str">
        <f>D4</f>
        <v>商业收益法</v>
      </c>
      <c r="E101" s="3361" t="s">
        <v>1426</v>
      </c>
      <c r="F101" s="3318"/>
      <c r="G101" s="1685" t="s">
        <v>1427</v>
      </c>
      <c r="H101" s="2377">
        <f ca="1">H118</f>
        <v>97492</v>
      </c>
      <c r="I101" s="121"/>
    </row>
    <row r="102" spans="1:35" ht="18.75" customHeight="1">
      <c r="A102" s="3320" t="s">
        <v>1428</v>
      </c>
      <c r="B102" s="2366" t="s">
        <v>1427</v>
      </c>
      <c r="C102" s="2367">
        <f ca="1">IF(D32="楼面单价",ROUND(C19,0),C19)</f>
        <v>92288</v>
      </c>
      <c r="D102" s="2368">
        <f ca="1">IF(D32="楼面单价",ROUND(D19,0),D19)</f>
        <v>102695</v>
      </c>
      <c r="E102" s="3361"/>
      <c r="F102" s="3318"/>
      <c r="G102" s="1685" t="s">
        <v>1429</v>
      </c>
      <c r="H102" s="2337">
        <f ca="1">I118</f>
        <v>6983</v>
      </c>
      <c r="I102" s="121"/>
    </row>
    <row r="103" spans="1:35" ht="42.75" customHeight="1">
      <c r="A103" s="3320"/>
      <c r="B103" s="2366" t="s">
        <v>1429</v>
      </c>
      <c r="C103" s="2369">
        <f ca="1">C20</f>
        <v>47365</v>
      </c>
      <c r="D103" s="2370">
        <f ca="1">D20</f>
        <v>52706</v>
      </c>
      <c r="E103" s="3355" t="s">
        <v>1430</v>
      </c>
      <c r="F103" s="3356"/>
      <c r="G103" s="1686" t="s">
        <v>1431</v>
      </c>
      <c r="H103" s="2377">
        <f>IF(D36="正常操作",H104+H105+H106,H105+H106)</f>
        <v>0</v>
      </c>
      <c r="I103" s="121"/>
    </row>
    <row r="104" spans="1:35" ht="18.75" customHeight="1">
      <c r="A104" s="3320" t="s">
        <v>1432</v>
      </c>
      <c r="B104" s="2371" t="s">
        <v>1427</v>
      </c>
      <c r="C104" s="2372">
        <f ca="1">H118</f>
        <v>97492</v>
      </c>
      <c r="D104" s="2373"/>
      <c r="E104" s="1553" t="s">
        <v>1433</v>
      </c>
      <c r="F104" s="1546"/>
      <c r="G104" s="1686" t="s">
        <v>1431</v>
      </c>
      <c r="H104" s="2378">
        <f>IF(D36="同一抵押权人同一抵押物续贷",C36&amp;"（续贷，未扣减，详见特别提示）",C36)</f>
        <v>0</v>
      </c>
      <c r="I104" s="121"/>
    </row>
    <row r="105" spans="1:35" ht="18.75" customHeight="1" thickBot="1">
      <c r="A105" s="3321"/>
      <c r="B105" s="2374" t="s">
        <v>1429</v>
      </c>
      <c r="C105" s="2375">
        <f ca="1">I118</f>
        <v>6983</v>
      </c>
      <c r="D105" s="2376"/>
      <c r="E105" s="1553" t="s">
        <v>1434</v>
      </c>
      <c r="F105" s="1546"/>
      <c r="G105" s="1686" t="s">
        <v>1431</v>
      </c>
      <c r="H105" s="2379">
        <f>C37</f>
        <v>0</v>
      </c>
      <c r="I105" s="121"/>
    </row>
    <row r="106" spans="1:35" ht="18.75" customHeight="1">
      <c r="A106" s="646" t="s">
        <v>1435</v>
      </c>
      <c r="B106" s="646"/>
      <c r="C106" s="646"/>
      <c r="D106" s="646"/>
      <c r="E106" s="1687" t="s">
        <v>1436</v>
      </c>
      <c r="F106" s="1546"/>
      <c r="G106" s="1686" t="s">
        <v>1431</v>
      </c>
      <c r="H106" s="2379">
        <f>C38</f>
        <v>0</v>
      </c>
      <c r="I106" s="121"/>
    </row>
    <row r="107" spans="1:35" ht="18.75" customHeight="1">
      <c r="A107" s="121"/>
      <c r="B107" s="121"/>
      <c r="C107" s="121"/>
      <c r="D107" s="121"/>
      <c r="E107" s="3317" t="str">
        <f>IF(项目基本情况!E8="已注销","——","3.房地产抵押价值")</f>
        <v>3.房地产抵押价值</v>
      </c>
      <c r="F107" s="3318"/>
      <c r="G107" s="1685" t="s">
        <v>1427</v>
      </c>
      <c r="H107" s="2377">
        <f ca="1">IF(E107="——","——",H101-H103)</f>
        <v>97492</v>
      </c>
      <c r="I107" s="121"/>
    </row>
    <row r="108" spans="1:35" ht="18.75" customHeight="1">
      <c r="A108" s="121"/>
      <c r="B108" s="121"/>
      <c r="C108" s="121"/>
      <c r="D108" s="121"/>
      <c r="E108" s="3317"/>
      <c r="F108" s="3318"/>
      <c r="G108" s="1685" t="s">
        <v>1429</v>
      </c>
      <c r="H108" s="2337">
        <f ca="1">IF(H107=H101,H102,ROUND(H107*10000/'数据-汇总表'!E3,0))</f>
        <v>6983</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318"/>
      <c r="G109" s="1685" t="s">
        <v>1427</v>
      </c>
      <c r="H109" s="2380" t="str">
        <f>IF(E109="——","——",H101-H105-H106)</f>
        <v>——</v>
      </c>
      <c r="I109" s="121"/>
    </row>
    <row r="110" spans="1:35" ht="18.75" customHeight="1">
      <c r="A110" s="121"/>
      <c r="B110" s="121"/>
      <c r="C110" s="121"/>
      <c r="D110" s="121"/>
      <c r="E110" s="3317"/>
      <c r="F110" s="3318"/>
      <c r="G110" s="1685" t="s">
        <v>1429</v>
      </c>
      <c r="H110" s="2337" t="str">
        <f>IF(H109="——","——",ROUND(H109*10000/'数据-汇总表'!E3,0))</f>
        <v>——</v>
      </c>
      <c r="I110" s="121"/>
    </row>
    <row r="111" spans="1:35" ht="18.75" customHeight="1">
      <c r="A111" s="121"/>
      <c r="B111" s="121"/>
      <c r="C111" s="121"/>
      <c r="D111" s="121"/>
      <c r="E111" s="3349" t="str">
        <f>IF(项目基本情况!E9="抵押净值",IF(OR(项目基本情况!E8="已注销",项目基本情况!E8="房地产抵押价值"),"4.抵押净值","5.抵押净值"),"——")</f>
        <v>——</v>
      </c>
      <c r="F111" s="3319"/>
      <c r="G111" s="1685" t="s">
        <v>1427</v>
      </c>
      <c r="H111" s="2377" t="str">
        <f>IF(E111="——","——",N59)</f>
        <v>——</v>
      </c>
      <c r="I111" s="121"/>
    </row>
    <row r="112" spans="1:35" ht="18.75" customHeight="1" thickBot="1">
      <c r="A112" s="121"/>
      <c r="B112" s="121"/>
      <c r="C112" s="121"/>
      <c r="D112" s="121"/>
      <c r="E112" s="3350"/>
      <c r="F112" s="3351"/>
      <c r="G112" s="1688" t="s">
        <v>1429</v>
      </c>
      <c r="H112" s="2381" t="str">
        <f>IF(E111="——","——",N61)</f>
        <v>——</v>
      </c>
      <c r="I112" s="121"/>
    </row>
    <row r="113" spans="1:27" ht="18.75" customHeight="1">
      <c r="A113" s="121"/>
      <c r="B113" s="121"/>
      <c r="C113" s="121"/>
      <c r="D113" s="121"/>
      <c r="E113" s="3322" t="s">
        <v>1435</v>
      </c>
      <c r="F113" s="3322"/>
      <c r="G113" s="3322"/>
      <c r="H113" s="3322"/>
      <c r="I113" s="121"/>
    </row>
    <row r="114" spans="1:27" ht="3.75" customHeight="1">
      <c r="A114" s="646"/>
      <c r="B114" s="646"/>
      <c r="C114" s="646"/>
      <c r="D114" s="646"/>
      <c r="E114" s="1669"/>
      <c r="F114" s="1669"/>
      <c r="G114" s="1669"/>
      <c r="H114" s="1669"/>
      <c r="I114" s="646"/>
    </row>
    <row r="115" spans="1:27" ht="18.75" customHeight="1">
      <c r="A115" s="3332" t="s">
        <v>1437</v>
      </c>
      <c r="B115" s="3333"/>
      <c r="C115" s="3333"/>
      <c r="D115" s="3333"/>
      <c r="E115" s="3333"/>
      <c r="F115" s="3333"/>
      <c r="G115" s="3333"/>
      <c r="H115" s="3333"/>
      <c r="I115" s="3334"/>
    </row>
    <row r="116" spans="1:27" ht="27" customHeight="1">
      <c r="A116" s="3288" t="s">
        <v>1438</v>
      </c>
      <c r="B116" s="3323" t="s">
        <v>1439</v>
      </c>
      <c r="C116" s="3323" t="s">
        <v>1440</v>
      </c>
      <c r="D116" s="3336" t="s">
        <v>1441</v>
      </c>
      <c r="E116" s="3337"/>
      <c r="F116" s="3331" t="s">
        <v>1442</v>
      </c>
      <c r="G116" s="3331"/>
      <c r="H116" s="3288" t="s">
        <v>1443</v>
      </c>
      <c r="I116" s="3288"/>
    </row>
    <row r="117" spans="1:27" ht="18.75" customHeight="1">
      <c r="A117" s="3288"/>
      <c r="B117" s="3324"/>
      <c r="C117" s="3324"/>
      <c r="D117" s="2148" t="s">
        <v>1444</v>
      </c>
      <c r="E117" s="2148" t="s">
        <v>1445</v>
      </c>
      <c r="F117" s="2148" t="s">
        <v>1444</v>
      </c>
      <c r="G117" s="2148" t="s">
        <v>1446</v>
      </c>
      <c r="H117" s="2148" t="s">
        <v>1444</v>
      </c>
      <c r="I117" s="2148" t="s">
        <v>1446</v>
      </c>
    </row>
    <row r="118" spans="1:27" ht="24.75" customHeight="1">
      <c r="A118" s="2382" t="str">
        <f>项目基本情况!S2</f>
        <v>北京市房地产</v>
      </c>
      <c r="B118" s="2148">
        <f>M18</f>
        <v>139616.6</v>
      </c>
      <c r="C118" s="2148">
        <f>M19</f>
        <v>13767.47</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97492</v>
      </c>
      <c r="I118" s="2148">
        <f ca="1">ROUND(IF(D32="楼面单价",C32,H118*10000/B118),0)</f>
        <v>6983</v>
      </c>
    </row>
    <row r="119" spans="1:27" ht="18.75" customHeight="1">
      <c r="A119" s="3288" t="s">
        <v>1447</v>
      </c>
      <c r="B119" s="3288"/>
      <c r="C119" s="3288"/>
      <c r="D119" s="3328" t="e">
        <f ca="1">NUMBERSTRING(INT(D118*10000),2)&amp;"元整"</f>
        <v>#REF!</v>
      </c>
      <c r="E119" s="3330"/>
      <c r="F119" s="3328" t="e">
        <f ca="1">NUMBERSTRING(INT(F118*10000),2)&amp;"元整"</f>
        <v>#REF!</v>
      </c>
      <c r="G119" s="3330"/>
      <c r="H119" s="3328" t="str">
        <f ca="1">NUMBERSTRING(INT(H118*10000),2)&amp;"元整"</f>
        <v>玖亿柒仟肆佰玖拾贰万元整</v>
      </c>
      <c r="I119" s="3330"/>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8" t="s">
        <v>1447</v>
      </c>
      <c r="B121" s="3329"/>
      <c r="C121" s="3330"/>
      <c r="D121" s="3328" t="str">
        <f>IF(D120=0,"零元整",NUMBERSTRING(INT(D120*10000),2)&amp;"元整")</f>
        <v>零元整</v>
      </c>
      <c r="E121" s="3329"/>
      <c r="F121" s="3329"/>
      <c r="G121" s="3329"/>
      <c r="H121" s="3329"/>
      <c r="I121" s="3330"/>
      <c r="AA121" s="684"/>
    </row>
    <row r="122" spans="1:27" ht="18.75" customHeight="1">
      <c r="A122" s="3319" t="str">
        <f>IF(项目基本情况!B9="房地产市场价值","",MID(E107,3,LEN(E107)-2))</f>
        <v>房地产抵押价值</v>
      </c>
      <c r="B122" s="3319"/>
      <c r="C122" s="3319"/>
      <c r="D122" s="3352">
        <f ca="1">H107</f>
        <v>97492</v>
      </c>
      <c r="E122" s="3353"/>
      <c r="F122" s="3353"/>
      <c r="G122" s="3353"/>
      <c r="H122" s="3353"/>
      <c r="I122" s="3354"/>
      <c r="AA122" s="684"/>
    </row>
    <row r="123" spans="1:27" ht="18.75" customHeight="1">
      <c r="A123" s="3288" t="s">
        <v>1447</v>
      </c>
      <c r="B123" s="3288"/>
      <c r="C123" s="3288"/>
      <c r="D123" s="3328" t="str">
        <f ca="1">NUMBERSTRING(INT(D122*10000),2)&amp;"元整"</f>
        <v>玖亿柒仟肆佰玖拾贰万元整</v>
      </c>
      <c r="E123" s="3329"/>
      <c r="F123" s="3329"/>
      <c r="G123" s="3329"/>
      <c r="H123" s="3329"/>
      <c r="I123" s="3330"/>
      <c r="AA123" s="684"/>
    </row>
    <row r="124" spans="1:27" ht="18.75" customHeight="1">
      <c r="A124" s="3319" t="str">
        <f>IF(项目基本情况!B9="房地产市场价值","",MID(E109,3,LEN(E109)-2))</f>
        <v/>
      </c>
      <c r="B124" s="3319"/>
      <c r="C124" s="3319"/>
      <c r="D124" s="3352" t="str">
        <f>H109</f>
        <v>——</v>
      </c>
      <c r="E124" s="3353"/>
      <c r="F124" s="3353"/>
      <c r="G124" s="3353"/>
      <c r="H124" s="3353"/>
      <c r="I124" s="3354"/>
      <c r="AA124" s="684"/>
    </row>
    <row r="125" spans="1:27" ht="18.75" customHeight="1">
      <c r="A125" s="3288" t="s">
        <v>1447</v>
      </c>
      <c r="B125" s="3288"/>
      <c r="C125" s="3288"/>
      <c r="D125" s="3328" t="e">
        <f>NUMBERSTRING(INT(D124*10000),2)&amp;"元整"</f>
        <v>#VALUE!</v>
      </c>
      <c r="E125" s="3329"/>
      <c r="F125" s="3329"/>
      <c r="G125" s="3329"/>
      <c r="H125" s="3329"/>
      <c r="I125" s="3330"/>
      <c r="AA125" s="684"/>
    </row>
    <row r="126" spans="1:27" ht="18.75" customHeight="1">
      <c r="A126" s="3319" t="str">
        <f>IF(项目基本情况!B9="房地产市场价值","",MID(E111,3,LEN(E111)-2))</f>
        <v/>
      </c>
      <c r="B126" s="3319"/>
      <c r="C126" s="3319"/>
      <c r="D126" s="3352" t="str">
        <f>H111</f>
        <v>——</v>
      </c>
      <c r="E126" s="3353"/>
      <c r="F126" s="3353"/>
      <c r="G126" s="3353"/>
      <c r="H126" s="3353"/>
      <c r="I126" s="3354"/>
      <c r="AA126" s="684"/>
    </row>
    <row r="127" spans="1:27" ht="18.75" customHeight="1">
      <c r="A127" s="3288" t="s">
        <v>1447</v>
      </c>
      <c r="B127" s="3288"/>
      <c r="C127" s="3288"/>
      <c r="D127" s="3328" t="e">
        <f>NUMBERSTRING(INT(D126*10000),2)&amp;"元整"</f>
        <v>#VALUE!</v>
      </c>
      <c r="E127" s="3329"/>
      <c r="F127" s="3329"/>
      <c r="G127" s="3329"/>
      <c r="H127" s="3329"/>
      <c r="I127" s="3330"/>
      <c r="AA127" s="684"/>
    </row>
    <row r="128" spans="1:27" ht="21.75" customHeight="1">
      <c r="A128" s="3335" t="s">
        <v>1448</v>
      </c>
      <c r="B128" s="3335"/>
      <c r="C128" s="3335"/>
      <c r="D128" s="3335"/>
      <c r="E128" s="3335"/>
      <c r="F128" s="3335"/>
      <c r="G128" s="3335"/>
      <c r="H128" s="3335"/>
      <c r="I128" s="3335"/>
      <c r="AA128" s="684"/>
    </row>
    <row r="129" spans="1:35" ht="21.75" customHeight="1">
      <c r="A129" s="1689" t="s">
        <v>1449</v>
      </c>
      <c r="B129" s="1690"/>
      <c r="C129" s="1691" t="s">
        <v>1450</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1451</v>
      </c>
      <c r="G135" s="1704"/>
      <c r="H135" s="1704"/>
      <c r="I135" s="1705" t="s">
        <v>1452</v>
      </c>
    </row>
    <row r="136" spans="1:35" ht="21.75" customHeight="1">
      <c r="A136" s="684"/>
      <c r="B136" s="1706" t="s">
        <v>1453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1454</v>
      </c>
    </row>
    <row r="139" spans="1:35" ht="21.75" customHeight="1">
      <c r="A139" s="684"/>
      <c r="B139" s="1706" t="s">
        <v>1455</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1454</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D7">
    <cfRule type="cellIs" dxfId="169" priority="10" stopIfTrue="1" operator="equal">
      <formula>25</formula>
    </cfRule>
  </conditionalFormatting>
  <conditionalFormatting sqref="C8:D13">
    <cfRule type="cellIs" dxfId="168" priority="8" stopIfTrue="1" operator="equal">
      <formula>15</formula>
    </cfRule>
  </conditionalFormatting>
  <conditionalFormatting sqref="C14:D16">
    <cfRule type="cellIs" dxfId="167" priority="6" stopIfTrue="1" operator="equal">
      <formula>30</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79" t="str">
        <f>项目基本情况!B1</f>
        <v>北京市房地产抵押价值预评估</v>
      </c>
      <c r="C37" s="3179"/>
      <c r="D37" s="3179"/>
      <c r="E37" s="3179"/>
      <c r="F37" s="3179"/>
      <c r="G37" s="3179"/>
      <c r="H37" s="3179"/>
      <c r="I37" s="3179"/>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2" t="s">
        <v>668</v>
      </c>
      <c r="C1" s="190"/>
      <c r="D1" s="190"/>
      <c r="E1" s="190"/>
      <c r="F1" s="190"/>
      <c r="G1" s="1060">
        <f>MATCH(B1,'数据-取费表'!A6:A16,0)+5</f>
        <v>6</v>
      </c>
    </row>
    <row r="2" spans="1:9" s="192" customFormat="1" ht="18" customHeight="1">
      <c r="A2" s="193" t="s">
        <v>1457</v>
      </c>
      <c r="B2" s="194">
        <f ca="1">IF(D2="——",C52,C52-E2)</f>
        <v>92288</v>
      </c>
      <c r="C2" s="191" t="s">
        <v>1458</v>
      </c>
      <c r="D2" s="1709" t="s">
        <v>43</v>
      </c>
      <c r="E2" s="1087" t="e">
        <f ca="1">SUMIF(INDIRECT("'"&amp;G2&amp;"'"&amp;"!A:A"),"承租人权益价值",INDIRECT("'"&amp;G2&amp;"'"&amp;"!c:c"))</f>
        <v>#REF!</v>
      </c>
      <c r="F2" s="1710" t="s">
        <v>1458</v>
      </c>
      <c r="G2" s="1711"/>
    </row>
    <row r="3" spans="1:9" s="192" customFormat="1" ht="18" customHeight="1" thickBot="1">
      <c r="A3" s="195" t="s">
        <v>1459</v>
      </c>
      <c r="B3" s="196">
        <f ca="1">ROUND(B2*10000/(IF(B1="",'数据-汇总表'!E3,INDIRECT("'数据-取费表'!k"&amp;$G$1))),0)</f>
        <v>47365</v>
      </c>
      <c r="C3" s="191" t="s">
        <v>1460</v>
      </c>
      <c r="D3" s="191"/>
      <c r="E3" s="191"/>
      <c r="F3" s="191"/>
      <c r="G3" s="191"/>
    </row>
    <row r="4" spans="1:9" s="200" customFormat="1" ht="15.75">
      <c r="A4" s="197" t="s">
        <v>1461</v>
      </c>
      <c r="B4" s="198"/>
      <c r="C4" s="198"/>
      <c r="D4" s="198"/>
      <c r="E4" s="198"/>
      <c r="F4" s="198"/>
      <c r="G4" s="199"/>
    </row>
    <row r="5" spans="1:9" s="206" customFormat="1" ht="13.5" customHeight="1">
      <c r="A5" s="247" t="s">
        <v>1462</v>
      </c>
      <c r="B5" s="202" t="s">
        <v>1463</v>
      </c>
      <c r="C5" s="203">
        <f ca="1">C6+C7+C8</f>
        <v>50955</v>
      </c>
      <c r="D5" s="203" t="s">
        <v>1464</v>
      </c>
      <c r="E5" s="204" t="s">
        <v>1465</v>
      </c>
      <c r="F5" s="204" t="s">
        <v>1466</v>
      </c>
      <c r="G5" s="205"/>
    </row>
    <row r="6" spans="1:9" s="206" customFormat="1" ht="13.5" customHeight="1">
      <c r="A6" s="730" t="s">
        <v>1467</v>
      </c>
      <c r="B6" s="207" t="s">
        <v>1468</v>
      </c>
      <c r="C6" s="208">
        <f>'商业-基准地价修正'!B2</f>
        <v>49057</v>
      </c>
      <c r="D6" s="209"/>
      <c r="E6" s="210"/>
      <c r="F6" s="210"/>
      <c r="G6" s="211"/>
    </row>
    <row r="7" spans="1:9" s="206" customFormat="1" ht="13.5" customHeight="1">
      <c r="A7" s="730" t="s">
        <v>1469</v>
      </c>
      <c r="B7" s="207" t="s">
        <v>1470</v>
      </c>
      <c r="C7" s="212">
        <f>ROUND(C6*F7,0)</f>
        <v>1496</v>
      </c>
      <c r="D7" s="212"/>
      <c r="E7" s="210"/>
      <c r="F7" s="213">
        <f>IF(项目基本情况!B8="出让",0,'数据-取费表'!B48+'数据-取费表'!B49)</f>
        <v>3.0499999999999999E-2</v>
      </c>
      <c r="G7" s="211"/>
    </row>
    <row r="8" spans="1:9" s="215" customFormat="1">
      <c r="A8" s="730" t="s">
        <v>1471</v>
      </c>
      <c r="B8" s="207" t="s">
        <v>1472</v>
      </c>
      <c r="C8" s="212">
        <f ca="1">IF(G8="已包含在土地购买价格中","0",IF(B1="",'数据-取费表'!B29,IF(G9="全部缴纳",C9+C10,H9)))</f>
        <v>402</v>
      </c>
      <c r="D8" s="214"/>
      <c r="E8" s="212"/>
      <c r="F8" s="213"/>
      <c r="G8" s="1712" t="s">
        <v>3437</v>
      </c>
    </row>
    <row r="9" spans="1:9" s="206" customFormat="1" ht="13.5" customHeight="1">
      <c r="A9" s="731" t="s">
        <v>355</v>
      </c>
      <c r="B9" s="216" t="s">
        <v>1473</v>
      </c>
      <c r="C9" s="217">
        <f ca="1">ROUND(D9*E9/10000,0)</f>
        <v>0</v>
      </c>
      <c r="D9" s="793">
        <f ca="1">IF(B1="",'数据-汇总表'!E5,IF(INDIRECT("'数据-取费表'!c"&amp;$G$1)="住宅",INDIRECT("'数据-取费表'!k"&amp;$G$1),0))</f>
        <v>0</v>
      </c>
      <c r="E9" s="217">
        <f>'数据-取费表'!B27</f>
        <v>160</v>
      </c>
      <c r="F9" s="213"/>
      <c r="G9" s="1713" t="s">
        <v>3438</v>
      </c>
      <c r="H9" s="1068"/>
      <c r="I9" s="1714" t="s">
        <v>1474</v>
      </c>
    </row>
    <row r="10" spans="1:9" s="206" customFormat="1" ht="13.5" customHeight="1">
      <c r="A10" s="731" t="s">
        <v>356</v>
      </c>
      <c r="B10" s="216" t="s">
        <v>1475</v>
      </c>
      <c r="C10" s="217">
        <f ca="1">ROUND(D10*E10/10000,0)</f>
        <v>402</v>
      </c>
      <c r="D10" s="793">
        <f ca="1">IF(B1="",'数据-汇总表'!E6,IF(INDIRECT("'数据-取费表'!c"&amp;$G$1)="住宅",INDIRECT("'数据-取费表'!s"&amp;$G$1),INDIRECT("'数据-取费表'!k"&amp;$G$1)+INDIRECT("'数据-取费表'!s"&amp;$G$1)))</f>
        <v>20099.640000000003</v>
      </c>
      <c r="E10" s="217">
        <f>'数据-取费表'!B28</f>
        <v>200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1479</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1479</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f ca="1">D9+D10</f>
        <v>20099.640000000003</v>
      </c>
      <c r="E19" s="203">
        <f>'数据-取费表'!B31</f>
        <v>200</v>
      </c>
      <c r="F19" s="223"/>
      <c r="G19" s="1712" t="s">
        <v>3439</v>
      </c>
    </row>
    <row r="20" spans="1:7" s="206" customFormat="1" ht="13.5" customHeight="1">
      <c r="A20" s="247" t="s">
        <v>1488</v>
      </c>
      <c r="B20" s="202" t="s">
        <v>1489</v>
      </c>
      <c r="C20" s="224">
        <f ca="1">ROUND((C5+C19)*F20,0)</f>
        <v>1529</v>
      </c>
      <c r="D20" s="224"/>
      <c r="E20" s="224"/>
      <c r="F20" s="225">
        <f>'数据-取费表'!B37</f>
        <v>0.03</v>
      </c>
      <c r="G20" s="226" t="s">
        <v>1490</v>
      </c>
    </row>
    <row r="21" spans="1:7" s="206" customFormat="1" ht="13.5" customHeight="1">
      <c r="A21" s="247" t="s">
        <v>1491</v>
      </c>
      <c r="B21" s="202" t="s">
        <v>1492</v>
      </c>
      <c r="C21" s="227">
        <f>F21</f>
        <v>0.03</v>
      </c>
      <c r="D21" s="228" t="s">
        <v>1493</v>
      </c>
      <c r="E21" s="224"/>
      <c r="F21" s="225">
        <f>'数据-取费表'!B38</f>
        <v>0.03</v>
      </c>
      <c r="G21" s="226" t="s">
        <v>1494</v>
      </c>
    </row>
    <row r="22" spans="1:7" s="206" customFormat="1" ht="13.5" customHeight="1">
      <c r="A22" s="247" t="s">
        <v>1495</v>
      </c>
      <c r="B22" s="202" t="s">
        <v>1496</v>
      </c>
      <c r="C22" s="1039">
        <f ca="1">ROUND(SUM(C23:C25),0)</f>
        <v>3966</v>
      </c>
      <c r="D22" s="227">
        <f ca="1">C26</f>
        <v>1.1000000000000001E-3</v>
      </c>
      <c r="E22" s="228" t="s">
        <v>1493</v>
      </c>
      <c r="F22" s="229">
        <f ca="1">'数据-取费表'!B40</f>
        <v>0.03</v>
      </c>
      <c r="G22" s="226" t="str">
        <f>IF('数据-取费表'!B22&lt;=1,"单利计息","复利计息")</f>
        <v>复利计息</v>
      </c>
    </row>
    <row r="23" spans="1:7" s="206" customFormat="1" ht="13.5" customHeight="1">
      <c r="A23" s="732" t="s">
        <v>1497</v>
      </c>
      <c r="B23" s="207" t="s">
        <v>1498</v>
      </c>
      <c r="C23" s="1040">
        <f ca="1">ROUND(IF('数据-取费表'!B22&lt;=1,C5*F22*'数据-取费表'!B23,C5*(POWER((1+F22),'数据-取费表'!B23)-1)),0)</f>
        <v>3908</v>
      </c>
      <c r="D23" s="230"/>
      <c r="E23" s="230"/>
      <c r="F23" s="231"/>
      <c r="G23" s="232" t="s">
        <v>1499</v>
      </c>
    </row>
    <row r="24" spans="1:7" s="206" customFormat="1" ht="13.5" customHeight="1">
      <c r="A24" s="732" t="s">
        <v>1500</v>
      </c>
      <c r="B24" s="207" t="s">
        <v>1501</v>
      </c>
      <c r="C24" s="1040">
        <f ca="1">ROUND(IF('数据-取费表'!B22&lt;=1,C19*F22*('数据-取费表'!B19/2+'数据-取费表'!B21),C19*(POWER((1+F22),('数据-取费表'!B19/2+'数据-取费表'!B21))-1)),0)</f>
        <v>0</v>
      </c>
      <c r="D24" s="230"/>
      <c r="E24" s="230"/>
      <c r="F24" s="231"/>
      <c r="G24" s="232" t="s">
        <v>1502</v>
      </c>
    </row>
    <row r="25" spans="1:7" s="206" customFormat="1" ht="24">
      <c r="A25" s="732" t="s">
        <v>1503</v>
      </c>
      <c r="B25" s="207" t="s">
        <v>1504</v>
      </c>
      <c r="C25" s="1040">
        <f ca="1">ROUND(IF('数据-取费表'!B22&lt;=1,C20*F22*'数据-取费表'!B23/2,C20*(POWER((1+F22),'数据-取费表'!B23/2)-1)),0)</f>
        <v>58</v>
      </c>
      <c r="D25" s="230"/>
      <c r="E25" s="233"/>
      <c r="F25" s="231"/>
      <c r="G25" s="234" t="s">
        <v>1505</v>
      </c>
    </row>
    <row r="26" spans="1:7" s="206" customFormat="1">
      <c r="A26" s="732" t="s">
        <v>350</v>
      </c>
      <c r="B26" s="207" t="s">
        <v>1506</v>
      </c>
      <c r="C26" s="230">
        <f ca="1">ROUND(IF('数据-取费表'!B22&lt;=1,F21*F22*'数据-取费表'!B23/2,F21*(POWER((1+F22),'数据-取费表'!B23/2)-1)),4)</f>
        <v>1.1000000000000001E-3</v>
      </c>
      <c r="D26" s="230"/>
      <c r="E26" s="233"/>
      <c r="F26" s="231"/>
      <c r="G26" s="235"/>
    </row>
    <row r="27" spans="1:7" s="206" customFormat="1" ht="24.75">
      <c r="A27" s="247" t="s">
        <v>1507</v>
      </c>
      <c r="B27" s="236" t="s">
        <v>1508</v>
      </c>
      <c r="C27" s="237">
        <f ca="1">C28</f>
        <v>13121</v>
      </c>
      <c r="D27" s="227">
        <f ca="1">C29</f>
        <v>7.4999999999999997E-3</v>
      </c>
      <c r="E27" s="228" t="s">
        <v>1509</v>
      </c>
      <c r="F27" s="238">
        <f ca="1">IF(B1="",'数据-取费表'!Q16,INDIRECT("'数据-取费表'!q"&amp;$G$1))</f>
        <v>0.25</v>
      </c>
      <c r="G27" s="239" t="s">
        <v>1510</v>
      </c>
    </row>
    <row r="28" spans="1:7" s="206" customFormat="1" ht="13.5" customHeight="1">
      <c r="A28" s="732" t="s">
        <v>346</v>
      </c>
      <c r="B28" s="240" t="s">
        <v>1511</v>
      </c>
      <c r="C28" s="241">
        <f ca="1">ROUND((C5+C19+C20)*F27*'数据-取费表'!B21/'数据-取费表'!B20,0)</f>
        <v>13121</v>
      </c>
      <c r="D28" s="227"/>
      <c r="E28" s="228"/>
      <c r="F28" s="238"/>
      <c r="G28" s="239"/>
    </row>
    <row r="29" spans="1:7" s="206" customFormat="1" ht="13.5" customHeight="1">
      <c r="A29" s="732" t="s">
        <v>347</v>
      </c>
      <c r="B29" s="240" t="s">
        <v>1512</v>
      </c>
      <c r="C29" s="230">
        <f ca="1">ROUND(C21*F27*'数据-取费表'!B21/'数据-取费表'!B20,4)</f>
        <v>7.4999999999999997E-3</v>
      </c>
      <c r="D29" s="227"/>
      <c r="E29" s="228"/>
      <c r="F29" s="238"/>
      <c r="G29" s="239"/>
    </row>
    <row r="30" spans="1:7" s="206" customFormat="1" ht="13.5" customHeight="1">
      <c r="A30" s="247" t="s">
        <v>1513</v>
      </c>
      <c r="B30" s="202" t="s">
        <v>1514</v>
      </c>
      <c r="C30" s="227">
        <f>ROUND(F30/(1+'数据-取费表'!C42),4)</f>
        <v>5.33E-2</v>
      </c>
      <c r="D30" s="228" t="s">
        <v>1509</v>
      </c>
      <c r="E30" s="233"/>
      <c r="F30" s="229">
        <f>'数据-取费表'!B41</f>
        <v>5.6000000000000001E-2</v>
      </c>
      <c r="G30" s="226" t="s">
        <v>1515</v>
      </c>
    </row>
    <row r="31" spans="1:7" ht="16.5" customHeight="1">
      <c r="A31" s="201">
        <v>1</v>
      </c>
      <c r="B31" s="202" t="s">
        <v>1516</v>
      </c>
      <c r="C31" s="203">
        <f ca="1">ROUND((C5+C19+C20+C22+C27)/(1-C21-D22-D27-C30),0)</f>
        <v>76612</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14030</v>
      </c>
      <c r="D33" s="224"/>
      <c r="E33" s="204"/>
      <c r="F33" s="233"/>
      <c r="G33" s="226"/>
    </row>
    <row r="34" spans="1:7" s="250" customFormat="1" ht="13.5" customHeight="1">
      <c r="A34" s="732" t="s">
        <v>346</v>
      </c>
      <c r="B34" s="207" t="s">
        <v>1520</v>
      </c>
      <c r="C34" s="212">
        <f ca="1">IF(B1="",IF(F34=100%,'数据-取费表'!M16,'数据-取费表'!O16),IF(F34=100%,INDIRECT("'数据-取费表'!m"&amp;$G$1)+INDIRECT("'数据-取费表'!t"&amp;$G$1),INDIRECT("'数据-取费表'!o"&amp;$G$1)+INDIRECT("'数据-取费表'!aq"&amp;$G$1)))</f>
        <v>12060</v>
      </c>
      <c r="D34" s="209"/>
      <c r="E34" s="212"/>
      <c r="F34" s="249">
        <f ca="1">IF('数据-取费表'!B24=0,1,IF(B1="",'数据-取费表'!N16,INDIRECT("'数据-取费表'!n"&amp;$G$1)))</f>
        <v>1</v>
      </c>
      <c r="G34" s="211" t="s">
        <v>1521</v>
      </c>
    </row>
    <row r="35" spans="1:7" ht="13.5" customHeight="1">
      <c r="A35" s="732" t="s">
        <v>351</v>
      </c>
      <c r="B35" s="207" t="s">
        <v>1522</v>
      </c>
      <c r="C35" s="212">
        <f ca="1">ROUND(C34*F35,0)</f>
        <v>1206</v>
      </c>
      <c r="D35" s="212"/>
      <c r="E35" s="212"/>
      <c r="F35" s="251">
        <f>'数据-取费表'!B33</f>
        <v>0.1</v>
      </c>
      <c r="G35" s="211" t="s">
        <v>1523</v>
      </c>
    </row>
    <row r="36" spans="1:7" ht="24">
      <c r="A36" s="732"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2" t="s">
        <v>353</v>
      </c>
      <c r="B37" s="207" t="s">
        <v>1526</v>
      </c>
      <c r="C37" s="241">
        <f ca="1">ROUND(E37*D37*F34/10000,0)</f>
        <v>402</v>
      </c>
      <c r="D37" s="209">
        <f ca="1">D19</f>
        <v>20099.640000000003</v>
      </c>
      <c r="E37" s="241">
        <f>'数据-取费表'!B35</f>
        <v>200</v>
      </c>
      <c r="F37" s="251"/>
      <c r="G37" s="253" t="s">
        <v>1527</v>
      </c>
    </row>
    <row r="38" spans="1:7" ht="13.5" customHeight="1">
      <c r="A38" s="732" t="s">
        <v>354</v>
      </c>
      <c r="B38" s="207" t="s">
        <v>1528</v>
      </c>
      <c r="C38" s="212">
        <f ca="1">ROUND(C34*F38,0)</f>
        <v>362</v>
      </c>
      <c r="D38" s="212"/>
      <c r="E38" s="212"/>
      <c r="F38" s="251">
        <f>'数据-取费表'!B36</f>
        <v>0.03</v>
      </c>
      <c r="G38" s="211" t="s">
        <v>1523</v>
      </c>
    </row>
    <row r="39" spans="1:7" s="206" customFormat="1" ht="13.5" customHeight="1">
      <c r="A39" s="247" t="s">
        <v>1529</v>
      </c>
      <c r="B39" s="202" t="s">
        <v>1530</v>
      </c>
      <c r="C39" s="224">
        <f ca="1">ROUND(C33*F20,0)</f>
        <v>421</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544</v>
      </c>
      <c r="D41" s="227">
        <f ca="1">C44</f>
        <v>1.1000000000000001E-3</v>
      </c>
      <c r="E41" s="228" t="s">
        <v>1534</v>
      </c>
      <c r="F41" s="229">
        <f ca="1">F22</f>
        <v>0.03</v>
      </c>
      <c r="G41" s="226" t="str">
        <f>IF('数据-取费表'!B22&lt;=1,"单利计息","复利计息")</f>
        <v>复利计息</v>
      </c>
    </row>
    <row r="42" spans="1:7" ht="13.5" customHeight="1">
      <c r="A42" s="732" t="s">
        <v>346</v>
      </c>
      <c r="B42" s="207" t="s">
        <v>1538</v>
      </c>
      <c r="C42" s="230">
        <f ca="1">ROUND(IF('数据-取费表'!B22&lt;=1,C33*F22*'数据-取费表'!B21/2,C33*(POWER((1+F22),'数据-取费表'!B21/2)-1)),0)</f>
        <v>528</v>
      </c>
      <c r="D42" s="230"/>
      <c r="E42" s="230"/>
      <c r="F42" s="231"/>
      <c r="G42" s="3368" t="s">
        <v>1539</v>
      </c>
    </row>
    <row r="43" spans="1:7" ht="13.5" customHeight="1">
      <c r="A43" s="732" t="s">
        <v>347</v>
      </c>
      <c r="B43" s="207" t="s">
        <v>1540</v>
      </c>
      <c r="C43" s="230">
        <f ca="1">ROUND(IF('数据-取费表'!B22&lt;=1,C39*F22*'数据-取费表'!B21/2,C39*(POWER((1+F22),'数据-取费表'!B21/2)-1)),0)</f>
        <v>16</v>
      </c>
      <c r="D43" s="230"/>
      <c r="E43" s="230"/>
      <c r="F43" s="231"/>
      <c r="G43" s="3369"/>
    </row>
    <row r="44" spans="1:7" ht="13.5" customHeight="1">
      <c r="A44" s="732" t="s">
        <v>348</v>
      </c>
      <c r="B44" s="207" t="s">
        <v>1541</v>
      </c>
      <c r="C44" s="230">
        <f ca="1">ROUND(IF('数据-取费表'!B22&lt;=1,C40*F22*'数据-取费表'!B21/2,C40*(POWER((1+F22),'数据-取费表'!B21/2)-1)),4)</f>
        <v>1.1000000000000001E-3</v>
      </c>
      <c r="D44" s="230"/>
      <c r="E44" s="230"/>
      <c r="F44" s="231"/>
      <c r="G44" s="3370"/>
    </row>
    <row r="45" spans="1:7" s="206" customFormat="1" ht="13.5" customHeight="1">
      <c r="A45" s="247" t="s">
        <v>1542</v>
      </c>
      <c r="B45" s="236" t="s">
        <v>1508</v>
      </c>
      <c r="C45" s="237">
        <f ca="1">C46</f>
        <v>3613</v>
      </c>
      <c r="D45" s="227">
        <f ca="1">C47</f>
        <v>7.4999999999999997E-3</v>
      </c>
      <c r="E45" s="228" t="s">
        <v>1534</v>
      </c>
      <c r="F45" s="238">
        <f ca="1">F27</f>
        <v>0.25</v>
      </c>
      <c r="G45" s="239" t="s">
        <v>1543</v>
      </c>
    </row>
    <row r="46" spans="1:7" s="206" customFormat="1" ht="13.5" customHeight="1">
      <c r="A46" s="732" t="s">
        <v>346</v>
      </c>
      <c r="B46" s="240" t="s">
        <v>1544</v>
      </c>
      <c r="C46" s="241">
        <f ca="1">ROUND((C33+C39)*F27,0)</f>
        <v>3613</v>
      </c>
      <c r="D46" s="255"/>
      <c r="E46" s="228"/>
      <c r="F46" s="238"/>
      <c r="G46" s="239"/>
    </row>
    <row r="47" spans="1:7" s="206" customFormat="1" ht="13.5" customHeight="1">
      <c r="A47" s="732" t="s">
        <v>347</v>
      </c>
      <c r="B47" s="240" t="s">
        <v>1545</v>
      </c>
      <c r="C47" s="230">
        <f ca="1">ROUND(C40*F27,4)</f>
        <v>7.4999999999999997E-3</v>
      </c>
      <c r="D47" s="255"/>
      <c r="E47" s="228"/>
      <c r="F47" s="238"/>
      <c r="G47" s="239"/>
    </row>
    <row r="48" spans="1:7" s="206" customFormat="1" ht="13.5" customHeight="1">
      <c r="A48" s="247" t="s">
        <v>1507</v>
      </c>
      <c r="B48" s="202" t="s">
        <v>1546</v>
      </c>
      <c r="C48" s="227">
        <f>ROUND(F30/(1+'数据-取费表'!C42),4)</f>
        <v>5.33E-2</v>
      </c>
      <c r="D48" s="228" t="s">
        <v>1534</v>
      </c>
      <c r="E48" s="224"/>
      <c r="F48" s="229">
        <f>F30</f>
        <v>5.6000000000000001E-2</v>
      </c>
      <c r="G48" s="226" t="s">
        <v>1547</v>
      </c>
    </row>
    <row r="49" spans="1:7" ht="16.5" customHeight="1">
      <c r="A49" s="247" t="s">
        <v>1513</v>
      </c>
      <c r="B49" s="202" t="s">
        <v>1548</v>
      </c>
      <c r="C49" s="224">
        <f ca="1">ROUND((C33+C39+C41+C45)/(1-C40-D41-D45-C48),0)</f>
        <v>20491</v>
      </c>
      <c r="D49" s="224"/>
      <c r="E49" s="224"/>
      <c r="F49" s="256"/>
      <c r="G49" s="226" t="s">
        <v>1549</v>
      </c>
    </row>
    <row r="50" spans="1:7" s="250" customFormat="1" ht="24">
      <c r="A50" s="247" t="s">
        <v>1550</v>
      </c>
      <c r="B50" s="202" t="s">
        <v>1551</v>
      </c>
      <c r="C50" s="224"/>
      <c r="D50" s="224"/>
      <c r="E50" s="224"/>
      <c r="F50" s="256">
        <f>IF('数据-取费表'!B24=0,'数据-取费表'!N16,1)</f>
        <v>0.76500000000000001</v>
      </c>
      <c r="G50" s="239" t="s">
        <v>1552</v>
      </c>
    </row>
    <row r="51" spans="1:7" ht="16.5" customHeight="1">
      <c r="A51" s="247" t="s">
        <v>1553</v>
      </c>
      <c r="B51" s="202" t="s">
        <v>1554</v>
      </c>
      <c r="C51" s="224">
        <f ca="1">ROUND(C49*F50,0)</f>
        <v>15676</v>
      </c>
      <c r="D51" s="224"/>
      <c r="E51" s="224"/>
      <c r="F51" s="256"/>
      <c r="G51" s="226" t="s">
        <v>1555</v>
      </c>
    </row>
    <row r="52" spans="1:7" s="200" customFormat="1" ht="16.5" thickBot="1">
      <c r="A52" s="257" t="s">
        <v>1556</v>
      </c>
      <c r="B52" s="258"/>
      <c r="C52" s="259">
        <f ca="1">C31+C51</f>
        <v>92288</v>
      </c>
      <c r="D52" s="258"/>
      <c r="E52" s="258"/>
      <c r="F52" s="258"/>
      <c r="G52" s="260"/>
    </row>
    <row r="55" spans="1:7" ht="15">
      <c r="B55" s="262" t="s">
        <v>1557</v>
      </c>
      <c r="C55" s="263"/>
    </row>
    <row r="56" spans="1:7">
      <c r="B56" s="265" t="s">
        <v>797</v>
      </c>
      <c r="C56" s="267">
        <f ca="1">1-C57</f>
        <v>0.83</v>
      </c>
    </row>
    <row r="57" spans="1:7">
      <c r="B57" s="265" t="s">
        <v>798</v>
      </c>
      <c r="C57" s="266">
        <f ca="1">ROUND(C51/C52,3)</f>
        <v>0.17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1456</v>
      </c>
      <c r="B1" s="1372"/>
      <c r="C1" s="1715" t="s">
        <v>1558</v>
      </c>
      <c r="D1" s="190"/>
      <c r="E1" s="190"/>
      <c r="F1" s="190"/>
      <c r="G1" s="1060">
        <f>MATCH(B1,'数据-取费表'!A6:A16,0)+5</f>
        <v>9</v>
      </c>
      <c r="H1" s="996" t="str">
        <f>IF(ISERROR(FIND("住宅",B1)),"非住宅","住宅")</f>
        <v>非住宅</v>
      </c>
    </row>
    <row r="2" spans="1:8" s="192" customFormat="1" ht="18" customHeight="1">
      <c r="A2" s="193" t="s">
        <v>1457</v>
      </c>
      <c r="B2" s="3119">
        <f ca="1">ROUND(IF(D2="——",C52/10000,C52/10000-E2),4)</f>
        <v>114437.2401</v>
      </c>
      <c r="C2" s="191" t="s">
        <v>1458</v>
      </c>
      <c r="D2" s="1709" t="s">
        <v>43</v>
      </c>
      <c r="E2" s="1087" t="e">
        <f ca="1">SUMIF(INDIRECT("'"&amp;G2&amp;"'"&amp;"!A:A"),"承租人权益价值",INDIRECT("'"&amp;G2&amp;"'"&amp;"!c:c"))</f>
        <v>#REF!</v>
      </c>
      <c r="F2" s="1710" t="s">
        <v>1458</v>
      </c>
      <c r="G2" s="1711"/>
    </row>
    <row r="3" spans="1:8" s="192" customFormat="1" ht="18" customHeight="1" thickBot="1">
      <c r="A3" s="195" t="s">
        <v>1459</v>
      </c>
      <c r="B3" s="196">
        <f ca="1">ROUND(B2*10000/(IF(B1="",'数据-汇总表'!E3,INDIRECT("'数据-取费表'!k"&amp;$G$1))),0)</f>
        <v>8197</v>
      </c>
      <c r="C3" s="191" t="s">
        <v>1460</v>
      </c>
      <c r="D3" s="191"/>
      <c r="E3" s="191"/>
      <c r="F3" s="191"/>
      <c r="G3" s="191"/>
    </row>
    <row r="4" spans="1:8" s="200" customFormat="1" ht="15.75">
      <c r="A4" s="197" t="s">
        <v>1461</v>
      </c>
      <c r="B4" s="198"/>
      <c r="C4" s="198"/>
      <c r="D4" s="198"/>
      <c r="E4" s="198"/>
      <c r="F4" s="198"/>
      <c r="G4" s="199"/>
    </row>
    <row r="5" spans="1:8" s="206" customFormat="1" ht="13.5" customHeight="1">
      <c r="A5" s="247" t="s">
        <v>1462</v>
      </c>
      <c r="B5" s="202" t="s">
        <v>1463</v>
      </c>
      <c r="C5" s="203">
        <f ca="1">C6+C7+C8</f>
        <v>27923320</v>
      </c>
      <c r="D5" s="203" t="s">
        <v>1464</v>
      </c>
      <c r="E5" s="204" t="s">
        <v>1465</v>
      </c>
      <c r="F5" s="204" t="s">
        <v>1466</v>
      </c>
      <c r="G5" s="205"/>
    </row>
    <row r="6" spans="1:8" s="206" customFormat="1" ht="13.5" customHeight="1">
      <c r="A6" s="730" t="s">
        <v>1467</v>
      </c>
      <c r="B6" s="207" t="s">
        <v>1468</v>
      </c>
      <c r="C6" s="208"/>
      <c r="D6" s="209"/>
      <c r="E6" s="210"/>
      <c r="F6" s="210"/>
      <c r="G6" s="211"/>
    </row>
    <row r="7" spans="1:8" s="206" customFormat="1" ht="13.5" customHeight="1">
      <c r="A7" s="730" t="s">
        <v>1469</v>
      </c>
      <c r="B7" s="207" t="s">
        <v>1470</v>
      </c>
      <c r="C7" s="212">
        <f>ROUND(C6*F7,0)</f>
        <v>0</v>
      </c>
      <c r="D7" s="212"/>
      <c r="E7" s="210"/>
      <c r="F7" s="213">
        <f>IF(项目基本情况!B8="出让",0,'数据-取费表'!B48+'数据-取费表'!B49)</f>
        <v>3.0499999999999999E-2</v>
      </c>
      <c r="G7" s="211"/>
    </row>
    <row r="8" spans="1:8" s="215" customFormat="1">
      <c r="A8" s="730" t="s">
        <v>1471</v>
      </c>
      <c r="B8" s="207" t="s">
        <v>1472</v>
      </c>
      <c r="C8" s="212">
        <f ca="1">IF(G8="已包含在土地购买价格中",0,C9+C10)</f>
        <v>27923320</v>
      </c>
      <c r="D8" s="214"/>
      <c r="E8" s="212"/>
      <c r="F8" s="213"/>
      <c r="G8" s="1712"/>
    </row>
    <row r="9" spans="1:8" s="206" customFormat="1" ht="13.5" customHeight="1">
      <c r="A9" s="731" t="s">
        <v>355</v>
      </c>
      <c r="B9" s="216" t="s">
        <v>1473</v>
      </c>
      <c r="C9" s="217">
        <f ca="1">ROUND(D9*E9,0)</f>
        <v>0</v>
      </c>
      <c r="D9" s="793">
        <f ca="1">IF(B1="",'数据-汇总表'!E5,IF(INDIRECT("'数据-取费表'!c"&amp;$G$1)="住宅",INDIRECT("'数据-取费表'!k"&amp;$G$1),0))</f>
        <v>0</v>
      </c>
      <c r="E9" s="217">
        <f>'数据-取费表'!B27</f>
        <v>160</v>
      </c>
      <c r="F9" s="213"/>
      <c r="G9" s="218"/>
    </row>
    <row r="10" spans="1:8" s="206" customFormat="1" ht="13.5" customHeight="1">
      <c r="A10" s="731" t="s">
        <v>356</v>
      </c>
      <c r="B10" s="216" t="s">
        <v>1475</v>
      </c>
      <c r="C10" s="217">
        <f ca="1">ROUND(D10*E10,0)</f>
        <v>27923320</v>
      </c>
      <c r="D10" s="793">
        <f ca="1">IF(B1="",'数据-汇总表'!E6,IF(INDIRECT("'数据-取费表'!c"&amp;$G$1)="住宅",INDIRECT("'数据-取费表'!s"&amp;$G$1),INDIRECT("'数据-取费表'!k"&amp;$G$1)+INDIRECT("'数据-取费表'!s"&amp;$G$1)))</f>
        <v>139616.6</v>
      </c>
      <c r="E10" s="217">
        <f>'数据-取费表'!B28</f>
        <v>200</v>
      </c>
      <c r="F10" s="213"/>
      <c r="G10" s="218"/>
    </row>
    <row r="11" spans="1:8" s="206" customFormat="1" ht="13.5" hidden="1" customHeight="1">
      <c r="A11" s="219" t="s">
        <v>4</v>
      </c>
      <c r="B11" s="207" t="s">
        <v>1476</v>
      </c>
      <c r="C11" s="203"/>
      <c r="D11" s="210"/>
      <c r="E11" s="210"/>
      <c r="F11" s="210"/>
      <c r="G11" s="211"/>
    </row>
    <row r="12" spans="1:8" s="206" customFormat="1" ht="13.5" hidden="1" customHeight="1">
      <c r="A12" s="219" t="s">
        <v>5</v>
      </c>
      <c r="B12" s="207" t="s">
        <v>1559</v>
      </c>
      <c r="C12" s="203">
        <v>0</v>
      </c>
      <c r="D12" s="210"/>
      <c r="E12" s="220"/>
      <c r="F12" s="213">
        <v>3.0499999999999999E-2</v>
      </c>
      <c r="G12" s="211"/>
    </row>
    <row r="13" spans="1:8" s="206" customFormat="1" ht="13.5" hidden="1" customHeight="1">
      <c r="A13" s="219" t="s">
        <v>6</v>
      </c>
      <c r="B13" s="207" t="s">
        <v>1560</v>
      </c>
      <c r="C13" s="203"/>
      <c r="D13" s="210"/>
      <c r="E13" s="210"/>
      <c r="F13" s="210"/>
      <c r="G13" s="211"/>
    </row>
    <row r="14" spans="1:8" s="206" customFormat="1" ht="13.5" hidden="1" customHeight="1">
      <c r="A14" s="219" t="s">
        <v>7</v>
      </c>
      <c r="B14" s="207" t="s">
        <v>1472</v>
      </c>
      <c r="C14" s="203"/>
      <c r="D14" s="210"/>
      <c r="E14" s="210"/>
      <c r="F14" s="210"/>
      <c r="G14" s="211" t="s">
        <v>1561</v>
      </c>
    </row>
    <row r="15" spans="1:8" s="206" customFormat="1" ht="13.5" hidden="1" customHeight="1">
      <c r="A15" s="219" t="s">
        <v>8</v>
      </c>
      <c r="B15" s="207" t="s">
        <v>1562</v>
      </c>
      <c r="C15" s="212"/>
      <c r="D15" s="210"/>
      <c r="E15" s="210"/>
      <c r="F15" s="210"/>
      <c r="G15" s="211" t="s">
        <v>1563</v>
      </c>
    </row>
    <row r="16" spans="1:8" s="206" customFormat="1" ht="13.5" hidden="1" customHeight="1">
      <c r="A16" s="219" t="s">
        <v>9</v>
      </c>
      <c r="B16" s="207" t="s">
        <v>1472</v>
      </c>
      <c r="C16" s="212"/>
      <c r="D16" s="210"/>
      <c r="E16" s="210"/>
      <c r="F16" s="210"/>
      <c r="G16" s="211"/>
    </row>
    <row r="17" spans="1:7" s="206" customFormat="1" ht="13.5" hidden="1" customHeight="1">
      <c r="A17" s="219" t="s">
        <v>10</v>
      </c>
      <c r="B17" s="207" t="s">
        <v>1564</v>
      </c>
      <c r="C17" s="221"/>
      <c r="D17" s="221"/>
      <c r="E17" s="221"/>
      <c r="F17" s="221"/>
      <c r="G17" s="211" t="s">
        <v>1563</v>
      </c>
    </row>
    <row r="18" spans="1:7" s="206" customFormat="1" ht="13.5" hidden="1" customHeight="1">
      <c r="A18" s="219" t="s">
        <v>11</v>
      </c>
      <c r="B18" s="207" t="s">
        <v>1565</v>
      </c>
      <c r="C18" s="212">
        <v>0</v>
      </c>
      <c r="D18" s="210"/>
      <c r="E18" s="210"/>
      <c r="F18" s="213">
        <v>3.0499999999999999E-2</v>
      </c>
      <c r="G18" s="211" t="s">
        <v>1566</v>
      </c>
    </row>
    <row r="19" spans="1:7" s="215" customFormat="1" ht="13.5" customHeight="1">
      <c r="A19" s="247" t="s">
        <v>1567</v>
      </c>
      <c r="B19" s="202" t="s">
        <v>1568</v>
      </c>
      <c r="C19" s="203">
        <f ca="1">IF(G19="已包含在土地取得成本中","0",ROUND(D19*E19,0))</f>
        <v>27923320</v>
      </c>
      <c r="D19" s="204">
        <f ca="1">D9+D10</f>
        <v>139616.6</v>
      </c>
      <c r="E19" s="203">
        <f>'数据-取费表'!B31</f>
        <v>200</v>
      </c>
      <c r="F19" s="223"/>
      <c r="G19" s="1712"/>
    </row>
    <row r="20" spans="1:7" s="206" customFormat="1" ht="13.5" customHeight="1">
      <c r="A20" s="247" t="s">
        <v>1569</v>
      </c>
      <c r="B20" s="202" t="s">
        <v>1570</v>
      </c>
      <c r="C20" s="224">
        <f ca="1">ROUND((C5+C19)*F20,0)</f>
        <v>1675399</v>
      </c>
      <c r="D20" s="224"/>
      <c r="E20" s="224"/>
      <c r="F20" s="225">
        <f>'数据-取费表'!B37</f>
        <v>0.03</v>
      </c>
      <c r="G20" s="226" t="s">
        <v>1571</v>
      </c>
    </row>
    <row r="21" spans="1:7" s="206" customFormat="1" ht="13.5" customHeight="1">
      <c r="A21" s="247" t="s">
        <v>1572</v>
      </c>
      <c r="B21" s="202" t="s">
        <v>1573</v>
      </c>
      <c r="C21" s="227">
        <f>F21</f>
        <v>0.03</v>
      </c>
      <c r="D21" s="228" t="s">
        <v>1574</v>
      </c>
      <c r="E21" s="224"/>
      <c r="F21" s="225">
        <f>'数据-取费表'!B38</f>
        <v>0.03</v>
      </c>
      <c r="G21" s="226" t="s">
        <v>1575</v>
      </c>
    </row>
    <row r="22" spans="1:7" s="206" customFormat="1" ht="13.5" customHeight="1">
      <c r="A22" s="247" t="s">
        <v>1576</v>
      </c>
      <c r="B22" s="202" t="s">
        <v>1577</v>
      </c>
      <c r="C22" s="224">
        <f ca="1">ROUND(SUM(C23:C25),0)</f>
        <v>4346269</v>
      </c>
      <c r="D22" s="227">
        <f ca="1">C26</f>
        <v>1.1000000000000001E-3</v>
      </c>
      <c r="E22" s="228" t="s">
        <v>1574</v>
      </c>
      <c r="F22" s="229">
        <f ca="1">'数据-取费表'!B40</f>
        <v>0.03</v>
      </c>
      <c r="G22" s="226" t="str">
        <f>IF('数据-取费表'!B22&lt;=1,"单利计息","复利计息")</f>
        <v>复利计息</v>
      </c>
    </row>
    <row r="23" spans="1:7" s="206" customFormat="1" ht="13.5" customHeight="1">
      <c r="A23" s="732" t="s">
        <v>1467</v>
      </c>
      <c r="B23" s="207" t="s">
        <v>1578</v>
      </c>
      <c r="C23" s="230">
        <f ca="1">ROUND(IF('数据-取费表'!B22&lt;=1,C5*F22*'数据-取费表'!B22,C5*(POWER((1+F22),'数据-取费表'!B22)-1)),0)</f>
        <v>2141604</v>
      </c>
      <c r="D23" s="230"/>
      <c r="E23" s="230"/>
      <c r="F23" s="231"/>
      <c r="G23" s="232" t="s">
        <v>1579</v>
      </c>
    </row>
    <row r="24" spans="1:7" s="206" customFormat="1" ht="13.5" customHeight="1">
      <c r="A24" s="732" t="s">
        <v>1469</v>
      </c>
      <c r="B24" s="207" t="s">
        <v>1580</v>
      </c>
      <c r="C24" s="230">
        <f ca="1">ROUND(IF('数据-取费表'!B22&lt;=1,C19*F22*('数据-取费表'!B19/2+'数据-取费表'!B20),C19*(POWER((1+F22),('数据-取费表'!B19/2+'数据-取费表'!B20))-1)),0)</f>
        <v>2141604</v>
      </c>
      <c r="D24" s="230"/>
      <c r="E24" s="230"/>
      <c r="F24" s="231"/>
      <c r="G24" s="232" t="s">
        <v>1581</v>
      </c>
    </row>
    <row r="25" spans="1:7" s="206" customFormat="1" ht="24">
      <c r="A25" s="732" t="s">
        <v>1471</v>
      </c>
      <c r="B25" s="207" t="s">
        <v>1582</v>
      </c>
      <c r="C25" s="230">
        <f ca="1">ROUND(IF('数据-取费表'!B22&lt;=1,C20*F22*'数据-取费表'!B22/2,C20*(POWER((1+F22),'数据-取费表'!B22/2)-1)),0)</f>
        <v>63061</v>
      </c>
      <c r="D25" s="230"/>
      <c r="E25" s="233"/>
      <c r="F25" s="231"/>
      <c r="G25" s="234" t="s">
        <v>1583</v>
      </c>
    </row>
    <row r="26" spans="1:7" s="206" customFormat="1">
      <c r="A26" s="732" t="s">
        <v>350</v>
      </c>
      <c r="B26" s="207" t="s">
        <v>1506</v>
      </c>
      <c r="C26" s="230">
        <f ca="1">ROUND(IF('数据-取费表'!B22&lt;=1,F21*F22*'数据-取费表'!B22/2,F21*(POWER((1+F22),'数据-取费表'!B22/2)-1)),4)</f>
        <v>1.1000000000000001E-3</v>
      </c>
      <c r="D26" s="230"/>
      <c r="E26" s="233"/>
      <c r="F26" s="231"/>
      <c r="G26" s="235"/>
    </row>
    <row r="27" spans="1:7" s="206" customFormat="1" ht="24.75">
      <c r="A27" s="247" t="s">
        <v>1507</v>
      </c>
      <c r="B27" s="236" t="s">
        <v>1508</v>
      </c>
      <c r="C27" s="237">
        <f ca="1">C28</f>
        <v>12654849</v>
      </c>
      <c r="D27" s="227">
        <f ca="1">C29</f>
        <v>6.6E-3</v>
      </c>
      <c r="E27" s="228" t="s">
        <v>1509</v>
      </c>
      <c r="F27" s="238">
        <f ca="1">IF(B1="",'数据-取费表'!Q16,INDIRECT("'数据-取费表'!q"&amp;$G$1))</f>
        <v>0.22</v>
      </c>
      <c r="G27" s="239" t="s">
        <v>1510</v>
      </c>
    </row>
    <row r="28" spans="1:7" s="206" customFormat="1" ht="13.5" customHeight="1">
      <c r="A28" s="732" t="s">
        <v>346</v>
      </c>
      <c r="B28" s="240" t="s">
        <v>1511</v>
      </c>
      <c r="C28" s="241">
        <f ca="1">ROUND((C5+C19+C20)*F27,0)</f>
        <v>12654849</v>
      </c>
      <c r="D28" s="227"/>
      <c r="E28" s="228"/>
      <c r="F28" s="238"/>
      <c r="G28" s="239"/>
    </row>
    <row r="29" spans="1:7" s="206" customFormat="1" ht="13.5" customHeight="1">
      <c r="A29" s="732" t="s">
        <v>347</v>
      </c>
      <c r="B29" s="240" t="s">
        <v>1512</v>
      </c>
      <c r="C29" s="230">
        <f ca="1">ROUND(C21*F27,4)</f>
        <v>6.6E-3</v>
      </c>
      <c r="D29" s="227"/>
      <c r="E29" s="228"/>
      <c r="F29" s="238"/>
      <c r="G29" s="239"/>
    </row>
    <row r="30" spans="1:7" s="206" customFormat="1" ht="13.5" customHeight="1">
      <c r="A30" s="247" t="s">
        <v>1513</v>
      </c>
      <c r="B30" s="202" t="s">
        <v>1514</v>
      </c>
      <c r="C30" s="227">
        <f>ROUND(F30/(1+'数据-取费表'!C42),4)</f>
        <v>5.33E-2</v>
      </c>
      <c r="D30" s="228" t="s">
        <v>1509</v>
      </c>
      <c r="E30" s="233"/>
      <c r="F30" s="229">
        <f>'数据-取费表'!B41</f>
        <v>5.6000000000000001E-2</v>
      </c>
      <c r="G30" s="226" t="s">
        <v>1515</v>
      </c>
    </row>
    <row r="31" spans="1:7" ht="16.5" customHeight="1">
      <c r="A31" s="201">
        <v>1</v>
      </c>
      <c r="B31" s="202" t="s">
        <v>1516</v>
      </c>
      <c r="C31" s="203">
        <f ca="1">ROUND((C5+C19+C20+C22+C27)/(1-C21-D22-D27-C30),0)</f>
        <v>81983671</v>
      </c>
      <c r="D31" s="222"/>
      <c r="E31" s="203"/>
      <c r="F31" s="242"/>
      <c r="G31" s="226" t="s">
        <v>1517</v>
      </c>
    </row>
    <row r="32" spans="1:7" s="200" customFormat="1" ht="15.75">
      <c r="A32" s="244" t="s">
        <v>1584</v>
      </c>
      <c r="B32" s="245"/>
      <c r="C32" s="245"/>
      <c r="D32" s="245"/>
      <c r="E32" s="245"/>
      <c r="F32" s="245"/>
      <c r="G32" s="246"/>
    </row>
    <row r="33" spans="1:7" s="206" customFormat="1" ht="13.5" customHeight="1">
      <c r="A33" s="247" t="s">
        <v>337</v>
      </c>
      <c r="B33" s="202" t="s">
        <v>1585</v>
      </c>
      <c r="C33" s="248">
        <f ca="1">SUM(C34:C38)</f>
        <v>974523868</v>
      </c>
      <c r="D33" s="224"/>
      <c r="E33" s="204"/>
      <c r="F33" s="233"/>
      <c r="G33" s="226"/>
    </row>
    <row r="34" spans="1:7" s="250" customFormat="1" ht="13.5" customHeight="1">
      <c r="A34" s="732" t="s">
        <v>346</v>
      </c>
      <c r="B34" s="207" t="s">
        <v>1520</v>
      </c>
      <c r="C34" s="212">
        <f ca="1">ROUND(IF(B1="",SUMPRODUCT('数据-取费表'!K6:K14,'数据-取费表'!L6:L14),INDIRECT("'数据-取费表'!l"&amp;$G$1)*INDIRECT("'数据-取费表'!k"&amp;$G$1)+'数据-取费表'!L14*INDIRECT("'数据-取费表'!S"&amp;$G$1)),0)</f>
        <v>837699600</v>
      </c>
      <c r="D34" s="209"/>
      <c r="E34" s="212"/>
      <c r="F34" s="249"/>
      <c r="G34" s="211"/>
    </row>
    <row r="35" spans="1:7" ht="13.5" customHeight="1">
      <c r="A35" s="732" t="s">
        <v>351</v>
      </c>
      <c r="B35" s="207" t="s">
        <v>1522</v>
      </c>
      <c r="C35" s="212">
        <f ca="1">ROUND(C34*F35,0)</f>
        <v>83769960</v>
      </c>
      <c r="D35" s="212"/>
      <c r="E35" s="212"/>
      <c r="F35" s="251">
        <f>'数据-取费表'!B33</f>
        <v>0.1</v>
      </c>
      <c r="G35" s="211" t="s">
        <v>1523</v>
      </c>
    </row>
    <row r="36" spans="1:7" ht="24">
      <c r="A36" s="732" t="s">
        <v>352</v>
      </c>
      <c r="B36" s="207" t="s">
        <v>1524</v>
      </c>
      <c r="C36" s="212">
        <f ca="1">ROUND(IF(B1="",SUM('数据-取费表'!AP6:AP13)*F36,IF(INDIRECT("'数据-取费表'!c"&amp;$G$1)="住宅",INDIRECT("'数据-取费表'!k"&amp;$G$1)*INDIRECT("'数据-取费表'!l"&amp;$G$1)*F36,0)),0)</f>
        <v>0</v>
      </c>
      <c r="D36" s="212"/>
      <c r="E36" s="212"/>
      <c r="F36" s="251">
        <f>'数据-取费表'!B34</f>
        <v>0</v>
      </c>
      <c r="G36" s="252" t="s">
        <v>1525</v>
      </c>
    </row>
    <row r="37" spans="1:7" s="250" customFormat="1" ht="13.5" customHeight="1">
      <c r="A37" s="732" t="s">
        <v>353</v>
      </c>
      <c r="B37" s="207" t="s">
        <v>1526</v>
      </c>
      <c r="C37" s="241">
        <f ca="1">ROUND(E37*D37,0)</f>
        <v>27923320</v>
      </c>
      <c r="D37" s="209">
        <f ca="1">D19</f>
        <v>139616.6</v>
      </c>
      <c r="E37" s="241">
        <f>'数据-取费表'!B35</f>
        <v>200</v>
      </c>
      <c r="F37" s="251"/>
      <c r="G37" s="253"/>
    </row>
    <row r="38" spans="1:7" ht="13.5" customHeight="1">
      <c r="A38" s="732" t="s">
        <v>354</v>
      </c>
      <c r="B38" s="207" t="s">
        <v>1528</v>
      </c>
      <c r="C38" s="212">
        <f ca="1">ROUND(C34*F38,0)</f>
        <v>25130988</v>
      </c>
      <c r="D38" s="212"/>
      <c r="E38" s="212"/>
      <c r="F38" s="251">
        <f>'数据-取费表'!B36</f>
        <v>0.03</v>
      </c>
      <c r="G38" s="211" t="s">
        <v>1523</v>
      </c>
    </row>
    <row r="39" spans="1:7" s="206" customFormat="1" ht="13.5" customHeight="1">
      <c r="A39" s="247" t="s">
        <v>1529</v>
      </c>
      <c r="B39" s="202" t="s">
        <v>1530</v>
      </c>
      <c r="C39" s="224">
        <f ca="1">ROUND(C33*F20,0)</f>
        <v>29235716</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37781093</v>
      </c>
      <c r="D41" s="227">
        <f ca="1">C44</f>
        <v>1.1000000000000001E-3</v>
      </c>
      <c r="E41" s="228" t="s">
        <v>1534</v>
      </c>
      <c r="F41" s="229">
        <f ca="1">F22</f>
        <v>0.03</v>
      </c>
      <c r="G41" s="226" t="str">
        <f>IF('数据-取费表'!B22&lt;=1,"单利计息","复利计息")</f>
        <v>复利计息</v>
      </c>
    </row>
    <row r="42" spans="1:7" ht="13.5" customHeight="1">
      <c r="A42" s="732" t="s">
        <v>346</v>
      </c>
      <c r="B42" s="207" t="s">
        <v>1538</v>
      </c>
      <c r="C42" s="230">
        <f ca="1">ROUND(IF('数据-取费表'!B22&lt;=1,C33*F22*'数据-取费表'!B20/2,C33*(POWER((1+F22),'数据-取费表'!B20/2)-1)),0)</f>
        <v>36680673</v>
      </c>
      <c r="D42" s="230"/>
      <c r="E42" s="230"/>
      <c r="F42" s="231"/>
      <c r="G42" s="3368" t="s">
        <v>1586</v>
      </c>
    </row>
    <row r="43" spans="1:7" ht="13.5" customHeight="1">
      <c r="A43" s="732" t="s">
        <v>347</v>
      </c>
      <c r="B43" s="207" t="s">
        <v>1540</v>
      </c>
      <c r="C43" s="230">
        <f ca="1">ROUND(IF('数据-取费表'!B22&lt;=1,C39*F22*'数据-取费表'!B20/2,C39*(POWER((1+F22),'数据-取费表'!B20/2)-1)),0)</f>
        <v>1100420</v>
      </c>
      <c r="D43" s="230"/>
      <c r="E43" s="230"/>
      <c r="F43" s="231"/>
      <c r="G43" s="3369"/>
    </row>
    <row r="44" spans="1:7" ht="13.5" customHeight="1">
      <c r="A44" s="732" t="s">
        <v>348</v>
      </c>
      <c r="B44" s="207" t="s">
        <v>1541</v>
      </c>
      <c r="C44" s="230">
        <f ca="1">ROUND(IF('数据-取费表'!B22&lt;=1,C40*F22*'数据-取费表'!B20/2,C40*(POWER((1+F22),'数据-取费表'!B20/2)-1)),4)</f>
        <v>1.1000000000000001E-3</v>
      </c>
      <c r="D44" s="230"/>
      <c r="E44" s="230"/>
      <c r="F44" s="231"/>
      <c r="G44" s="3370"/>
    </row>
    <row r="45" spans="1:7" s="206" customFormat="1" ht="13.5" customHeight="1">
      <c r="A45" s="247" t="s">
        <v>1542</v>
      </c>
      <c r="B45" s="236" t="s">
        <v>1508</v>
      </c>
      <c r="C45" s="237">
        <f ca="1">C46</f>
        <v>220827108</v>
      </c>
      <c r="D45" s="227">
        <f ca="1">C47</f>
        <v>6.6E-3</v>
      </c>
      <c r="E45" s="228" t="s">
        <v>1534</v>
      </c>
      <c r="F45" s="238">
        <f ca="1">F27</f>
        <v>0.22</v>
      </c>
      <c r="G45" s="239" t="s">
        <v>1543</v>
      </c>
    </row>
    <row r="46" spans="1:7" s="206" customFormat="1" ht="13.5" customHeight="1">
      <c r="A46" s="732" t="s">
        <v>346</v>
      </c>
      <c r="B46" s="240" t="s">
        <v>1544</v>
      </c>
      <c r="C46" s="241">
        <f ca="1">ROUND((C33+C39)*F27,0)</f>
        <v>220827108</v>
      </c>
      <c r="D46" s="255"/>
      <c r="E46" s="228"/>
      <c r="F46" s="238"/>
      <c r="G46" s="239"/>
    </row>
    <row r="47" spans="1:7" s="206" customFormat="1" ht="13.5" customHeight="1">
      <c r="A47" s="732" t="s">
        <v>347</v>
      </c>
      <c r="B47" s="240" t="s">
        <v>1545</v>
      </c>
      <c r="C47" s="230">
        <f ca="1">ROUND(C40*F27,4)</f>
        <v>6.6E-3</v>
      </c>
      <c r="D47" s="255"/>
      <c r="E47" s="228"/>
      <c r="F47" s="238"/>
      <c r="G47" s="239"/>
    </row>
    <row r="48" spans="1:7" s="206" customFormat="1" ht="13.5" customHeight="1">
      <c r="A48" s="247" t="s">
        <v>1507</v>
      </c>
      <c r="B48" s="202" t="s">
        <v>1546</v>
      </c>
      <c r="C48" s="254">
        <f>ROUND(F30/(1+'数据-取费表'!C42),4)</f>
        <v>5.33E-2</v>
      </c>
      <c r="D48" s="228" t="s">
        <v>1534</v>
      </c>
      <c r="E48" s="224"/>
      <c r="F48" s="229">
        <f>F30</f>
        <v>5.6000000000000001E-2</v>
      </c>
      <c r="G48" s="226" t="s">
        <v>1547</v>
      </c>
    </row>
    <row r="49" spans="1:7" ht="16.5" customHeight="1">
      <c r="A49" s="247" t="s">
        <v>1513</v>
      </c>
      <c r="B49" s="202" t="s">
        <v>1587</v>
      </c>
      <c r="C49" s="224">
        <f ca="1">ROUND((C33+C39+C41+C45)/(1-C40-D41-D45-C48),0)</f>
        <v>1388743438</v>
      </c>
      <c r="D49" s="224"/>
      <c r="E49" s="224"/>
      <c r="F49" s="256"/>
      <c r="G49" s="226" t="s">
        <v>1549</v>
      </c>
    </row>
    <row r="50" spans="1:7" s="250" customFormat="1">
      <c r="A50" s="247" t="s">
        <v>1550</v>
      </c>
      <c r="B50" s="202" t="s">
        <v>1551</v>
      </c>
      <c r="C50" s="224"/>
      <c r="D50" s="224"/>
      <c r="E50" s="224"/>
      <c r="F50" s="256">
        <f>IF('数据-取费表'!B24=0,'数据-取费表'!N16,1)</f>
        <v>0.76500000000000001</v>
      </c>
      <c r="G50" s="239"/>
    </row>
    <row r="51" spans="1:7" ht="16.5" customHeight="1">
      <c r="A51" s="247" t="s">
        <v>1553</v>
      </c>
      <c r="B51" s="202" t="s">
        <v>1588</v>
      </c>
      <c r="C51" s="224">
        <f ca="1">ROUND(C49*F50,0)</f>
        <v>1062388730</v>
      </c>
      <c r="D51" s="224"/>
      <c r="E51" s="224"/>
      <c r="F51" s="256"/>
      <c r="G51" s="226" t="s">
        <v>1555</v>
      </c>
    </row>
    <row r="52" spans="1:7" s="200" customFormat="1" ht="16.5" thickBot="1">
      <c r="A52" s="257" t="s">
        <v>1556</v>
      </c>
      <c r="B52" s="258"/>
      <c r="C52" s="259">
        <f ca="1">C31+C51</f>
        <v>1144372401</v>
      </c>
      <c r="D52" s="258"/>
      <c r="E52" s="258"/>
      <c r="F52" s="258"/>
      <c r="G52" s="260"/>
    </row>
    <row r="55" spans="1:7" ht="15">
      <c r="B55" s="262" t="s">
        <v>1557</v>
      </c>
      <c r="C55" s="263"/>
    </row>
    <row r="56" spans="1:7">
      <c r="B56" s="265" t="s">
        <v>797</v>
      </c>
      <c r="C56" s="267">
        <f ca="1">1-C57</f>
        <v>7.1999999999999953E-2</v>
      </c>
    </row>
    <row r="57" spans="1:7">
      <c r="B57" s="265" t="s">
        <v>798</v>
      </c>
      <c r="C57" s="266">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1589</v>
      </c>
      <c r="B1" s="121"/>
      <c r="C1" s="1108"/>
      <c r="D1" s="1107"/>
      <c r="E1" s="2564"/>
      <c r="F1" s="2564"/>
      <c r="G1" s="2445"/>
      <c r="H1" s="2564"/>
      <c r="I1" s="2564"/>
      <c r="J1" s="2564"/>
      <c r="K1" s="2565">
        <f>MATCH(C1,'数据-取费表'!A6:A16,0)+5</f>
        <v>9</v>
      </c>
    </row>
    <row r="2" spans="1:33" ht="18" customHeight="1">
      <c r="A2" s="193" t="s">
        <v>1457</v>
      </c>
      <c r="B2" s="196">
        <f ca="1">C32</f>
        <v>-2919</v>
      </c>
      <c r="C2" s="268" t="s">
        <v>1590</v>
      </c>
      <c r="D2" s="268"/>
      <c r="E2" s="2564"/>
      <c r="F2" s="2564"/>
      <c r="G2" s="2564"/>
      <c r="H2" s="2564"/>
      <c r="I2" s="2564"/>
      <c r="J2" s="2564"/>
      <c r="K2" s="2564"/>
    </row>
    <row r="3" spans="1:33" ht="18" customHeight="1" thickBot="1">
      <c r="A3" s="195" t="s">
        <v>1459</v>
      </c>
      <c r="B3" s="196">
        <f ca="1">ROUND(B2*10000/IF(C1="",'数据-汇总表'!E3,INDIRECT("'数据-取费表'!K"&amp;$K$1)),0)</f>
        <v>-209</v>
      </c>
      <c r="C3" s="268" t="s">
        <v>1591</v>
      </c>
      <c r="D3" s="268"/>
      <c r="E3" s="2564"/>
      <c r="F3" s="2564"/>
      <c r="G3" s="2564"/>
      <c r="H3" s="2564"/>
      <c r="I3" s="2564"/>
      <c r="J3" s="2564"/>
      <c r="K3" s="2564"/>
    </row>
    <row r="4" spans="1:33" s="737" customFormat="1" ht="16.5" customHeight="1">
      <c r="A4" s="734" t="s">
        <v>1592</v>
      </c>
      <c r="B4" s="735"/>
      <c r="C4" s="773">
        <f>SUM(C8:K8)</f>
        <v>0</v>
      </c>
      <c r="D4" s="735"/>
      <c r="E4" s="735"/>
      <c r="F4" s="735"/>
      <c r="G4" s="735"/>
      <c r="H4" s="735"/>
      <c r="I4" s="735"/>
      <c r="J4" s="735"/>
      <c r="K4" s="736"/>
    </row>
    <row r="5" spans="1:33" s="741" customFormat="1" ht="15">
      <c r="A5" s="738" t="s">
        <v>1593</v>
      </c>
      <c r="B5" s="739" t="s">
        <v>1594</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1595</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1596</v>
      </c>
      <c r="B7" s="123" t="s">
        <v>1597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1598</v>
      </c>
      <c r="B8" s="156" t="s">
        <v>1599</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1600</v>
      </c>
      <c r="B9" s="735"/>
      <c r="C9" s="735"/>
      <c r="D9" s="735"/>
      <c r="E9" s="735"/>
      <c r="F9" s="735"/>
      <c r="G9" s="735"/>
      <c r="H9" s="735"/>
      <c r="I9" s="735"/>
      <c r="J9" s="735"/>
      <c r="K9" s="736"/>
    </row>
    <row r="10" spans="1:33" s="749" customFormat="1" ht="13.5" customHeight="1">
      <c r="A10" s="738" t="s">
        <v>1601</v>
      </c>
      <c r="B10" s="5" t="s">
        <v>1602</v>
      </c>
      <c r="C10" s="745" t="s">
        <v>1603</v>
      </c>
      <c r="D10" s="746" t="s">
        <v>1604</v>
      </c>
      <c r="E10" s="746" t="s">
        <v>1605</v>
      </c>
      <c r="F10" s="746" t="s">
        <v>1606</v>
      </c>
      <c r="G10" s="5"/>
      <c r="H10" s="747"/>
      <c r="I10" s="747"/>
      <c r="J10" s="747"/>
      <c r="K10" s="748"/>
    </row>
    <row r="11" spans="1:33" s="753" customFormat="1" ht="13.5" customHeight="1">
      <c r="A11" s="750" t="s">
        <v>635</v>
      </c>
      <c r="B11" s="751" t="s">
        <v>1607</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1608</v>
      </c>
      <c r="C12" s="21">
        <f ca="1">ROUND(C11*F12,0)</f>
        <v>0</v>
      </c>
      <c r="D12" s="752"/>
      <c r="E12" s="138"/>
      <c r="F12" s="762">
        <f>'数据-取费表'!B33</f>
        <v>0.1</v>
      </c>
      <c r="G12" s="5" t="s">
        <v>1609</v>
      </c>
      <c r="H12" s="747"/>
      <c r="I12" s="747"/>
      <c r="J12" s="747"/>
      <c r="K12" s="748"/>
    </row>
    <row r="13" spans="1:33" s="753" customFormat="1" ht="13.5" customHeight="1">
      <c r="A13" s="750" t="s">
        <v>637</v>
      </c>
      <c r="B13" s="751" t="s">
        <v>1610</v>
      </c>
      <c r="C13" s="21">
        <f ca="1">ROUND(IF(C1="",SUMIF('数据-取费表'!C:C,"住宅",'数据-取费表'!P:P)*F13,IF(INDIRECT("'数据-取费表'!c"&amp;$K$1)="住宅",INDIRECT("'数据-取费表'!P"&amp;$K$1)*F13,0)),0)</f>
        <v>0</v>
      </c>
      <c r="D13" s="794"/>
      <c r="E13" s="138"/>
      <c r="F13" s="762">
        <f>'数据-取费表'!B34</f>
        <v>0</v>
      </c>
      <c r="G13" s="5" t="s">
        <v>1611</v>
      </c>
      <c r="H13" s="747"/>
      <c r="I13" s="747"/>
      <c r="J13" s="747"/>
      <c r="K13" s="748"/>
    </row>
    <row r="14" spans="1:33" s="755" customFormat="1" ht="13.5" customHeight="1">
      <c r="A14" s="750" t="s">
        <v>638</v>
      </c>
      <c r="B14" s="751" t="s">
        <v>1612</v>
      </c>
      <c r="C14" s="21">
        <f ca="1">ROUND(D14*E14*F11/10000,0)</f>
        <v>0</v>
      </c>
      <c r="D14" s="794">
        <f ca="1">IF(C1="",'数据-汇总表'!E3,INDIRECT("'数据-取费表'!K"&amp;$K$1)+INDIRECT("'数据-取费表'!S"&amp;$K$1))</f>
        <v>139616.6</v>
      </c>
      <c r="E14" s="21">
        <f>'数据-取费表'!B35</f>
        <v>200</v>
      </c>
      <c r="F14" s="754"/>
      <c r="G14" s="5" t="s">
        <v>1613</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1614</v>
      </c>
      <c r="C15" s="761">
        <f ca="1">ROUND(C11*F15,0)</f>
        <v>0</v>
      </c>
      <c r="D15" s="756"/>
      <c r="E15" s="761"/>
      <c r="F15" s="762">
        <f>'数据-取费表'!B36</f>
        <v>0.03</v>
      </c>
      <c r="G15" s="123" t="s">
        <v>1615</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1616</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1617</v>
      </c>
      <c r="C17" s="21">
        <f ca="1">ROUND(D17*E17/10000,0)</f>
        <v>0</v>
      </c>
      <c r="D17" s="794">
        <f ca="1">D14</f>
        <v>139616.6</v>
      </c>
      <c r="E17" s="21">
        <f>'数据-取费表'!B32</f>
        <v>0</v>
      </c>
      <c r="F17" s="756"/>
      <c r="G17" s="123" t="s">
        <v>1618</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1619</v>
      </c>
      <c r="C18" s="21">
        <f ca="1">C19+C20-IF(C1="",'数据-取费表'!B29,IF(G18="已全部缴纳",C19+C20,H18))</f>
        <v>2390</v>
      </c>
      <c r="D18" s="794"/>
      <c r="E18" s="21"/>
      <c r="F18" s="754"/>
      <c r="G18" s="1718"/>
      <c r="H18" s="1104"/>
      <c r="I18" s="1719" t="s">
        <v>1620</v>
      </c>
      <c r="J18" s="757"/>
      <c r="K18" s="758"/>
    </row>
    <row r="19" spans="1:33" s="753" customFormat="1" ht="13.5" customHeight="1">
      <c r="A19" s="750" t="s">
        <v>360</v>
      </c>
      <c r="B19" s="751" t="s">
        <v>1621</v>
      </c>
      <c r="C19" s="21">
        <f ca="1">ROUND(D19*E19/10000,0)</f>
        <v>0</v>
      </c>
      <c r="D19" s="794">
        <f ca="1">IF(C1="",'数据-汇总表'!E5,IF(INDIRECT("'数据-取费表'!c"&amp;$K$1)="住宅",INDIRECT("'数据-取费表'!k"&amp;$K$1),0))</f>
        <v>0</v>
      </c>
      <c r="E19" s="21">
        <f>'数据-取费表'!B27</f>
        <v>160</v>
      </c>
      <c r="F19" s="754"/>
      <c r="G19" s="12"/>
      <c r="H19" s="1106"/>
      <c r="I19" s="759"/>
      <c r="J19" s="759"/>
      <c r="K19" s="760"/>
    </row>
    <row r="20" spans="1:33" s="753" customFormat="1" ht="13.5" customHeight="1">
      <c r="A20" s="750" t="s">
        <v>361</v>
      </c>
      <c r="B20" s="751" t="s">
        <v>1622</v>
      </c>
      <c r="C20" s="21">
        <f ca="1">ROUND(D20*E20/10000,0)</f>
        <v>2792</v>
      </c>
      <c r="D20" s="794">
        <f ca="1">IF(C1="",'数据-汇总表'!E6,IF(INDIRECT("'数据-取费表'!c"&amp;$K$1)="住宅",INDIRECT("'数据-取费表'!s"&amp;$K$1),INDIRECT("'数据-取费表'!k"&amp;$K$1)+INDIRECT("'数据-取费表'!s"&amp;$K$1)))</f>
        <v>139616.6</v>
      </c>
      <c r="E20" s="21">
        <f>'数据-取费表'!B28</f>
        <v>200</v>
      </c>
      <c r="F20" s="754"/>
      <c r="G20" s="12"/>
      <c r="H20" s="759"/>
      <c r="I20" s="759"/>
      <c r="J20" s="759"/>
      <c r="K20" s="760"/>
    </row>
    <row r="21" spans="1:33" s="753" customFormat="1" ht="13.5" customHeight="1">
      <c r="A21" s="742" t="s">
        <v>357</v>
      </c>
      <c r="B21" s="763" t="s">
        <v>1623</v>
      </c>
      <c r="C21" s="764">
        <f ca="1">C16+C17+C18</f>
        <v>2390</v>
      </c>
      <c r="D21" s="765"/>
      <c r="E21" s="273"/>
      <c r="F21" s="273"/>
      <c r="G21" s="123" t="s">
        <v>1624</v>
      </c>
      <c r="H21" s="757"/>
      <c r="I21" s="757"/>
      <c r="J21" s="757"/>
      <c r="K21" s="758"/>
    </row>
    <row r="22" spans="1:33" s="753" customFormat="1" ht="13.5" customHeight="1">
      <c r="A22" s="742" t="s">
        <v>1596</v>
      </c>
      <c r="B22" s="763" t="s">
        <v>1625</v>
      </c>
      <c r="C22" s="764">
        <f ca="1">ROUND(C21*F22,0)</f>
        <v>72</v>
      </c>
      <c r="D22" s="273"/>
      <c r="E22" s="273"/>
      <c r="F22" s="766">
        <f>'数据-取费表'!B37</f>
        <v>0.03</v>
      </c>
      <c r="G22" s="5" t="s">
        <v>1626</v>
      </c>
      <c r="H22" s="747"/>
      <c r="I22" s="747"/>
      <c r="J22" s="747"/>
      <c r="K22" s="748"/>
    </row>
    <row r="23" spans="1:33" s="753" customFormat="1" ht="13.5" customHeight="1">
      <c r="A23" s="742" t="s">
        <v>1598</v>
      </c>
      <c r="B23" s="763" t="s">
        <v>1627</v>
      </c>
      <c r="C23" s="764">
        <f ca="1">ROUND(C4*F23*F11,0)</f>
        <v>0</v>
      </c>
      <c r="D23" s="273"/>
      <c r="E23" s="273"/>
      <c r="F23" s="766">
        <f>'数据-取费表'!B38</f>
        <v>0.03</v>
      </c>
      <c r="G23" s="5" t="s">
        <v>1628</v>
      </c>
      <c r="H23" s="747"/>
      <c r="I23" s="747"/>
      <c r="J23" s="747"/>
      <c r="K23" s="748"/>
    </row>
    <row r="24" spans="1:33" s="753" customFormat="1" ht="13.5" customHeight="1">
      <c r="A24" s="742" t="s">
        <v>1629</v>
      </c>
      <c r="B24" s="763" t="s">
        <v>1630</v>
      </c>
      <c r="C24" s="272">
        <f>ROUND(F24/(1+'数据-取费表'!C42),4)</f>
        <v>2.9000000000000001E-2</v>
      </c>
      <c r="D24" s="273" t="s">
        <v>12</v>
      </c>
      <c r="E24" s="273"/>
      <c r="F24" s="766">
        <f>IF(项目基本情况!B8="出让",0,'数据-取费表'!B48+'数据-取费表'!B49)</f>
        <v>3.0499999999999999E-2</v>
      </c>
      <c r="G24" s="5" t="s">
        <v>1631</v>
      </c>
      <c r="H24" s="768"/>
      <c r="I24" s="768"/>
      <c r="J24" s="768"/>
      <c r="K24" s="55"/>
    </row>
    <row r="25" spans="1:33" s="753" customFormat="1" ht="13.5" customHeight="1">
      <c r="A25" s="742" t="s">
        <v>1632</v>
      </c>
      <c r="B25" s="765" t="s">
        <v>1633</v>
      </c>
      <c r="C25" s="1041">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1634</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1635</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1636</v>
      </c>
      <c r="B28" s="1721" t="s">
        <v>1637</v>
      </c>
      <c r="C28" s="279">
        <f ca="1">C30</f>
        <v>542</v>
      </c>
      <c r="D28" s="272">
        <f ca="1">C29</f>
        <v>0</v>
      </c>
      <c r="E28" s="274" t="s">
        <v>12</v>
      </c>
      <c r="F28" s="280">
        <f ca="1">IF(C1="",'数据-取费表'!Q16,INDIRECT("'数据-取费表'!q"&amp;$K$1))</f>
        <v>0.22</v>
      </c>
      <c r="G28" s="767"/>
      <c r="H28" s="768"/>
      <c r="I28" s="768"/>
      <c r="J28" s="768"/>
      <c r="K28" s="55"/>
    </row>
    <row r="29" spans="1:33" s="283" customFormat="1" ht="13.5" customHeight="1">
      <c r="A29" s="750" t="s">
        <v>358</v>
      </c>
      <c r="B29" s="771" t="s">
        <v>1638</v>
      </c>
      <c r="C29" s="276">
        <f ca="1">ROUND((1+C24)*F28*'数据-取费表'!B24/'数据-取费表'!B20,4)</f>
        <v>0</v>
      </c>
      <c r="D29" s="276"/>
      <c r="E29" s="277"/>
      <c r="F29" s="282"/>
      <c r="G29" s="123" t="s">
        <v>1639</v>
      </c>
      <c r="H29" s="757"/>
      <c r="I29" s="757"/>
      <c r="J29" s="757"/>
      <c r="K29" s="758"/>
    </row>
    <row r="30" spans="1:33" s="283" customFormat="1" ht="13.5" customHeight="1">
      <c r="A30" s="750" t="s">
        <v>359</v>
      </c>
      <c r="B30" s="771" t="s">
        <v>1640</v>
      </c>
      <c r="C30" s="284">
        <f ca="1">ROUND((C21+C22+C23)*F28,0)</f>
        <v>542</v>
      </c>
      <c r="D30" s="276"/>
      <c r="E30" s="277"/>
      <c r="F30" s="282"/>
      <c r="G30" s="123"/>
      <c r="H30" s="757"/>
      <c r="I30" s="757"/>
      <c r="J30" s="757"/>
      <c r="K30" s="758"/>
    </row>
    <row r="31" spans="1:33" s="753" customFormat="1" ht="13.5" customHeight="1" thickBot="1">
      <c r="A31" s="1722" t="s">
        <v>1641</v>
      </c>
      <c r="B31" s="781" t="s">
        <v>1642</v>
      </c>
      <c r="C31" s="782">
        <f>ROUND(C4*F31/(1+'数据-取费表'!C42),0)</f>
        <v>0</v>
      </c>
      <c r="D31" s="783"/>
      <c r="E31" s="784"/>
      <c r="F31" s="785">
        <f>'数据-取费表'!B41</f>
        <v>5.6000000000000001E-2</v>
      </c>
      <c r="G31" s="786" t="s">
        <v>1643</v>
      </c>
      <c r="H31" s="787"/>
      <c r="I31" s="787"/>
      <c r="J31" s="787"/>
      <c r="K31" s="788"/>
    </row>
    <row r="32" spans="1:33" s="749" customFormat="1" ht="13.5" customHeight="1" thickBot="1">
      <c r="A32" s="449" t="s">
        <v>1644</v>
      </c>
      <c r="B32" s="777"/>
      <c r="C32" s="778">
        <f ca="1">ROUND((C4-C21-C22-C23-C25-C28-C31)/(1+C24+D25+D28),0)</f>
        <v>-2919</v>
      </c>
      <c r="D32" s="777"/>
      <c r="E32" s="777"/>
      <c r="F32" s="777"/>
      <c r="G32" s="779" t="s">
        <v>1645</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872</v>
      </c>
      <c r="B1" s="663"/>
      <c r="C1" s="1285"/>
      <c r="D1" s="1269" t="s">
        <v>43</v>
      </c>
      <c r="E1" s="1270" t="s">
        <v>673</v>
      </c>
      <c r="F1" s="997">
        <f ca="1">J53</f>
        <v>0</v>
      </c>
      <c r="G1" s="1284">
        <f>MATCH(C1,'数据-取费表'!A6:A16,0)+5</f>
        <v>9</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873</v>
      </c>
      <c r="B2" s="3120" t="e">
        <f ca="1">ROUND(D2/10000,4)</f>
        <v>#DIV/0!</v>
      </c>
      <c r="C2" s="1287" t="s">
        <v>874</v>
      </c>
      <c r="D2" s="1373" t="e">
        <f ca="1">C40+J29+L46</f>
        <v>#DIV/0!</v>
      </c>
      <c r="E2" s="1293" t="s">
        <v>875</v>
      </c>
      <c r="F2" s="1294"/>
      <c r="G2" s="2475"/>
      <c r="H2" s="2465"/>
      <c r="I2" s="2465"/>
      <c r="J2" s="2465"/>
      <c r="K2" s="2466"/>
      <c r="L2" s="2465"/>
      <c r="M2" s="2465"/>
    </row>
    <row r="3" spans="1:37" ht="18" customHeight="1" thickBot="1">
      <c r="A3" s="1295" t="s">
        <v>876</v>
      </c>
      <c r="B3" s="1296">
        <f ca="1">IF(ISERROR(D2/F43),0,ROUND(D2/F43,0))</f>
        <v>0</v>
      </c>
      <c r="C3" s="1287" t="s">
        <v>877</v>
      </c>
      <c r="D3" s="1287"/>
      <c r="E3" s="1293"/>
      <c r="F3" s="1294"/>
      <c r="G3" s="2475"/>
      <c r="H3" s="649" t="s">
        <v>871</v>
      </c>
      <c r="I3" s="1288"/>
      <c r="J3" s="1288"/>
      <c r="K3" s="1289"/>
      <c r="L3" s="1288"/>
      <c r="M3" s="1288"/>
    </row>
    <row r="4" spans="1:37" ht="18" customHeight="1">
      <c r="A4" s="287" t="s">
        <v>878</v>
      </c>
      <c r="B4" s="288" t="s">
        <v>879</v>
      </c>
      <c r="C4" s="288" t="s">
        <v>880</v>
      </c>
      <c r="D4" s="288" t="s">
        <v>881</v>
      </c>
      <c r="E4" s="289" t="s">
        <v>882</v>
      </c>
      <c r="F4" s="290"/>
      <c r="G4" s="1290"/>
      <c r="H4" s="287" t="s">
        <v>878</v>
      </c>
      <c r="I4" s="288" t="s">
        <v>879</v>
      </c>
      <c r="J4" s="288" t="s">
        <v>880</v>
      </c>
      <c r="K4" s="288" t="s">
        <v>881</v>
      </c>
      <c r="L4" s="289" t="s">
        <v>882</v>
      </c>
      <c r="M4" s="290"/>
    </row>
    <row r="5" spans="1:37" ht="18" customHeight="1">
      <c r="A5" s="291">
        <v>1</v>
      </c>
      <c r="B5" s="292" t="s">
        <v>883</v>
      </c>
      <c r="C5" s="1005">
        <f ca="1">C6+C10+C12</f>
        <v>0</v>
      </c>
      <c r="D5" s="1271" t="s">
        <v>884</v>
      </c>
      <c r="E5" s="1006"/>
      <c r="F5" s="1007"/>
      <c r="G5" s="1290"/>
      <c r="H5" s="291">
        <v>1</v>
      </c>
      <c r="I5" s="292" t="s">
        <v>883</v>
      </c>
      <c r="J5" s="1005">
        <f ca="1">J6+J10+J12</f>
        <v>0</v>
      </c>
      <c r="K5" s="1271" t="s">
        <v>884</v>
      </c>
      <c r="L5" s="1006"/>
      <c r="M5" s="1007"/>
    </row>
    <row r="6" spans="1:37" ht="18" customHeight="1">
      <c r="A6" s="1004" t="s">
        <v>398</v>
      </c>
      <c r="B6" s="3371" t="s">
        <v>689</v>
      </c>
      <c r="C6" s="1009">
        <f ca="1">ROUND(F6*F8*F7*(1-F9),0)</f>
        <v>0</v>
      </c>
      <c r="D6" s="147" t="s">
        <v>2101</v>
      </c>
      <c r="E6" s="294" t="s">
        <v>691</v>
      </c>
      <c r="F6" s="295">
        <f ca="1">INDIRECT("'数据-取费表'!u"&amp;$G$1)</f>
        <v>0</v>
      </c>
      <c r="G6" s="1290"/>
      <c r="H6" s="1004" t="s">
        <v>398</v>
      </c>
      <c r="I6" s="3371" t="s">
        <v>689</v>
      </c>
      <c r="J6" s="293">
        <f ca="1">ROUND(M6*M8*M7*(1-M9),0)</f>
        <v>0</v>
      </c>
      <c r="K6" s="1282" t="s">
        <v>2102</v>
      </c>
      <c r="L6" s="294" t="s">
        <v>691</v>
      </c>
      <c r="M6" s="295">
        <f ca="1">INDIRECT("'数据-取费表'!z"&amp;$G$1)</f>
        <v>0</v>
      </c>
    </row>
    <row r="7" spans="1:37" ht="18" customHeight="1">
      <c r="A7" s="1008"/>
      <c r="B7" s="3372"/>
      <c r="C7" s="1010"/>
      <c r="D7" s="299"/>
      <c r="E7" s="1011" t="s">
        <v>692</v>
      </c>
      <c r="F7" s="295">
        <f ca="1">IF(INDIRECT("'数据-取费表'!ah"&amp;$G$1)="",INDIRECT("'数据-取费表'!k"&amp;$G$1),INDIRECT("'数据-取费表'!ah"&amp;$G$1))</f>
        <v>0</v>
      </c>
      <c r="G7" s="1290"/>
      <c r="H7" s="296"/>
      <c r="I7" s="3372"/>
      <c r="J7" s="298"/>
      <c r="K7" s="299"/>
      <c r="L7" s="294" t="s">
        <v>692</v>
      </c>
      <c r="M7" s="295">
        <f ca="1">F7</f>
        <v>0</v>
      </c>
    </row>
    <row r="8" spans="1:37" ht="18" customHeight="1">
      <c r="A8" s="296"/>
      <c r="B8" s="3372"/>
      <c r="C8" s="298"/>
      <c r="D8" s="299"/>
      <c r="E8" s="294" t="s">
        <v>693</v>
      </c>
      <c r="F8" s="295">
        <f ca="1">INDIRECT("'数据-取费表'!ai"&amp;$G$1)</f>
        <v>0</v>
      </c>
      <c r="G8" s="1290"/>
      <c r="H8" s="296"/>
      <c r="I8" s="3372"/>
      <c r="J8" s="298"/>
      <c r="K8" s="299"/>
      <c r="L8" s="294" t="s">
        <v>693</v>
      </c>
      <c r="M8" s="295">
        <f ca="1">INDIRECT("'数据-取费表'!ai"&amp;$G$1)</f>
        <v>0</v>
      </c>
    </row>
    <row r="9" spans="1:37" ht="18" customHeight="1">
      <c r="A9" s="296"/>
      <c r="B9" s="3373"/>
      <c r="C9" s="298"/>
      <c r="D9" s="299"/>
      <c r="E9" s="294" t="s">
        <v>694</v>
      </c>
      <c r="F9" s="304">
        <f ca="1">INDIRECT("'数据-取费表'!w"&amp;$G$1)</f>
        <v>0</v>
      </c>
      <c r="G9" s="1290"/>
      <c r="H9" s="296"/>
      <c r="I9" s="3373"/>
      <c r="J9" s="298"/>
      <c r="K9" s="299"/>
      <c r="L9" s="305" t="s">
        <v>694</v>
      </c>
      <c r="M9" s="306">
        <f ca="1">INDIRECT("'数据-取费表'!ab"&amp;$G$1)</f>
        <v>0</v>
      </c>
    </row>
    <row r="10" spans="1:37" ht="18" customHeight="1">
      <c r="A10" s="1004" t="s">
        <v>402</v>
      </c>
      <c r="B10" s="1272" t="s">
        <v>695</v>
      </c>
      <c r="C10" s="308">
        <f ca="1">ROUND(IF(F10="押一",C6/12*F11,IF(F10="押二",C6/12*2*F11,IF(F10="押三",C6/12*3*F11,C11*F11))),0)</f>
        <v>0</v>
      </c>
      <c r="D10" s="150" t="s">
        <v>2111</v>
      </c>
      <c r="E10" s="305" t="s">
        <v>696</v>
      </c>
      <c r="F10" s="1051"/>
      <c r="G10" s="1290"/>
      <c r="H10" s="1004" t="s">
        <v>402</v>
      </c>
      <c r="I10" s="1272" t="s">
        <v>695</v>
      </c>
      <c r="J10" s="293">
        <f ca="1">ROUND(IF(M10="押一",J6/12*M11,IF(M10="押二",J6/12*2*M11,IF(M10="押三",J6/12*3*M11,J11*M11))),0)</f>
        <v>0</v>
      </c>
      <c r="K10" s="1283" t="s">
        <v>2113</v>
      </c>
      <c r="L10" s="305" t="s">
        <v>696</v>
      </c>
      <c r="M10" s="1051"/>
    </row>
    <row r="11" spans="1:37" ht="18" customHeight="1">
      <c r="A11" s="300"/>
      <c r="B11" s="1273" t="s">
        <v>885</v>
      </c>
      <c r="C11" s="903"/>
      <c r="D11" s="299"/>
      <c r="E11" s="305" t="s">
        <v>697</v>
      </c>
      <c r="F11" s="306">
        <f ca="1">'数据-取费表'!B39</f>
        <v>1.4999999999999999E-2</v>
      </c>
      <c r="G11" s="1290"/>
      <c r="H11" s="1012"/>
      <c r="I11" s="1273" t="s">
        <v>886</v>
      </c>
      <c r="J11" s="903"/>
      <c r="K11" s="646"/>
      <c r="L11" s="305" t="s">
        <v>697</v>
      </c>
      <c r="M11" s="807">
        <f ca="1">'数据-取费表'!B39</f>
        <v>1.4999999999999999E-2</v>
      </c>
    </row>
    <row r="12" spans="1:37" ht="18" customHeight="1" thickBot="1">
      <c r="A12" s="1018" t="s">
        <v>437</v>
      </c>
      <c r="B12" s="1275" t="s">
        <v>698</v>
      </c>
      <c r="C12" s="1019"/>
      <c r="D12" s="1020"/>
      <c r="E12" s="1025"/>
      <c r="F12" s="1021"/>
      <c r="G12" s="1290"/>
      <c r="H12" s="1018" t="s">
        <v>437</v>
      </c>
      <c r="I12" s="1275" t="s">
        <v>698</v>
      </c>
      <c r="J12" s="1019"/>
      <c r="K12" s="1033"/>
      <c r="L12" s="1025"/>
      <c r="M12" s="1034"/>
    </row>
    <row r="13" spans="1:37" ht="18" customHeight="1" thickTop="1">
      <c r="A13" s="1014">
        <v>2</v>
      </c>
      <c r="B13" s="1015" t="s">
        <v>699</v>
      </c>
      <c r="C13" s="302">
        <f ca="1">ROUND(C29*F13,0)</f>
        <v>0</v>
      </c>
      <c r="D13" s="1016" t="s">
        <v>700</v>
      </c>
      <c r="E13" s="1016" t="s">
        <v>701</v>
      </c>
      <c r="F13" s="1017">
        <f ca="1">INDIRECT("'数据-取费表'!y"&amp;$G$1)</f>
        <v>0</v>
      </c>
      <c r="G13" s="1290"/>
      <c r="H13" s="1014">
        <v>2</v>
      </c>
      <c r="I13" s="1015" t="s">
        <v>699</v>
      </c>
      <c r="J13" s="1003">
        <f ca="1">ROUND(J14*J15,0)</f>
        <v>0</v>
      </c>
      <c r="K13" s="1022" t="s">
        <v>700</v>
      </c>
      <c r="L13" s="1297"/>
      <c r="M13" s="1298"/>
    </row>
    <row r="14" spans="1:37" ht="18" customHeight="1">
      <c r="A14" s="926" t="s">
        <v>397</v>
      </c>
      <c r="B14" s="294" t="s">
        <v>702</v>
      </c>
      <c r="C14" s="310">
        <f ca="1">ROUND(INDIRECT("'数据-取费表'!l"&amp;$G$1)*F43+'数据-取费表'!L14*INDIRECT("'数据-取费表'!S"&amp;$G$1),0)</f>
        <v>0</v>
      </c>
      <c r="D14" s="1255" t="s">
        <v>703</v>
      </c>
      <c r="E14" s="1253"/>
      <c r="F14" s="311"/>
      <c r="G14" s="1290"/>
      <c r="H14" s="926" t="s">
        <v>398</v>
      </c>
      <c r="I14" s="294" t="s">
        <v>704</v>
      </c>
      <c r="J14" s="21">
        <f ca="1">C29</f>
        <v>0</v>
      </c>
      <c r="K14" s="12"/>
      <c r="L14" s="757"/>
      <c r="M14" s="758"/>
    </row>
    <row r="15" spans="1:37" s="1302" customFormat="1" ht="18" customHeight="1" thickBot="1">
      <c r="A15" s="926" t="s">
        <v>399</v>
      </c>
      <c r="B15" s="294" t="s">
        <v>705</v>
      </c>
      <c r="C15" s="21">
        <f ca="1">ROUND(C14*F15,0)</f>
        <v>0</v>
      </c>
      <c r="D15" s="312" t="s">
        <v>706</v>
      </c>
      <c r="E15" s="312" t="s">
        <v>707</v>
      </c>
      <c r="F15" s="313">
        <f>'数据-取费表'!B33</f>
        <v>0.1</v>
      </c>
      <c r="G15" s="1301"/>
      <c r="H15" s="1024" t="s">
        <v>402</v>
      </c>
      <c r="I15" s="1025" t="s">
        <v>701</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675</v>
      </c>
      <c r="B16" s="294" t="s">
        <v>708</v>
      </c>
      <c r="C16" s="21">
        <f ca="1">ROUND(INDIRECT("'数据-取费表'!l"&amp;$G$1)*F43*F16,0)</f>
        <v>0</v>
      </c>
      <c r="D16" s="294" t="s">
        <v>706</v>
      </c>
      <c r="E16" s="294" t="s">
        <v>707</v>
      </c>
      <c r="F16" s="314">
        <f ca="1">IF(INDIRECT("'数据-取费表'!c"&amp;$G$1)="住宅",'数据-取费表'!B34,0)</f>
        <v>0</v>
      </c>
      <c r="G16" s="1290"/>
      <c r="H16" s="1014" t="s">
        <v>393</v>
      </c>
      <c r="I16" s="1015" t="s">
        <v>709</v>
      </c>
      <c r="J16" s="302">
        <f ca="1">ROUND(J17+J22+J23+J24,0)</f>
        <v>0</v>
      </c>
      <c r="K16" s="1022" t="s">
        <v>710</v>
      </c>
      <c r="L16" s="1023"/>
      <c r="M16" s="1007"/>
    </row>
    <row r="17" spans="1:37" s="1302" customFormat="1" ht="18" customHeight="1">
      <c r="A17" s="926" t="s">
        <v>676</v>
      </c>
      <c r="B17" s="294" t="s">
        <v>711</v>
      </c>
      <c r="C17" s="21">
        <f ca="1">ROUND(F17*(F43+INDIRECT("'数据-取费表'!S"&amp;$G$1)),0)</f>
        <v>0</v>
      </c>
      <c r="D17" s="294" t="s">
        <v>712</v>
      </c>
      <c r="E17" s="294" t="s">
        <v>713</v>
      </c>
      <c r="F17" s="23">
        <f>'数据-取费表'!B35</f>
        <v>200</v>
      </c>
      <c r="G17" s="1301"/>
      <c r="H17" s="926" t="s">
        <v>398</v>
      </c>
      <c r="I17" s="294" t="s">
        <v>714</v>
      </c>
      <c r="J17" s="2138">
        <f ca="1">ROUND(IF(AND(项目基本情况!B11="自然人",项目基本情况!B10="北京市"),J6*M17/(1+'数据-取费表'!C42),J18+J19+J20),0)</f>
        <v>0</v>
      </c>
      <c r="K17" s="1255" t="s">
        <v>715</v>
      </c>
      <c r="L17" s="1254" t="s">
        <v>716</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677</v>
      </c>
      <c r="B18" s="294" t="s">
        <v>717</v>
      </c>
      <c r="C18" s="21">
        <f ca="1">ROUND(C14*F18,0)</f>
        <v>0</v>
      </c>
      <c r="D18" s="294" t="s">
        <v>706</v>
      </c>
      <c r="E18" s="294" t="s">
        <v>707</v>
      </c>
      <c r="F18" s="314">
        <f>'数据-取费表'!B36</f>
        <v>0.03</v>
      </c>
      <c r="G18" s="1301"/>
      <c r="H18" s="926" t="s">
        <v>397</v>
      </c>
      <c r="I18" s="294" t="s">
        <v>718</v>
      </c>
      <c r="J18" s="21">
        <f ca="1">ROUND(J6*M18/(1+'数据-取费表'!C42),0)</f>
        <v>0</v>
      </c>
      <c r="K18" s="1254" t="s">
        <v>719</v>
      </c>
      <c r="L18" s="294" t="s">
        <v>707</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720</v>
      </c>
      <c r="C19" s="21">
        <f ca="1">SUM(C14:C18)</f>
        <v>0</v>
      </c>
      <c r="D19" s="123" t="s">
        <v>721</v>
      </c>
      <c r="E19" s="1267"/>
      <c r="F19" s="23"/>
      <c r="G19" s="1290"/>
      <c r="H19" s="926" t="s">
        <v>399</v>
      </c>
      <c r="I19" s="294" t="s">
        <v>722</v>
      </c>
      <c r="J19" s="21">
        <f ca="1">IF(K19="按租金收入计税",ROUND(J6*M19/(1+'数据-取费表'!C42),0),ROUND(C29*M19*0.7,0))</f>
        <v>0</v>
      </c>
      <c r="K19" s="1276" t="s">
        <v>3322</v>
      </c>
      <c r="L19" s="294" t="s">
        <v>707</v>
      </c>
      <c r="M19" s="314">
        <f>IF(K19="按租金收入计税",'数据-取费表'!B51,'数据-取费表'!B50)</f>
        <v>0.12</v>
      </c>
    </row>
    <row r="20" spans="1:37" s="1302" customFormat="1" ht="18" customHeight="1">
      <c r="A20" s="926" t="s">
        <v>402</v>
      </c>
      <c r="B20" s="294" t="s">
        <v>723</v>
      </c>
      <c r="C20" s="21">
        <f ca="1">ROUND(C19*F20,0)</f>
        <v>0</v>
      </c>
      <c r="D20" s="315" t="s">
        <v>724</v>
      </c>
      <c r="E20" s="294" t="s">
        <v>707</v>
      </c>
      <c r="F20" s="314">
        <f>'数据-取费表'!B37</f>
        <v>0.03</v>
      </c>
      <c r="G20" s="1301"/>
      <c r="H20" s="926" t="s">
        <v>675</v>
      </c>
      <c r="I20" s="147" t="s">
        <v>725</v>
      </c>
      <c r="J20" s="22">
        <f ca="1">ROUND(M20*M21,0)</f>
        <v>0</v>
      </c>
      <c r="K20" s="316" t="s">
        <v>726</v>
      </c>
      <c r="L20" s="294" t="s">
        <v>727</v>
      </c>
      <c r="M20" s="317">
        <f>'数据-取费表'!B52</f>
        <v>30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728</v>
      </c>
      <c r="C21" s="21" t="s">
        <v>0</v>
      </c>
      <c r="D21" s="315" t="s">
        <v>729</v>
      </c>
      <c r="E21" s="294" t="s">
        <v>730</v>
      </c>
      <c r="F21" s="314">
        <f>'数据-取费表'!B38</f>
        <v>0.03</v>
      </c>
      <c r="G21" s="1301"/>
      <c r="H21" s="318"/>
      <c r="I21" s="303"/>
      <c r="J21" s="26"/>
      <c r="K21" s="319"/>
      <c r="L21" s="294" t="s">
        <v>731</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678</v>
      </c>
      <c r="B22" s="294" t="s">
        <v>732</v>
      </c>
      <c r="C22" s="21"/>
      <c r="D22" s="123" t="str">
        <f>IF(F23&lt;=1,"单利计息。","复利计息。")&amp;"建造成本、管理费用、销售费用产生的利息。"</f>
        <v>复利计息。建造成本、管理费用、销售费用产生的利息。</v>
      </c>
      <c r="E22" s="1267"/>
      <c r="F22" s="23"/>
      <c r="G22" s="1290"/>
      <c r="H22" s="926" t="s">
        <v>402</v>
      </c>
      <c r="I22" s="294" t="s">
        <v>733</v>
      </c>
      <c r="J22" s="21">
        <f ca="1">ROUND(J14*M22,0)</f>
        <v>0</v>
      </c>
      <c r="K22" s="1254" t="s">
        <v>734</v>
      </c>
      <c r="L22" s="294" t="s">
        <v>707</v>
      </c>
      <c r="M22" s="320">
        <f ca="1">INDIRECT("'数据-取费表'!Ak"&amp;$G$1)</f>
        <v>0</v>
      </c>
    </row>
    <row r="23" spans="1:37" s="1302" customFormat="1" ht="18" customHeight="1">
      <c r="A23" s="926" t="s">
        <v>397</v>
      </c>
      <c r="B23" s="294" t="s">
        <v>735</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736</v>
      </c>
      <c r="F23" s="317">
        <f>'数据-取费表'!B20</f>
        <v>2.5</v>
      </c>
      <c r="G23" s="1301"/>
      <c r="H23" s="926" t="s">
        <v>437</v>
      </c>
      <c r="I23" s="294" t="s">
        <v>737</v>
      </c>
      <c r="J23" s="21">
        <f ca="1">ROUND(J13*M23,0)</f>
        <v>0</v>
      </c>
      <c r="K23" s="1254" t="s">
        <v>738</v>
      </c>
      <c r="L23" s="294" t="s">
        <v>739</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740</v>
      </c>
      <c r="B24" s="294" t="s">
        <v>741</v>
      </c>
      <c r="C24" s="21">
        <f ca="1">ROUND(IF('数据-取费表'!B22&lt;=1,F21*F24*F23/2,F21*(POWER((1+F24),F23/2)-1)),4)</f>
        <v>1.1000000000000001E-3</v>
      </c>
      <c r="D24" s="138" t="str">
        <f>IF(F23&lt;=1,"销售费用×利率×(建设周期÷2)","销售费用×((1+利率)^(建设周期÷2)-1)")</f>
        <v>销售费用×((1+利率)^(建设周期÷2)-1)</v>
      </c>
      <c r="E24" s="294" t="s">
        <v>742</v>
      </c>
      <c r="F24" s="322">
        <f ca="1">'数据-取费表'!B40</f>
        <v>0.03</v>
      </c>
      <c r="G24" s="1301"/>
      <c r="H24" s="1024" t="s">
        <v>679</v>
      </c>
      <c r="I24" s="1025" t="s">
        <v>723</v>
      </c>
      <c r="J24" s="1026">
        <f ca="1">ROUND(J5*M24,0)</f>
        <v>0</v>
      </c>
      <c r="K24" s="1027" t="s">
        <v>743</v>
      </c>
      <c r="L24" s="1025" t="s">
        <v>739</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744</v>
      </c>
      <c r="B25" s="294" t="s">
        <v>745</v>
      </c>
      <c r="C25" s="21"/>
      <c r="D25" s="123" t="s">
        <v>746</v>
      </c>
      <c r="E25" s="1267"/>
      <c r="F25" s="23"/>
      <c r="G25" s="1290"/>
      <c r="H25" s="1014" t="s">
        <v>394</v>
      </c>
      <c r="I25" s="1029" t="s">
        <v>747</v>
      </c>
      <c r="J25" s="302">
        <f ca="1">J5-J16</f>
        <v>0</v>
      </c>
      <c r="K25" s="1030" t="s">
        <v>748</v>
      </c>
      <c r="L25" s="1031"/>
      <c r="M25" s="1032"/>
    </row>
    <row r="26" spans="1:37" ht="18" customHeight="1">
      <c r="A26" s="926" t="s">
        <v>397</v>
      </c>
      <c r="B26" s="294" t="s">
        <v>749</v>
      </c>
      <c r="C26" s="21">
        <f ca="1">ROUND((C19+C20)*F26,0)</f>
        <v>0</v>
      </c>
      <c r="D26" s="315" t="s">
        <v>750</v>
      </c>
      <c r="E26" s="305" t="s">
        <v>751</v>
      </c>
      <c r="F26" s="304">
        <f ca="1">INDIRECT("'数据-取费表'!q"&amp;$G$1)</f>
        <v>0</v>
      </c>
      <c r="G26" s="1290"/>
      <c r="H26" s="291" t="s">
        <v>395</v>
      </c>
      <c r="I26" s="292" t="s">
        <v>752</v>
      </c>
      <c r="J26" s="293">
        <f ca="1">IF(J5&lt;&gt;0,ROUND(J25*(1-((1+M28)/(1+M26))^M27)/(M26-M28),0),0)</f>
        <v>0</v>
      </c>
      <c r="K26" s="316" t="s">
        <v>753</v>
      </c>
      <c r="L26" s="294" t="s">
        <v>754</v>
      </c>
      <c r="M26" s="304">
        <f ca="1">INDIRECT("'数据-取费表'!I"&amp;$G$1)</f>
        <v>0</v>
      </c>
    </row>
    <row r="27" spans="1:37" ht="18" customHeight="1">
      <c r="A27" s="926" t="s">
        <v>399</v>
      </c>
      <c r="B27" s="294" t="s">
        <v>755</v>
      </c>
      <c r="C27" s="21">
        <f ca="1">ROUND(F21*F26,4)</f>
        <v>0</v>
      </c>
      <c r="D27" s="315" t="s">
        <v>756</v>
      </c>
      <c r="E27" s="312"/>
      <c r="F27" s="313"/>
      <c r="G27" s="1290"/>
      <c r="H27" s="296"/>
      <c r="I27" s="297"/>
      <c r="J27" s="298"/>
      <c r="K27" s="323" t="s">
        <v>757</v>
      </c>
      <c r="L27" s="294" t="s">
        <v>758</v>
      </c>
      <c r="M27" s="324">
        <f ca="1">INDIRECT("'数据-取费表'!ag"&amp;$G$1)</f>
        <v>0</v>
      </c>
    </row>
    <row r="28" spans="1:37" s="1302" customFormat="1" ht="18" customHeight="1">
      <c r="A28" s="926" t="s">
        <v>400</v>
      </c>
      <c r="B28" s="294" t="s">
        <v>759</v>
      </c>
      <c r="C28" s="21">
        <f>ROUND(F28/(1+'数据-取费表'!C42),4)</f>
        <v>5.33E-2</v>
      </c>
      <c r="D28" s="315" t="s">
        <v>760</v>
      </c>
      <c r="E28" s="294" t="s">
        <v>707</v>
      </c>
      <c r="F28" s="314">
        <f>'数据-取费表'!B41</f>
        <v>5.6000000000000001E-2</v>
      </c>
      <c r="G28" s="1301"/>
      <c r="H28" s="300"/>
      <c r="I28" s="301"/>
      <c r="J28" s="302"/>
      <c r="K28" s="319"/>
      <c r="L28" s="294" t="s">
        <v>761</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762</v>
      </c>
      <c r="C29" s="1026">
        <f ca="1">ROUND((C19+C20+C23+C26)/(1-F21-C24-C27-C28),0)</f>
        <v>0</v>
      </c>
      <c r="D29" s="1027"/>
      <c r="E29" s="1025"/>
      <c r="F29" s="1028"/>
      <c r="G29" s="1301"/>
      <c r="H29" s="325" t="s">
        <v>396</v>
      </c>
      <c r="I29" s="326" t="s">
        <v>763</v>
      </c>
      <c r="J29" s="327">
        <f ca="1">ROUND(J26/(1+F40)^F41,0)</f>
        <v>0</v>
      </c>
      <c r="K29" s="328" t="s">
        <v>764</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709</v>
      </c>
      <c r="C30" s="302">
        <f ca="1">ROUND(C31+C36+C37+C38,0)</f>
        <v>0</v>
      </c>
      <c r="D30" s="1022" t="s">
        <v>710</v>
      </c>
      <c r="E30" s="1023"/>
      <c r="F30" s="1007"/>
      <c r="G30" s="1290"/>
      <c r="H30" s="2467"/>
      <c r="I30" s="1303"/>
      <c r="J30" s="1304"/>
      <c r="K30" s="121"/>
      <c r="L30" s="2468"/>
      <c r="M30" s="2469"/>
    </row>
    <row r="31" spans="1:37" ht="18" customHeight="1">
      <c r="A31" s="926" t="s">
        <v>398</v>
      </c>
      <c r="B31" s="294" t="s">
        <v>714</v>
      </c>
      <c r="C31" s="2138">
        <f ca="1">ROUND(IF(AND(项目基本情况!B11="自然人",项目基本情况!B10="北京市"),C6*F31/(1+'数据-取费表'!C42),C32+C33+C34),0)</f>
        <v>0</v>
      </c>
      <c r="D31" s="1255" t="s">
        <v>715</v>
      </c>
      <c r="E31" s="1254" t="s">
        <v>765</v>
      </c>
      <c r="F31" s="2137" t="str">
        <f>IF(项目基本情况!B11="企业","——",IF(M47="住宅",IF(F6*F7*F8/12/(1+'数据-取费表'!F30)&gt;100000,4%,2.5%),IF(F6*F7*F8/12/(1+'数据-取费表'!F30)&gt;100000,12%,7%)))</f>
        <v>——</v>
      </c>
      <c r="G31" s="1290"/>
      <c r="H31" s="2566" t="s">
        <v>2292</v>
      </c>
      <c r="I31" s="1303"/>
      <c r="J31" s="1304"/>
      <c r="K31" s="121"/>
      <c r="L31" s="2468"/>
      <c r="M31" s="2469"/>
    </row>
    <row r="32" spans="1:37" ht="18" customHeight="1">
      <c r="A32" s="926" t="s">
        <v>397</v>
      </c>
      <c r="B32" s="294" t="s">
        <v>718</v>
      </c>
      <c r="C32" s="21">
        <f ca="1">IF(项目基本情况!B11="自然人","——",ROUND(C6*F32/(1+'数据-取费表'!C42),0))</f>
        <v>0</v>
      </c>
      <c r="D32" s="1254" t="s">
        <v>719</v>
      </c>
      <c r="E32" s="294" t="s">
        <v>707</v>
      </c>
      <c r="F32" s="322">
        <f>'数据-取费表'!B41</f>
        <v>5.6000000000000001E-2</v>
      </c>
      <c r="G32" s="1290"/>
      <c r="H32" s="2467"/>
      <c r="I32" s="1303"/>
      <c r="J32" s="1304"/>
      <c r="K32" s="121"/>
      <c r="L32" s="2468"/>
      <c r="M32" s="2469"/>
    </row>
    <row r="33" spans="1:18" ht="18" customHeight="1">
      <c r="A33" s="926" t="s">
        <v>399</v>
      </c>
      <c r="B33" s="294" t="s">
        <v>722</v>
      </c>
      <c r="C33" s="21">
        <f ca="1">IF(项目基本情况!B11="自然人","——",IF(D33="按租金收入计税",ROUND(C6*F33/(1+'数据-取费表'!C42),0),IF(D33="按房产原值计税",ROUND(C29*F33*0.7,0),INDIRECT("'数据-取费表'!Aj"&amp;$G$1))))</f>
        <v>0</v>
      </c>
      <c r="D33" s="1276" t="s">
        <v>3322</v>
      </c>
      <c r="E33" s="294" t="s">
        <v>707</v>
      </c>
      <c r="F33" s="314">
        <f>IF(D33="按票据","——",IF(D33="按租金收入计税",'数据-取费表'!B51,'数据-取费表'!B50))</f>
        <v>0.12</v>
      </c>
      <c r="G33" s="1290"/>
      <c r="H33" s="2470"/>
      <c r="I33" s="1303"/>
      <c r="J33" s="1304"/>
      <c r="K33" s="2471"/>
      <c r="L33" s="2470"/>
      <c r="M33" s="2470"/>
    </row>
    <row r="34" spans="1:18" ht="18" customHeight="1">
      <c r="A34" s="1004" t="s">
        <v>675</v>
      </c>
      <c r="B34" s="147" t="s">
        <v>725</v>
      </c>
      <c r="C34" s="22">
        <f ca="1">IF(项目基本情况!B11="自然人","——",ROUND(F34*F35,0))</f>
        <v>0</v>
      </c>
      <c r="D34" s="316" t="s">
        <v>726</v>
      </c>
      <c r="E34" s="294" t="s">
        <v>727</v>
      </c>
      <c r="F34" s="317">
        <f>'数据-取费表'!B52</f>
        <v>30</v>
      </c>
      <c r="G34" s="1290"/>
      <c r="H34" s="2467"/>
      <c r="I34" s="1303"/>
      <c r="J34" s="1304"/>
      <c r="K34" s="2472"/>
      <c r="L34" s="2473"/>
      <c r="M34" s="2473"/>
    </row>
    <row r="35" spans="1:18" ht="18" customHeight="1">
      <c r="A35" s="1038"/>
      <c r="B35" s="1036"/>
      <c r="C35" s="26"/>
      <c r="D35" s="319"/>
      <c r="E35" s="294" t="s">
        <v>731</v>
      </c>
      <c r="F35" s="295">
        <f ca="1">INDIRECT("'数据-取费表'!r"&amp;$G$1)</f>
        <v>0</v>
      </c>
      <c r="G35" s="1290"/>
      <c r="H35" s="2467"/>
      <c r="I35" s="1303"/>
      <c r="J35" s="1304"/>
      <c r="K35" s="2471"/>
      <c r="L35" s="2470"/>
      <c r="M35" s="2470"/>
    </row>
    <row r="36" spans="1:18" ht="18" customHeight="1">
      <c r="A36" s="1037" t="s">
        <v>402</v>
      </c>
      <c r="B36" s="294" t="s">
        <v>733</v>
      </c>
      <c r="C36" s="21">
        <f ca="1">ROUND(C29*F36,0)</f>
        <v>0</v>
      </c>
      <c r="D36" s="1254" t="s">
        <v>766</v>
      </c>
      <c r="E36" s="294" t="s">
        <v>707</v>
      </c>
      <c r="F36" s="320">
        <f ca="1">INDIRECT("'数据-取费表'!Ak"&amp;$G$1)</f>
        <v>0</v>
      </c>
      <c r="G36" s="1290"/>
      <c r="H36" s="2470"/>
      <c r="I36" s="1303"/>
      <c r="J36" s="1304"/>
      <c r="K36" s="2327"/>
      <c r="L36" s="2470"/>
      <c r="M36" s="2470"/>
    </row>
    <row r="37" spans="1:18" ht="18" customHeight="1">
      <c r="A37" s="926" t="s">
        <v>437</v>
      </c>
      <c r="B37" s="294" t="s">
        <v>737</v>
      </c>
      <c r="C37" s="21">
        <f ca="1">ROUND(C13*F37,0)</f>
        <v>0</v>
      </c>
      <c r="D37" s="1254" t="s">
        <v>738</v>
      </c>
      <c r="E37" s="294" t="s">
        <v>739</v>
      </c>
      <c r="F37" s="321">
        <f ca="1">INDIRECT("'数据-取费表'!Al"&amp;$G$1)</f>
        <v>0</v>
      </c>
      <c r="G37" s="1290"/>
      <c r="H37" s="2470"/>
      <c r="I37" s="1303"/>
      <c r="J37" s="1304"/>
      <c r="K37" s="2327"/>
      <c r="L37" s="2470"/>
      <c r="M37" s="2470"/>
    </row>
    <row r="38" spans="1:18" ht="18" customHeight="1" thickBot="1">
      <c r="A38" s="1024" t="s">
        <v>679</v>
      </c>
      <c r="B38" s="1025" t="s">
        <v>723</v>
      </c>
      <c r="C38" s="1026">
        <f ca="1">ROUND(C5*F38,0)</f>
        <v>0</v>
      </c>
      <c r="D38" s="1027" t="s">
        <v>743</v>
      </c>
      <c r="E38" s="1025" t="s">
        <v>739</v>
      </c>
      <c r="F38" s="1021">
        <f ca="1">INDIRECT("'数据-取费表'!Am"&amp;$G$1)</f>
        <v>0</v>
      </c>
      <c r="G38" s="1290"/>
      <c r="H38" s="2470"/>
      <c r="I38" s="1303"/>
      <c r="J38" s="1304"/>
      <c r="K38" s="2468"/>
      <c r="L38" s="2470"/>
      <c r="M38" s="2470"/>
    </row>
    <row r="39" spans="1:18" ht="24.6" customHeight="1" thickTop="1">
      <c r="A39" s="1014" t="s">
        <v>394</v>
      </c>
      <c r="B39" s="1029" t="s">
        <v>767</v>
      </c>
      <c r="C39" s="302">
        <f ca="1">C5-C30</f>
        <v>0</v>
      </c>
      <c r="D39" s="1030" t="s">
        <v>768</v>
      </c>
      <c r="E39" s="1031"/>
      <c r="F39" s="1032"/>
      <c r="G39" s="1290"/>
      <c r="H39" s="2470"/>
      <c r="I39" s="1303"/>
      <c r="J39" s="1304"/>
      <c r="K39" s="2468"/>
      <c r="L39" s="2470"/>
      <c r="M39" s="2470"/>
    </row>
    <row r="40" spans="1:18" ht="18" customHeight="1">
      <c r="A40" s="291" t="s">
        <v>395</v>
      </c>
      <c r="B40" s="292" t="s">
        <v>769</v>
      </c>
      <c r="C40" s="293" t="e">
        <f ca="1">ROUND(C39*(1-((1+F42)/(1+F40))^F41)/(F40-F42),0)</f>
        <v>#DIV/0!</v>
      </c>
      <c r="D40" s="316" t="s">
        <v>753</v>
      </c>
      <c r="E40" s="294" t="s">
        <v>754</v>
      </c>
      <c r="F40" s="304">
        <f ca="1">INDIRECT("'数据-取费表'!I"&amp;$G$1)</f>
        <v>0</v>
      </c>
      <c r="G40" s="1290"/>
      <c r="H40" s="1364"/>
      <c r="I40" s="1303"/>
      <c r="J40" s="1304"/>
      <c r="K40" s="2468"/>
      <c r="L40" s="1364"/>
      <c r="M40" s="1364"/>
    </row>
    <row r="41" spans="1:18" ht="18" customHeight="1">
      <c r="A41" s="296"/>
      <c r="B41" s="297"/>
      <c r="C41" s="298"/>
      <c r="D41" s="323" t="s">
        <v>770</v>
      </c>
      <c r="E41" s="294" t="s">
        <v>758</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761</v>
      </c>
      <c r="F42" s="304">
        <f ca="1">INDIRECT("'数据-取费表'!v"&amp;$G$1)</f>
        <v>0</v>
      </c>
      <c r="G42" s="1290"/>
      <c r="H42" s="121"/>
      <c r="I42" s="1303"/>
      <c r="J42" s="1304"/>
      <c r="K42" s="2327"/>
      <c r="L42" s="121"/>
      <c r="M42" s="121"/>
    </row>
    <row r="43" spans="1:18" ht="18" customHeight="1" thickBot="1">
      <c r="A43" s="325" t="s">
        <v>396</v>
      </c>
      <c r="B43" s="326" t="s">
        <v>771</v>
      </c>
      <c r="C43" s="327" t="e">
        <f ca="1">ROUND(C40/F43,0)</f>
        <v>#DIV/0!</v>
      </c>
      <c r="D43" s="328" t="s">
        <v>772</v>
      </c>
      <c r="E43" s="329" t="s">
        <v>773</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6" t="s">
        <v>3338</v>
      </c>
      <c r="B45" s="1305"/>
      <c r="C45" s="1374" t="e">
        <f ca="1">ROUND((C68-C40)/10000,4)</f>
        <v>#DIV/0!</v>
      </c>
      <c r="D45" s="3127" t="s">
        <v>3339</v>
      </c>
      <c r="E45" s="1305"/>
      <c r="F45" s="1305"/>
      <c r="O45" s="1308" t="s">
        <v>803</v>
      </c>
      <c r="P45" s="1364"/>
      <c r="Q45" s="1364"/>
      <c r="R45" s="1364"/>
    </row>
    <row r="46" spans="1:18" s="1290" customFormat="1" ht="13.5" thickBot="1">
      <c r="A46" s="1309" t="s">
        <v>804</v>
      </c>
      <c r="C46" s="1310" t="e">
        <f ca="1">ROUND(C45,0)</f>
        <v>#DIV/0!</v>
      </c>
      <c r="D46" s="1311" t="str">
        <f>C2</f>
        <v>万元</v>
      </c>
      <c r="I46" s="1312" t="s">
        <v>805</v>
      </c>
      <c r="J46" s="1313"/>
      <c r="K46" s="1314"/>
      <c r="L46" s="1315" t="e">
        <f ca="1">IF(M47="住宅",0,IF(L48&gt;J51,L60,J60))</f>
        <v>#DIV/0!</v>
      </c>
      <c r="O46" s="1316" t="s">
        <v>806</v>
      </c>
      <c r="P46" s="1317" t="s">
        <v>807</v>
      </c>
      <c r="Q46" s="1318" t="s">
        <v>808</v>
      </c>
      <c r="R46" s="1318" t="s">
        <v>809</v>
      </c>
    </row>
    <row r="47" spans="1:18" s="1290" customFormat="1" ht="13.5" thickBot="1">
      <c r="A47" s="890" t="s">
        <v>682</v>
      </c>
      <c r="B47" s="922" t="s">
        <v>683</v>
      </c>
      <c r="C47" s="922" t="s">
        <v>684</v>
      </c>
      <c r="D47" s="922" t="s">
        <v>685</v>
      </c>
      <c r="E47" s="993" t="s">
        <v>686</v>
      </c>
      <c r="F47" s="994"/>
      <c r="G47" s="681"/>
      <c r="I47" s="1319" t="s">
        <v>810</v>
      </c>
      <c r="J47" s="1320"/>
      <c r="K47" s="1321" t="s">
        <v>811</v>
      </c>
      <c r="L47" s="1322">
        <f ca="1">INDIRECT("'数据-取费表'!d"&amp;$G$1)</f>
        <v>0</v>
      </c>
      <c r="M47" s="1286" t="str">
        <f>IF(ISNUMBER(FIND("住宅",C1)),"住宅","非住宅")</f>
        <v>非住宅</v>
      </c>
      <c r="O47" s="1323" t="s">
        <v>403</v>
      </c>
      <c r="P47" s="1324" t="s">
        <v>812</v>
      </c>
      <c r="Q47" s="1325" t="e">
        <f ca="1">C40+J29</f>
        <v>#DIV/0!</v>
      </c>
      <c r="R47" s="1325" t="s">
        <v>813</v>
      </c>
    </row>
    <row r="48" spans="1:18" s="1290" customFormat="1" ht="28.5" thickBot="1">
      <c r="A48" s="1045" t="s">
        <v>438</v>
      </c>
      <c r="B48" s="292" t="s">
        <v>687</v>
      </c>
      <c r="C48" s="1266">
        <f ca="1">C49+C53+C55</f>
        <v>0</v>
      </c>
      <c r="D48" s="1047"/>
      <c r="E48" s="1048"/>
      <c r="F48" s="906"/>
      <c r="G48" s="681"/>
      <c r="H48" s="682"/>
      <c r="I48" s="1326" t="s">
        <v>814</v>
      </c>
      <c r="J48" s="1327"/>
      <c r="K48" s="1328" t="s">
        <v>815</v>
      </c>
      <c r="L48" s="1329">
        <f ca="1">INDIRECT("'数据-取费表'!f"&amp;$G$1)</f>
        <v>0</v>
      </c>
      <c r="O48" s="1323" t="s">
        <v>404</v>
      </c>
      <c r="P48" s="1324" t="s">
        <v>816</v>
      </c>
      <c r="Q48" s="1325" t="e">
        <f ca="1">J60</f>
        <v>#DIV/0!</v>
      </c>
      <c r="R48" s="1325" t="s">
        <v>817</v>
      </c>
    </row>
    <row r="49" spans="1:18" s="1290" customFormat="1" ht="13.5" thickBot="1">
      <c r="A49" s="919" t="s">
        <v>439</v>
      </c>
      <c r="B49" s="1277" t="s">
        <v>774</v>
      </c>
      <c r="C49" s="1049">
        <f ca="1">ROUND(F49*F51*F50*(1-F52),0)</f>
        <v>0</v>
      </c>
      <c r="D49" s="990" t="s">
        <v>690</v>
      </c>
      <c r="E49" s="1278" t="s">
        <v>775</v>
      </c>
      <c r="F49" s="995"/>
      <c r="H49" s="682"/>
      <c r="I49" s="1326" t="s">
        <v>818</v>
      </c>
      <c r="J49" s="1330"/>
      <c r="K49" s="1328" t="s">
        <v>819</v>
      </c>
      <c r="L49" s="1331"/>
      <c r="O49" s="1332" t="s">
        <v>405</v>
      </c>
      <c r="P49" s="1324" t="s">
        <v>820</v>
      </c>
      <c r="Q49" s="1325">
        <f ca="1">C29</f>
        <v>0</v>
      </c>
      <c r="R49" s="1325" t="s">
        <v>813</v>
      </c>
    </row>
    <row r="50" spans="1:18" s="1290" customFormat="1" ht="13.5" thickBot="1">
      <c r="A50" s="920"/>
      <c r="B50" s="923"/>
      <c r="C50" s="924"/>
      <c r="D50" s="897"/>
      <c r="E50" s="991" t="s">
        <v>692</v>
      </c>
      <c r="F50" s="992">
        <f ca="1">F7</f>
        <v>0</v>
      </c>
      <c r="H50" s="682"/>
      <c r="I50" s="1326" t="s">
        <v>821</v>
      </c>
      <c r="J50" s="1333">
        <f>SUMPRODUCT((I63:I65=J47)*(J62:L62=J48)*(J63:L65))</f>
        <v>0</v>
      </c>
      <c r="K50" s="1328" t="s">
        <v>822</v>
      </c>
      <c r="L50" s="1331"/>
      <c r="M50" s="1334"/>
      <c r="O50" s="1332" t="s">
        <v>406</v>
      </c>
      <c r="P50" s="1324" t="s">
        <v>823</v>
      </c>
      <c r="Q50" s="1335" t="e">
        <f ca="1">J58</f>
        <v>#DIV/0!</v>
      </c>
      <c r="R50" s="1325"/>
    </row>
    <row r="51" spans="1:18" s="1290" customFormat="1" ht="13.5" thickBot="1">
      <c r="A51" s="921"/>
      <c r="B51" s="923"/>
      <c r="C51" s="924"/>
      <c r="D51" s="897"/>
      <c r="E51" s="925" t="s">
        <v>693</v>
      </c>
      <c r="F51" s="295">
        <f ca="1">F8</f>
        <v>0</v>
      </c>
      <c r="I51" s="1336" t="s">
        <v>824</v>
      </c>
      <c r="J51" s="1329">
        <f>IF(J49="",J50,J49+J50-YEAR('数据-取费表'!B2))</f>
        <v>0</v>
      </c>
      <c r="K51" s="1337" t="s">
        <v>825</v>
      </c>
      <c r="L51" s="1338">
        <f ca="1">ROUND(-PV(INDIRECT("'数据-取费表'!h"&amp;$G$1),J51,(C39-C13*C76),0),0)</f>
        <v>0</v>
      </c>
      <c r="M51" s="1339"/>
      <c r="O51" s="1332" t="s">
        <v>407</v>
      </c>
      <c r="P51" s="1324" t="s">
        <v>826</v>
      </c>
      <c r="Q51" s="1335">
        <f>J52</f>
        <v>0</v>
      </c>
      <c r="R51" s="1325"/>
    </row>
    <row r="52" spans="1:18" s="1290" customFormat="1" ht="13.5" thickBot="1">
      <c r="A52" s="921"/>
      <c r="B52" s="923"/>
      <c r="C52" s="924"/>
      <c r="D52" s="897"/>
      <c r="E52" s="925" t="s">
        <v>694</v>
      </c>
      <c r="F52" s="989"/>
      <c r="I52" s="1340" t="s">
        <v>827</v>
      </c>
      <c r="J52" s="1341"/>
      <c r="K52" s="1340" t="s">
        <v>828</v>
      </c>
      <c r="L52" s="1341"/>
      <c r="O52" s="1332" t="s">
        <v>408</v>
      </c>
      <c r="P52" s="1324" t="s">
        <v>829</v>
      </c>
      <c r="Q52" s="1325">
        <f ca="1">J53</f>
        <v>0</v>
      </c>
      <c r="R52" s="1325" t="s">
        <v>830</v>
      </c>
    </row>
    <row r="53" spans="1:18" s="1290" customFormat="1" ht="30.75" customHeight="1" thickBot="1">
      <c r="A53" s="1046" t="s">
        <v>440</v>
      </c>
      <c r="B53" s="315" t="s">
        <v>695</v>
      </c>
      <c r="C53" s="308">
        <f ca="1">ROUND(IF(F53="押一",C49/12*F11,IF(F53="押二",C49/12*2*F11,IF(F53="押三",C49/12*3*F11,C54*F11))),0)</f>
        <v>0</v>
      </c>
      <c r="D53" s="150" t="s">
        <v>2114</v>
      </c>
      <c r="E53" s="305" t="s">
        <v>696</v>
      </c>
      <c r="F53" s="1051"/>
      <c r="I53" s="1342" t="s">
        <v>831</v>
      </c>
      <c r="J53" s="2004">
        <f ca="1">IF(M47="住宅",IF(D1="——",MAX(J51,L48),MAX(J51,L48-'数据-取费表'!B24)),IF(D1="——",MIN(J51,L48),MIN(J51,L48-'数据-取费表'!B24)))</f>
        <v>0</v>
      </c>
      <c r="K53" s="3374" t="s">
        <v>832</v>
      </c>
      <c r="L53" s="3375"/>
      <c r="O53" s="1323" t="s">
        <v>409</v>
      </c>
      <c r="P53" s="1324" t="s">
        <v>833</v>
      </c>
      <c r="Q53" s="1325" t="e">
        <f ca="1">Q47+Q48</f>
        <v>#DIV/0!</v>
      </c>
      <c r="R53" s="1325" t="s">
        <v>410</v>
      </c>
    </row>
    <row r="54" spans="1:18" s="1290" customFormat="1" ht="13.5" thickBot="1">
      <c r="A54" s="919"/>
      <c r="B54" s="1375" t="s">
        <v>886</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834</v>
      </c>
      <c r="P54" s="1287"/>
      <c r="Q54" s="1287"/>
      <c r="R54" s="1287"/>
    </row>
    <row r="55" spans="1:18" s="1290" customFormat="1" ht="13.5" thickBot="1">
      <c r="A55" s="1018" t="s">
        <v>437</v>
      </c>
      <c r="B55" s="1275" t="s">
        <v>698</v>
      </c>
      <c r="C55" s="1019"/>
      <c r="D55" s="150"/>
      <c r="E55" s="1280"/>
      <c r="F55" s="1343"/>
      <c r="I55" s="1346" t="s">
        <v>835</v>
      </c>
      <c r="J55" s="1347" t="e">
        <f ca="1">ROUND(IF(J47="钢混",J57/J50,1-(1-2%)*(J50-J57)/J50),3)</f>
        <v>#DIV/0!</v>
      </c>
      <c r="K55" s="1348" t="s">
        <v>836</v>
      </c>
      <c r="L55" s="1349"/>
      <c r="O55" s="1316" t="s">
        <v>806</v>
      </c>
      <c r="P55" s="1317" t="s">
        <v>807</v>
      </c>
      <c r="Q55" s="1318" t="s">
        <v>808</v>
      </c>
      <c r="R55" s="1318" t="s">
        <v>809</v>
      </c>
    </row>
    <row r="56" spans="1:18" s="1290" customFormat="1" ht="36" customHeight="1" thickTop="1" thickBot="1">
      <c r="A56" s="901">
        <v>2</v>
      </c>
      <c r="B56" s="902" t="s">
        <v>699</v>
      </c>
      <c r="C56" s="224">
        <f ca="1">C13</f>
        <v>0</v>
      </c>
      <c r="D56" s="1350"/>
      <c r="E56" s="1351"/>
      <c r="F56" s="1343"/>
      <c r="I56" s="1352" t="s">
        <v>837</v>
      </c>
      <c r="J56" s="1353"/>
      <c r="K56" s="1326" t="s">
        <v>838</v>
      </c>
      <c r="L56" s="1329">
        <f ca="1">IF(L48&lt;J51,"——",L48-J51)</f>
        <v>0</v>
      </c>
      <c r="O56" s="1323" t="s">
        <v>403</v>
      </c>
      <c r="P56" s="1324" t="s">
        <v>812</v>
      </c>
      <c r="Q56" s="1325" t="e">
        <f ca="1">C40+J29</f>
        <v>#DIV/0!</v>
      </c>
      <c r="R56" s="1325" t="s">
        <v>813</v>
      </c>
    </row>
    <row r="57" spans="1:18" s="1290" customFormat="1" ht="24.75" thickBot="1">
      <c r="A57" s="1354"/>
      <c r="B57" s="894" t="s">
        <v>762</v>
      </c>
      <c r="C57" s="230">
        <f ca="1">C29</f>
        <v>0</v>
      </c>
      <c r="D57" s="1355"/>
      <c r="E57" s="1356"/>
      <c r="F57" s="1357"/>
      <c r="I57" s="1358" t="s">
        <v>839</v>
      </c>
      <c r="J57" s="1359">
        <f ca="1">IF(OR(M47="住宅",J51&lt;L48,J56="是"),"——",J51-L48)</f>
        <v>0</v>
      </c>
      <c r="K57" s="1326" t="s">
        <v>887</v>
      </c>
      <c r="L57" s="1329">
        <f ca="1">IF(L48&lt;J51,"——",IF(L55="比较法",L49,IF(L55="基准地价",L50,L51)))</f>
        <v>0</v>
      </c>
      <c r="O57" s="1323" t="s">
        <v>404</v>
      </c>
      <c r="P57" s="1324" t="s">
        <v>888</v>
      </c>
      <c r="Q57" s="1325" t="e">
        <f ca="1">L60</f>
        <v>#DIV/0!</v>
      </c>
      <c r="R57" s="1325" t="s">
        <v>889</v>
      </c>
    </row>
    <row r="58" spans="1:18" s="1290" customFormat="1" ht="24.75" thickBot="1">
      <c r="A58" s="307" t="s">
        <v>393</v>
      </c>
      <c r="B58" s="902" t="s">
        <v>709</v>
      </c>
      <c r="C58" s="308">
        <f ca="1">ROUND(C59+C64+C65+C66,0)</f>
        <v>0</v>
      </c>
      <c r="D58" s="904" t="s">
        <v>710</v>
      </c>
      <c r="E58" s="905"/>
      <c r="F58" s="906"/>
      <c r="I58" s="1358" t="s">
        <v>843</v>
      </c>
      <c r="J58" s="1360" t="e">
        <f ca="1">IF(J55&lt;0.4,0.4,J55)</f>
        <v>#DIV/0!</v>
      </c>
      <c r="K58" s="1337" t="s">
        <v>890</v>
      </c>
      <c r="L58" s="1329" t="e">
        <f ca="1">ROUND(POWER(1+L52,L47-L48)*(POWER(1+L52,L48)-1)/(POWER(1+L52,L47)-1),4)</f>
        <v>#DIV/0!</v>
      </c>
      <c r="O58" s="1332" t="s">
        <v>405</v>
      </c>
      <c r="P58" s="1324" t="s">
        <v>845</v>
      </c>
      <c r="Q58" s="1325">
        <f>IF(L55="比较法",L49,IF(L55="基准地价",L50,0))</f>
        <v>0</v>
      </c>
      <c r="R58" s="1325" t="s">
        <v>813</v>
      </c>
    </row>
    <row r="59" spans="1:18" s="1290" customFormat="1" ht="24.75" thickBot="1">
      <c r="A59" s="926" t="s">
        <v>398</v>
      </c>
      <c r="B59" s="894" t="s">
        <v>714</v>
      </c>
      <c r="C59" s="2138">
        <f ca="1">ROUND(IF(AND(项目基本情况!B11="自然人",项目基本情况!B10="北京市"),C49*F59/(1+'数据-取费表'!C42),C60+C61+C62),0)</f>
        <v>0</v>
      </c>
      <c r="D59" s="907" t="s">
        <v>715</v>
      </c>
      <c r="E59" s="908" t="s">
        <v>716</v>
      </c>
      <c r="F59" s="2137" t="str">
        <f>IF(项目基本情况!B11="企业","——",IF('数据-取费表'!B10="住宅",IF(F49*F50*F51/12/(1+'数据-取费表'!F30)&gt;100000,4%,2.5%),IF(F49*F50*F51/12/(1+'数据-取费表'!F30)&gt;100000,12%,7%)))</f>
        <v>——</v>
      </c>
      <c r="I59" s="1358" t="s">
        <v>846</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847</v>
      </c>
      <c r="Q59" s="1335">
        <f>L52</f>
        <v>0</v>
      </c>
      <c r="R59" s="1325"/>
    </row>
    <row r="60" spans="1:18" s="1290" customFormat="1" ht="16.5" thickBot="1">
      <c r="A60" s="926" t="s">
        <v>397</v>
      </c>
      <c r="B60" s="894" t="s">
        <v>718</v>
      </c>
      <c r="C60" s="21">
        <f ca="1">IF(项目基本情况!B11="自然人","——",ROUND(C48*F60/(1+'数据-取费表'!C42),0))</f>
        <v>0</v>
      </c>
      <c r="D60" s="908" t="s">
        <v>719</v>
      </c>
      <c r="E60" s="894" t="s">
        <v>707</v>
      </c>
      <c r="F60" s="322">
        <f t="shared" ref="F60:F66" si="0">F32</f>
        <v>5.6000000000000001E-2</v>
      </c>
      <c r="I60" s="1361" t="s">
        <v>848</v>
      </c>
      <c r="J60" s="1362" t="e">
        <f ca="1">IF(OR(M47="住宅",J51&lt;L48,J56="是"),"0",ROUND(J59/(1+J52)^J53,0))</f>
        <v>#DIV/0!</v>
      </c>
      <c r="K60" s="1363" t="s">
        <v>849</v>
      </c>
      <c r="L60" s="1362" t="e">
        <f ca="1">IF(OR(M47="住宅",L48&lt;J51),0,ROUND(L57*(L58/L59-1),0))</f>
        <v>#DIV/0!</v>
      </c>
      <c r="O60" s="1332" t="s">
        <v>407</v>
      </c>
      <c r="P60" s="1324" t="s">
        <v>850</v>
      </c>
      <c r="Q60" s="1325" t="e">
        <f ca="1">L58</f>
        <v>#DIV/0!</v>
      </c>
      <c r="R60" s="1325" t="s">
        <v>851</v>
      </c>
    </row>
    <row r="61" spans="1:18" s="1290" customFormat="1" ht="13.5" thickBot="1">
      <c r="A61" s="926" t="s">
        <v>776</v>
      </c>
      <c r="B61" s="894" t="s">
        <v>777</v>
      </c>
      <c r="C61" s="21">
        <f ca="1">IF(项目基本情况!B11="自然人","——",IF(D61="按租金收入计税",ROUND(C49*F61/(1+'数据-取费表'!C42),0),IF(D61="按房产原值计税",ROUND(C57*F61*0.7,0),INDIRECT("'数据-取费表'!Aj"&amp;$G$1))))</f>
        <v>0</v>
      </c>
      <c r="D61" s="1276" t="s">
        <v>3322</v>
      </c>
      <c r="E61" s="894" t="s">
        <v>778</v>
      </c>
      <c r="F61" s="314">
        <f t="shared" si="0"/>
        <v>0.12</v>
      </c>
      <c r="I61" s="1364"/>
      <c r="J61" s="1364"/>
      <c r="K61" s="1364"/>
      <c r="L61" s="1364"/>
      <c r="O61" s="1332" t="s">
        <v>408</v>
      </c>
      <c r="P61" s="1324" t="str">
        <f>K59</f>
        <v>建筑物剩余耐用年限下的土地年期修正系数Kn</v>
      </c>
      <c r="Q61" s="1325" t="e">
        <f ca="1">L59</f>
        <v>#DIV/0!</v>
      </c>
      <c r="R61" s="1325" t="s">
        <v>852</v>
      </c>
    </row>
    <row r="62" spans="1:18" s="1290" customFormat="1" ht="13.5" thickBot="1">
      <c r="A62" s="926" t="s">
        <v>779</v>
      </c>
      <c r="B62" s="893" t="s">
        <v>780</v>
      </c>
      <c r="C62" s="22">
        <f ca="1">IF(项目基本情况!B11="自然人","——",ROUND(F62*F63,0))</f>
        <v>0</v>
      </c>
      <c r="D62" s="909" t="s">
        <v>781</v>
      </c>
      <c r="E62" s="894" t="s">
        <v>782</v>
      </c>
      <c r="F62" s="317">
        <f t="shared" si="0"/>
        <v>30</v>
      </c>
      <c r="I62" s="1365" t="s">
        <v>853</v>
      </c>
      <c r="J62" s="610" t="s">
        <v>854</v>
      </c>
      <c r="K62" s="610" t="s">
        <v>855</v>
      </c>
      <c r="L62" s="610" t="s">
        <v>856</v>
      </c>
      <c r="M62" s="1366" t="s">
        <v>857</v>
      </c>
      <c r="O62" s="1323" t="s">
        <v>409</v>
      </c>
      <c r="P62" s="1324" t="s">
        <v>858</v>
      </c>
      <c r="Q62" s="1325" t="e">
        <f ca="1">Q56+Q57</f>
        <v>#DIV/0!</v>
      </c>
      <c r="R62" s="1325" t="s">
        <v>410</v>
      </c>
    </row>
    <row r="63" spans="1:18" s="1290" customFormat="1" ht="13.5" thickBot="1">
      <c r="A63" s="318"/>
      <c r="B63" s="900"/>
      <c r="C63" s="26"/>
      <c r="D63" s="910"/>
      <c r="E63" s="894" t="s">
        <v>783</v>
      </c>
      <c r="F63" s="295">
        <f t="shared" ca="1" si="0"/>
        <v>0</v>
      </c>
      <c r="I63" s="1365" t="s">
        <v>859</v>
      </c>
      <c r="J63" s="610">
        <v>70</v>
      </c>
      <c r="K63" s="610">
        <v>50</v>
      </c>
      <c r="L63" s="610">
        <v>80</v>
      </c>
      <c r="M63" s="1367">
        <v>0.02</v>
      </c>
      <c r="O63" s="1308" t="s">
        <v>860</v>
      </c>
      <c r="P63" s="1287"/>
      <c r="Q63" s="1287"/>
      <c r="R63" s="1287"/>
    </row>
    <row r="64" spans="1:18" s="1290" customFormat="1" ht="13.5" thickBot="1">
      <c r="A64" s="926" t="s">
        <v>784</v>
      </c>
      <c r="B64" s="894" t="s">
        <v>785</v>
      </c>
      <c r="C64" s="21">
        <f ca="1">ROUND(C57*F64,0)</f>
        <v>0</v>
      </c>
      <c r="D64" s="908" t="s">
        <v>786</v>
      </c>
      <c r="E64" s="894" t="s">
        <v>778</v>
      </c>
      <c r="F64" s="320">
        <f t="shared" ca="1" si="0"/>
        <v>0</v>
      </c>
      <c r="I64" s="1365" t="s">
        <v>861</v>
      </c>
      <c r="J64" s="610">
        <v>50</v>
      </c>
      <c r="K64" s="610">
        <v>35</v>
      </c>
      <c r="L64" s="610">
        <v>60</v>
      </c>
      <c r="M64" s="1366">
        <v>0</v>
      </c>
      <c r="O64" s="1316" t="s">
        <v>806</v>
      </c>
      <c r="P64" s="1317" t="s">
        <v>807</v>
      </c>
      <c r="Q64" s="1318" t="s">
        <v>808</v>
      </c>
      <c r="R64" s="1318" t="s">
        <v>809</v>
      </c>
    </row>
    <row r="65" spans="1:18" s="1290" customFormat="1" ht="13.5" thickBot="1">
      <c r="A65" s="926" t="s">
        <v>787</v>
      </c>
      <c r="B65" s="894" t="s">
        <v>737</v>
      </c>
      <c r="C65" s="21">
        <f ca="1">ROUND(C56*F65,0)</f>
        <v>0</v>
      </c>
      <c r="D65" s="908" t="s">
        <v>738</v>
      </c>
      <c r="E65" s="894" t="s">
        <v>739</v>
      </c>
      <c r="F65" s="321">
        <f t="shared" ca="1" si="0"/>
        <v>0</v>
      </c>
      <c r="I65" s="1365" t="s">
        <v>862</v>
      </c>
      <c r="J65" s="610">
        <v>40</v>
      </c>
      <c r="K65" s="610">
        <v>30</v>
      </c>
      <c r="L65" s="610">
        <v>50</v>
      </c>
      <c r="M65" s="1367">
        <v>0.02</v>
      </c>
      <c r="O65" s="1323" t="s">
        <v>403</v>
      </c>
      <c r="P65" s="1324" t="s">
        <v>863</v>
      </c>
      <c r="Q65" s="1325" t="e">
        <f ca="1">C40+J29</f>
        <v>#DIV/0!</v>
      </c>
      <c r="R65" s="1325" t="s">
        <v>813</v>
      </c>
    </row>
    <row r="66" spans="1:18" s="1290" customFormat="1" ht="16.5" thickBot="1">
      <c r="A66" s="926" t="s">
        <v>788</v>
      </c>
      <c r="B66" s="894" t="s">
        <v>723</v>
      </c>
      <c r="C66" s="21">
        <f ca="1">ROUND(C48*F66,0)</f>
        <v>0</v>
      </c>
      <c r="D66" s="908" t="s">
        <v>789</v>
      </c>
      <c r="E66" s="894" t="s">
        <v>707</v>
      </c>
      <c r="F66" s="304">
        <f t="shared" ca="1" si="0"/>
        <v>0</v>
      </c>
      <c r="O66" s="1323" t="s">
        <v>404</v>
      </c>
      <c r="P66" s="1324" t="s">
        <v>841</v>
      </c>
      <c r="Q66" s="1325" t="e">
        <f ca="1">L60</f>
        <v>#DIV/0!</v>
      </c>
      <c r="R66" s="1325" t="s">
        <v>864</v>
      </c>
    </row>
    <row r="67" spans="1:18" s="1290" customFormat="1" ht="16.5" thickBot="1">
      <c r="A67" s="901" t="s">
        <v>394</v>
      </c>
      <c r="B67" s="911" t="s">
        <v>747</v>
      </c>
      <c r="C67" s="308">
        <f ca="1">C48-C58</f>
        <v>0</v>
      </c>
      <c r="D67" s="907" t="s">
        <v>748</v>
      </c>
      <c r="E67" s="912"/>
      <c r="F67" s="913"/>
      <c r="O67" s="1332" t="s">
        <v>405</v>
      </c>
      <c r="P67" s="1324" t="s">
        <v>845</v>
      </c>
      <c r="Q67" s="1368">
        <f ca="1">L51</f>
        <v>0</v>
      </c>
      <c r="R67" s="1325" t="s">
        <v>865</v>
      </c>
    </row>
    <row r="68" spans="1:18" s="1290" customFormat="1" ht="16.5" thickBot="1">
      <c r="A68" s="891" t="s">
        <v>395</v>
      </c>
      <c r="B68" s="892" t="s">
        <v>769</v>
      </c>
      <c r="C68" s="293" t="e">
        <f ca="1">ROUND(C67*(1-((1+F70)/(1+F68))^F69)/(F68-F70),0)</f>
        <v>#DIV/0!</v>
      </c>
      <c r="D68" s="909" t="s">
        <v>753</v>
      </c>
      <c r="E68" s="894" t="s">
        <v>754</v>
      </c>
      <c r="F68" s="304">
        <f ca="1">F40</f>
        <v>0</v>
      </c>
      <c r="O68" s="1332" t="s">
        <v>406</v>
      </c>
      <c r="P68" s="1369" t="s">
        <v>866</v>
      </c>
      <c r="Q68" s="1325">
        <f ca="1">ROUND(Q69-Q70*Q71,0)</f>
        <v>0</v>
      </c>
      <c r="R68" s="1325" t="s">
        <v>414</v>
      </c>
    </row>
    <row r="69" spans="1:18" s="1290" customFormat="1" ht="13.5" thickBot="1">
      <c r="A69" s="895"/>
      <c r="B69" s="896"/>
      <c r="C69" s="298"/>
      <c r="D69" s="914" t="s">
        <v>757</v>
      </c>
      <c r="E69" s="894" t="s">
        <v>758</v>
      </c>
      <c r="F69" s="324">
        <f ca="1">F41</f>
        <v>0</v>
      </c>
      <c r="O69" s="1332" t="s">
        <v>411</v>
      </c>
      <c r="P69" s="1369" t="s">
        <v>867</v>
      </c>
      <c r="Q69" s="1325">
        <f ca="1">C39</f>
        <v>0</v>
      </c>
      <c r="R69" s="1325" t="s">
        <v>813</v>
      </c>
    </row>
    <row r="70" spans="1:18" s="1290" customFormat="1" ht="13.5" thickBot="1">
      <c r="A70" s="898"/>
      <c r="B70" s="899"/>
      <c r="C70" s="302"/>
      <c r="D70" s="910"/>
      <c r="E70" s="894" t="s">
        <v>761</v>
      </c>
      <c r="F70" s="989"/>
      <c r="O70" s="1332" t="s">
        <v>412</v>
      </c>
      <c r="P70" s="1369" t="s">
        <v>868</v>
      </c>
      <c r="Q70" s="1325">
        <f ca="1">C13</f>
        <v>0</v>
      </c>
      <c r="R70" s="1325" t="s">
        <v>813</v>
      </c>
    </row>
    <row r="71" spans="1:18" s="1290" customFormat="1" ht="13.5" thickBot="1">
      <c r="A71" s="915" t="s">
        <v>396</v>
      </c>
      <c r="B71" s="916" t="s">
        <v>771</v>
      </c>
      <c r="C71" s="327" t="e">
        <f ca="1">ROUND(C68/F71,0)</f>
        <v>#DIV/0!</v>
      </c>
      <c r="D71" s="917" t="s">
        <v>772</v>
      </c>
      <c r="E71" s="918" t="s">
        <v>773</v>
      </c>
      <c r="F71" s="330">
        <f ca="1">F43</f>
        <v>0</v>
      </c>
      <c r="O71" s="1332" t="s">
        <v>413</v>
      </c>
      <c r="P71" s="1369" t="s">
        <v>869</v>
      </c>
      <c r="Q71" s="1335">
        <f ca="1">C76</f>
        <v>0</v>
      </c>
      <c r="R71" s="1325"/>
    </row>
    <row r="72" spans="1:18" s="1290" customFormat="1" ht="13.5" thickBot="1">
      <c r="B72" s="685"/>
      <c r="C72" s="685"/>
      <c r="O72" s="1332" t="s">
        <v>407</v>
      </c>
      <c r="P72" s="1324" t="s">
        <v>847</v>
      </c>
      <c r="Q72" s="1335">
        <f>L52</f>
        <v>0</v>
      </c>
      <c r="R72" s="1325"/>
    </row>
    <row r="73" spans="1:18" ht="16.5" thickBot="1">
      <c r="A73" s="1290"/>
      <c r="B73" s="685"/>
      <c r="C73" s="685"/>
      <c r="D73" s="1290"/>
      <c r="E73" s="1290"/>
      <c r="F73" s="1290"/>
      <c r="O73" s="1332" t="s">
        <v>408</v>
      </c>
      <c r="P73" s="1324" t="s">
        <v>850</v>
      </c>
      <c r="Q73" s="1325" t="e">
        <f ca="1">L58</f>
        <v>#DIV/0!</v>
      </c>
      <c r="R73" s="1325" t="s">
        <v>851</v>
      </c>
    </row>
    <row r="74" spans="1:18" ht="13.5" thickBot="1">
      <c r="A74" s="1290"/>
      <c r="B74" s="265" t="s">
        <v>870</v>
      </c>
      <c r="C74" s="1371"/>
      <c r="D74" s="1290"/>
      <c r="E74" s="1290"/>
      <c r="F74" s="1290"/>
      <c r="O74" s="1332" t="s">
        <v>415</v>
      </c>
      <c r="P74" s="1324" t="str">
        <f>K59</f>
        <v>建筑物剩余耐用年限下的土地年期修正系数Kn</v>
      </c>
      <c r="Q74" s="1325" t="e">
        <f ca="1">L59</f>
        <v>#DIV/0!</v>
      </c>
      <c r="R74" s="1325" t="s">
        <v>852</v>
      </c>
    </row>
    <row r="75" spans="1:18" ht="13.5" thickBot="1">
      <c r="A75" s="1290"/>
      <c r="B75" s="331" t="s">
        <v>790</v>
      </c>
      <c r="C75" s="332">
        <f ca="1">ROUND(C13*C76,0)</f>
        <v>0</v>
      </c>
      <c r="D75" s="1290"/>
      <c r="E75" s="1290"/>
      <c r="F75" s="1290"/>
      <c r="K75" s="1307"/>
      <c r="L75" s="1290"/>
      <c r="O75" s="1323" t="s">
        <v>409</v>
      </c>
      <c r="P75" s="1324" t="s">
        <v>833</v>
      </c>
      <c r="Q75" s="1325" t="e">
        <f ca="1">Q65+Q66</f>
        <v>#DIV/0!</v>
      </c>
      <c r="R75" s="1325" t="s">
        <v>410</v>
      </c>
    </row>
    <row r="76" spans="1:18">
      <c r="B76" s="333" t="s">
        <v>791</v>
      </c>
      <c r="C76" s="334">
        <f ca="1">INDIRECT("'数据-取费表'!j"&amp;$G$1)</f>
        <v>0</v>
      </c>
      <c r="I76" s="1290"/>
      <c r="J76" s="1290"/>
      <c r="K76" s="1307"/>
      <c r="L76" s="1290"/>
    </row>
    <row r="77" spans="1:18">
      <c r="B77" s="335" t="s">
        <v>792</v>
      </c>
      <c r="C77" s="336"/>
      <c r="I77" s="1290"/>
      <c r="J77" s="1290"/>
      <c r="K77" s="1307"/>
      <c r="L77" s="1290"/>
    </row>
    <row r="78" spans="1:18">
      <c r="B78" s="262" t="s">
        <v>793</v>
      </c>
      <c r="C78" s="337"/>
    </row>
    <row r="79" spans="1:18">
      <c r="B79" s="331" t="s">
        <v>794</v>
      </c>
      <c r="C79" s="266" t="e">
        <f ca="1">1-C80</f>
        <v>#DIV/0!</v>
      </c>
    </row>
    <row r="80" spans="1:18">
      <c r="B80" s="331" t="s">
        <v>795</v>
      </c>
      <c r="C80" s="266" t="e">
        <f ca="1">ROUND(C75/C39,3)</f>
        <v>#DIV/0!</v>
      </c>
    </row>
    <row r="81" spans="2:3">
      <c r="B81" s="262" t="s">
        <v>796</v>
      </c>
      <c r="C81" s="230"/>
    </row>
    <row r="82" spans="2:3">
      <c r="B82" s="265" t="s">
        <v>797</v>
      </c>
      <c r="C82" s="267" t="e">
        <f ca="1">1-C83</f>
        <v>#DIV/0!</v>
      </c>
    </row>
    <row r="83" spans="2:3">
      <c r="B83" s="265" t="s">
        <v>798</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65" priority="3">
      <formula>$F$10="自定义"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J11">
    <cfRule type="expression" dxfId="162" priority="2">
      <formula>$M$10="自定义"</formula>
    </cfRule>
  </conditionalFormatting>
  <conditionalFormatting sqref="K55 K60">
    <cfRule type="expression" dxfId="16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2421</v>
      </c>
      <c r="B1" s="2580"/>
      <c r="C1" s="2592"/>
      <c r="D1" s="2592"/>
      <c r="E1" s="2581"/>
      <c r="F1" s="2582"/>
      <c r="G1" s="2583"/>
      <c r="J1" s="2586" t="s">
        <v>2300</v>
      </c>
      <c r="K1" s="2587"/>
      <c r="L1" s="2587"/>
      <c r="M1" s="2587"/>
      <c r="N1" s="2587"/>
      <c r="O1" s="2587"/>
      <c r="P1" s="2587"/>
      <c r="Q1" s="2587"/>
      <c r="R1" s="2588"/>
      <c r="S1" s="2589"/>
      <c r="T1" s="2589"/>
      <c r="U1" s="2589"/>
    </row>
    <row r="2" spans="1:22" s="2601" customFormat="1" ht="13.15" customHeight="1">
      <c r="A2" s="1291" t="s">
        <v>2301</v>
      </c>
      <c r="B2" s="2591" t="e">
        <f>IF(D2="——",C40,C40+E2)</f>
        <v>#DIV/0!</v>
      </c>
      <c r="C2" s="2592" t="s">
        <v>2302</v>
      </c>
      <c r="D2" s="3135" t="s">
        <v>3345</v>
      </c>
      <c r="E2" s="3136"/>
      <c r="F2" s="2594"/>
      <c r="G2" s="2595"/>
      <c r="H2" s="2596"/>
      <c r="I2" s="2597"/>
      <c r="J2" s="3382" t="s">
        <v>2303</v>
      </c>
      <c r="K2" s="3383"/>
      <c r="L2" s="2598" t="s">
        <v>2304</v>
      </c>
      <c r="M2" s="2598" t="s">
        <v>2305</v>
      </c>
      <c r="N2" s="2598" t="s">
        <v>2306</v>
      </c>
      <c r="O2" s="2598" t="s">
        <v>2307</v>
      </c>
      <c r="P2" s="2598" t="s">
        <v>2308</v>
      </c>
      <c r="Q2" s="2599" t="s">
        <v>2309</v>
      </c>
      <c r="R2" s="2600" t="s">
        <v>2310</v>
      </c>
      <c r="S2" s="2589"/>
      <c r="T2" s="2589"/>
      <c r="U2" s="2589"/>
      <c r="V2" s="2597"/>
    </row>
    <row r="3" spans="1:22" s="2601" customFormat="1" ht="13.15" customHeight="1">
      <c r="A3" s="2602" t="s">
        <v>2311</v>
      </c>
      <c r="B3" s="2603" t="e">
        <f>ROUND(B2*10000/B4,0)</f>
        <v>#DIV/0!</v>
      </c>
      <c r="C3" s="2592" t="s">
        <v>2312</v>
      </c>
      <c r="D3" s="2592"/>
      <c r="E3" s="2593"/>
      <c r="F3" s="2594"/>
      <c r="G3" s="2595"/>
      <c r="H3" s="2596"/>
      <c r="I3" s="2597"/>
      <c r="J3" s="3384" t="s">
        <v>2313</v>
      </c>
      <c r="K3" s="3385"/>
      <c r="L3" s="2604"/>
      <c r="M3" s="2604"/>
      <c r="N3" s="2604"/>
      <c r="O3" s="2604"/>
      <c r="P3" s="2604"/>
      <c r="Q3" s="2605"/>
      <c r="R3" s="2606">
        <f>SUM(L3:Q3)</f>
        <v>0</v>
      </c>
      <c r="S3" s="2589"/>
      <c r="T3" s="2589"/>
      <c r="U3" s="2589"/>
      <c r="V3" s="2597"/>
    </row>
    <row r="4" spans="1:22" s="2601" customFormat="1" ht="13.15" customHeight="1">
      <c r="A4" s="2607" t="s">
        <v>2314</v>
      </c>
      <c r="B4" s="2608"/>
      <c r="C4" s="2592"/>
      <c r="D4" s="2592"/>
      <c r="E4" s="2593"/>
      <c r="F4" s="2594"/>
      <c r="G4" s="2595"/>
      <c r="H4" s="2596"/>
      <c r="I4" s="2597"/>
      <c r="J4" s="3384" t="s">
        <v>2315</v>
      </c>
      <c r="K4" s="3385"/>
      <c r="L4" s="2609"/>
      <c r="M4" s="2609"/>
      <c r="N4" s="2609"/>
      <c r="O4" s="2609"/>
      <c r="P4" s="2609"/>
      <c r="Q4" s="2610"/>
      <c r="R4" s="2611">
        <f>SUM(L4:Q4)</f>
        <v>0</v>
      </c>
      <c r="S4" s="2589"/>
      <c r="T4" s="2589"/>
      <c r="U4" s="2589"/>
      <c r="V4" s="2597"/>
    </row>
    <row r="5" spans="1:22" s="2601" customFormat="1" ht="13.15" customHeight="1" thickBot="1">
      <c r="A5" s="2612" t="s">
        <v>2316</v>
      </c>
      <c r="B5" s="2613"/>
      <c r="C5" s="2592"/>
      <c r="D5" s="2614"/>
      <c r="E5" s="2594"/>
      <c r="F5" s="2594"/>
      <c r="G5" s="2595"/>
      <c r="H5" s="2596"/>
      <c r="I5" s="2597"/>
      <c r="J5" s="2615" t="s">
        <v>2317</v>
      </c>
      <c r="K5" s="2616"/>
      <c r="L5" s="2616"/>
      <c r="M5" s="2617"/>
      <c r="N5" s="2617"/>
      <c r="O5" s="2617"/>
      <c r="P5" s="2617"/>
      <c r="Q5" s="2617"/>
      <c r="R5" s="2600">
        <f>SUM(R14,R19,R24,R25,R27,R28)</f>
        <v>0</v>
      </c>
      <c r="S5" s="2589"/>
      <c r="T5" s="2589" t="s">
        <v>2318</v>
      </c>
      <c r="U5" s="2589" t="e">
        <f>ROUND(R5*10000/365/R3,1)</f>
        <v>#DIV/0!</v>
      </c>
      <c r="V5" s="2597"/>
    </row>
    <row r="6" spans="1:22" s="2601" customFormat="1" ht="13.15" customHeight="1" thickBot="1">
      <c r="A6" s="3390" t="s">
        <v>2319</v>
      </c>
      <c r="B6" s="3391"/>
      <c r="C6" s="3392"/>
      <c r="D6" s="2618"/>
      <c r="E6" s="2619"/>
      <c r="F6" s="2620"/>
      <c r="G6" s="2621"/>
      <c r="H6" s="2596"/>
      <c r="I6" s="2597"/>
      <c r="J6" s="3376">
        <v>1</v>
      </c>
      <c r="K6" s="3377" t="s">
        <v>2320</v>
      </c>
      <c r="L6" s="2622" t="s">
        <v>2321</v>
      </c>
      <c r="M6" s="2623" t="s">
        <v>2322</v>
      </c>
      <c r="N6" s="2623" t="s">
        <v>2323</v>
      </c>
      <c r="O6" s="2623" t="s">
        <v>2324</v>
      </c>
      <c r="P6" s="2623" t="s">
        <v>2325</v>
      </c>
      <c r="Q6" s="2623" t="s">
        <v>2326</v>
      </c>
      <c r="R6" s="2606" t="s">
        <v>2327</v>
      </c>
      <c r="S6" s="2589"/>
      <c r="T6" s="2589" t="s">
        <v>2328</v>
      </c>
      <c r="U6" s="2589"/>
      <c r="V6" s="2597"/>
    </row>
    <row r="7" spans="1:22" s="2601" customFormat="1" ht="13.15" customHeight="1">
      <c r="A7" s="2624" t="s">
        <v>2329</v>
      </c>
      <c r="B7" s="2625"/>
      <c r="C7" s="2626"/>
      <c r="D7" s="2627">
        <f>SUM(D9,D10,D11,D17,0)</f>
        <v>0</v>
      </c>
      <c r="E7" s="2628" t="e">
        <f>E9+E10+E11+E17</f>
        <v>#DIV/0!</v>
      </c>
      <c r="F7" s="2629"/>
      <c r="G7" s="2630"/>
      <c r="H7" s="2596"/>
      <c r="I7" s="2597"/>
      <c r="J7" s="3376"/>
      <c r="K7" s="3378"/>
      <c r="L7" s="2631" t="s">
        <v>2330</v>
      </c>
      <c r="M7" s="2632"/>
      <c r="N7" s="2608"/>
      <c r="O7" s="2633"/>
      <c r="P7" s="2633"/>
      <c r="Q7" s="2634">
        <v>365</v>
      </c>
      <c r="R7" s="2635">
        <f>ROUND(M7*N7*O7*P7*Q7/10000,0)</f>
        <v>0</v>
      </c>
      <c r="S7" s="2589"/>
      <c r="T7" s="2589" t="s">
        <v>2331</v>
      </c>
      <c r="U7" s="2589"/>
      <c r="V7" s="2597"/>
    </row>
    <row r="8" spans="1:22" s="2601" customFormat="1" ht="13.15" customHeight="1">
      <c r="A8" s="2636" t="s">
        <v>2332</v>
      </c>
      <c r="B8" s="3393" t="s">
        <v>2333</v>
      </c>
      <c r="C8" s="3394"/>
      <c r="D8" s="2637" t="s">
        <v>2334</v>
      </c>
      <c r="E8" s="2638" t="s">
        <v>2335</v>
      </c>
      <c r="F8" s="2639" t="s">
        <v>2336</v>
      </c>
      <c r="G8" s="2640"/>
      <c r="H8" s="2596"/>
      <c r="I8" s="2597"/>
      <c r="J8" s="3376"/>
      <c r="K8" s="3378"/>
      <c r="L8" s="2631" t="s">
        <v>2337</v>
      </c>
      <c r="M8" s="2632"/>
      <c r="N8" s="2608"/>
      <c r="O8" s="2633"/>
      <c r="P8" s="2633"/>
      <c r="Q8" s="2634">
        <v>365</v>
      </c>
      <c r="R8" s="2635">
        <f t="shared" ref="R8:R13" si="0">ROUND(M8*N8*O8*P8*Q8/10000,0)</f>
        <v>0</v>
      </c>
      <c r="S8" s="2589"/>
      <c r="T8" s="2589" t="s">
        <v>2338</v>
      </c>
      <c r="U8" s="2589"/>
      <c r="V8" s="2597"/>
    </row>
    <row r="9" spans="1:22" s="2601" customFormat="1" ht="13.15" customHeight="1">
      <c r="A9" s="2636">
        <v>1</v>
      </c>
      <c r="B9" s="3393" t="s">
        <v>2339</v>
      </c>
      <c r="C9" s="3394"/>
      <c r="D9" s="2637">
        <f>ROUND(D6*E9,0)</f>
        <v>0</v>
      </c>
      <c r="E9" s="2641"/>
      <c r="F9" s="2642" t="s">
        <v>2340</v>
      </c>
      <c r="G9" s="2621"/>
      <c r="H9" s="2596"/>
      <c r="I9" s="2597"/>
      <c r="J9" s="3376"/>
      <c r="K9" s="3378"/>
      <c r="L9" s="2631" t="s">
        <v>2341</v>
      </c>
      <c r="M9" s="2632"/>
      <c r="N9" s="2608"/>
      <c r="O9" s="2633"/>
      <c r="P9" s="2633"/>
      <c r="Q9" s="2634">
        <v>365</v>
      </c>
      <c r="R9" s="2635">
        <f t="shared" si="0"/>
        <v>0</v>
      </c>
      <c r="S9" s="2589"/>
      <c r="T9" s="2589"/>
      <c r="U9" s="2589"/>
      <c r="V9" s="2597"/>
    </row>
    <row r="10" spans="1:22" s="2601" customFormat="1" ht="13.15" customHeight="1">
      <c r="A10" s="2636">
        <v>2</v>
      </c>
      <c r="B10" s="3393" t="s">
        <v>2342</v>
      </c>
      <c r="C10" s="3394"/>
      <c r="D10" s="2637">
        <f>ROUND(D6*E10,0)</f>
        <v>0</v>
      </c>
      <c r="E10" s="2641"/>
      <c r="F10" s="2642" t="s">
        <v>2343</v>
      </c>
      <c r="G10" s="2621"/>
      <c r="H10" s="2596"/>
      <c r="I10" s="2597"/>
      <c r="J10" s="3376"/>
      <c r="K10" s="3378"/>
      <c r="L10" s="2631" t="s">
        <v>2344</v>
      </c>
      <c r="M10" s="2632"/>
      <c r="N10" s="2608"/>
      <c r="O10" s="2633"/>
      <c r="P10" s="2633"/>
      <c r="Q10" s="2634">
        <v>365</v>
      </c>
      <c r="R10" s="2635">
        <f t="shared" si="0"/>
        <v>0</v>
      </c>
      <c r="S10" s="2589"/>
      <c r="T10" s="2589"/>
      <c r="U10" s="2589"/>
      <c r="V10" s="2597"/>
    </row>
    <row r="11" spans="1:22" s="2601" customFormat="1" ht="13.15" customHeight="1">
      <c r="A11" s="2636">
        <v>3</v>
      </c>
      <c r="B11" s="3393" t="s">
        <v>2345</v>
      </c>
      <c r="C11" s="3394"/>
      <c r="D11" s="2637">
        <f>D12+D14+D15+D16</f>
        <v>0</v>
      </c>
      <c r="E11" s="2643" t="e">
        <f>D11/D6</f>
        <v>#DIV/0!</v>
      </c>
      <c r="F11" s="2639"/>
      <c r="G11" s="2640"/>
      <c r="H11" s="2596"/>
      <c r="I11" s="2597"/>
      <c r="J11" s="3376"/>
      <c r="K11" s="3378"/>
      <c r="L11" s="2631" t="s">
        <v>2346</v>
      </c>
      <c r="M11" s="2632"/>
      <c r="N11" s="2608"/>
      <c r="O11" s="2633"/>
      <c r="P11" s="2633"/>
      <c r="Q11" s="2634">
        <v>365</v>
      </c>
      <c r="R11" s="2635">
        <f t="shared" si="0"/>
        <v>0</v>
      </c>
      <c r="S11" s="2589"/>
      <c r="T11" s="2589"/>
      <c r="U11" s="2589"/>
      <c r="V11" s="2597"/>
    </row>
    <row r="12" spans="1:22" s="2601" customFormat="1" ht="13.15" customHeight="1">
      <c r="A12" s="2644" t="s">
        <v>2347</v>
      </c>
      <c r="B12" s="3386" t="s">
        <v>2348</v>
      </c>
      <c r="C12" s="3387"/>
      <c r="D12" s="2645">
        <f>ROUND(D13*1.2%*(1-30%),0)</f>
        <v>0</v>
      </c>
      <c r="E12" s="2646">
        <v>1.2E-2</v>
      </c>
      <c r="F12" s="2639" t="s">
        <v>2349</v>
      </c>
      <c r="G12" s="2640"/>
      <c r="H12" s="2596"/>
      <c r="I12" s="2597"/>
      <c r="J12" s="3376"/>
      <c r="K12" s="3378"/>
      <c r="L12" s="2631" t="s">
        <v>2350</v>
      </c>
      <c r="M12" s="2632"/>
      <c r="N12" s="2608"/>
      <c r="O12" s="2633"/>
      <c r="P12" s="2633"/>
      <c r="Q12" s="2634">
        <v>365</v>
      </c>
      <c r="R12" s="2635">
        <f t="shared" si="0"/>
        <v>0</v>
      </c>
      <c r="S12" s="2589"/>
      <c r="T12" s="2589"/>
      <c r="U12" s="2589"/>
      <c r="V12" s="2597"/>
    </row>
    <row r="13" spans="1:22" s="2601" customFormat="1" ht="13.15" customHeight="1">
      <c r="A13" s="2644"/>
      <c r="B13" s="2647"/>
      <c r="C13" s="2648" t="s">
        <v>2351</v>
      </c>
      <c r="D13" s="2649"/>
      <c r="E13" s="2650"/>
      <c r="F13" s="2639"/>
      <c r="G13" s="2640"/>
      <c r="H13" s="2596"/>
      <c r="I13" s="2597"/>
      <c r="J13" s="3376"/>
      <c r="K13" s="3378"/>
      <c r="L13" s="2631" t="s">
        <v>2352</v>
      </c>
      <c r="M13" s="2632"/>
      <c r="N13" s="2608"/>
      <c r="O13" s="2633"/>
      <c r="P13" s="2633"/>
      <c r="Q13" s="2634">
        <v>365</v>
      </c>
      <c r="R13" s="2635">
        <f t="shared" si="0"/>
        <v>0</v>
      </c>
      <c r="S13" s="2589"/>
      <c r="T13" s="2589"/>
      <c r="U13" s="2589"/>
      <c r="V13" s="2597"/>
    </row>
    <row r="14" spans="1:22" s="2601" customFormat="1" ht="13.15" customHeight="1">
      <c r="A14" s="2644" t="s">
        <v>2353</v>
      </c>
      <c r="B14" s="3386" t="s">
        <v>2354</v>
      </c>
      <c r="C14" s="3387"/>
      <c r="D14" s="2645">
        <f>ROUND(E14*B5/10000,0)</f>
        <v>0</v>
      </c>
      <c r="E14" s="2634"/>
      <c r="F14" s="2639" t="s">
        <v>2355</v>
      </c>
      <c r="G14" s="2640"/>
      <c r="H14" s="2596"/>
      <c r="I14" s="2597"/>
      <c r="J14" s="3376"/>
      <c r="K14" s="3379"/>
      <c r="L14" s="2651" t="s">
        <v>2356</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2357</v>
      </c>
      <c r="B15" s="3386" t="s">
        <v>2358</v>
      </c>
      <c r="C15" s="3387"/>
      <c r="D15" s="2645">
        <f>ROUND(D6*E15,0)</f>
        <v>0</v>
      </c>
      <c r="E15" s="2646">
        <v>5.5E-2</v>
      </c>
      <c r="F15" s="2639" t="s">
        <v>2359</v>
      </c>
      <c r="G15" s="2621"/>
      <c r="H15" s="2596"/>
      <c r="I15" s="2597"/>
      <c r="J15" s="3376">
        <v>2</v>
      </c>
      <c r="K15" s="3377" t="s">
        <v>2360</v>
      </c>
      <c r="L15" s="2631" t="s">
        <v>2361</v>
      </c>
      <c r="M15" s="2632" t="s">
        <v>2362</v>
      </c>
      <c r="N15" s="2632" t="s">
        <v>2363</v>
      </c>
      <c r="O15" s="2633" t="s">
        <v>2364</v>
      </c>
      <c r="P15" s="2633" t="s">
        <v>2326</v>
      </c>
      <c r="Q15" s="2608" t="s">
        <v>2365</v>
      </c>
      <c r="R15" s="2655" t="s">
        <v>2327</v>
      </c>
      <c r="S15" s="2589"/>
      <c r="T15" s="2589"/>
      <c r="U15" s="2589"/>
      <c r="V15" s="2597"/>
    </row>
    <row r="16" spans="1:22" s="2601" customFormat="1" ht="13.15" customHeight="1">
      <c r="A16" s="2644" t="s">
        <v>2366</v>
      </c>
      <c r="B16" s="3386" t="s">
        <v>2367</v>
      </c>
      <c r="C16" s="3387"/>
      <c r="D16" s="2656">
        <f>D6*E16</f>
        <v>0</v>
      </c>
      <c r="E16" s="2657"/>
      <c r="F16" s="2642" t="s">
        <v>2368</v>
      </c>
      <c r="G16" s="2621"/>
      <c r="H16" s="2596"/>
      <c r="I16" s="2597"/>
      <c r="J16" s="3376"/>
      <c r="K16" s="3378"/>
      <c r="L16" s="2631" t="s">
        <v>2369</v>
      </c>
      <c r="M16" s="2632"/>
      <c r="N16" s="2632"/>
      <c r="O16" s="2633"/>
      <c r="P16" s="2634">
        <v>365</v>
      </c>
      <c r="Q16" s="2608"/>
      <c r="R16" s="2655">
        <f>ROUND(M16*N16*O16*P16/10000,0)</f>
        <v>0</v>
      </c>
      <c r="S16" s="2589"/>
      <c r="T16" s="2589"/>
      <c r="U16" s="2589"/>
      <c r="V16" s="2597"/>
    </row>
    <row r="17" spans="1:22" s="2601" customFormat="1" ht="13.15" customHeight="1" thickBot="1">
      <c r="A17" s="2658">
        <v>4</v>
      </c>
      <c r="B17" s="3388" t="s">
        <v>2370</v>
      </c>
      <c r="C17" s="3389"/>
      <c r="D17" s="2659">
        <f>ROUND(D6*E17,0)</f>
        <v>0</v>
      </c>
      <c r="E17" s="2660"/>
      <c r="F17" s="2661" t="s">
        <v>2371</v>
      </c>
      <c r="G17" s="2621"/>
      <c r="H17" s="2596"/>
      <c r="I17" s="2597"/>
      <c r="J17" s="3376"/>
      <c r="K17" s="3378"/>
      <c r="L17" s="2631" t="s">
        <v>2372</v>
      </c>
      <c r="M17" s="2632"/>
      <c r="N17" s="2632"/>
      <c r="O17" s="2633"/>
      <c r="P17" s="2634">
        <v>365</v>
      </c>
      <c r="Q17" s="2608"/>
      <c r="R17" s="2655">
        <f>ROUND(M17*N17*O17*P17/10000,0)</f>
        <v>0</v>
      </c>
      <c r="S17" s="2589"/>
      <c r="T17" s="2589"/>
      <c r="U17" s="2589"/>
      <c r="V17" s="2597"/>
    </row>
    <row r="18" spans="1:22" s="2601" customFormat="1" ht="13.15" customHeight="1" thickBot="1">
      <c r="A18" s="2624" t="s">
        <v>2373</v>
      </c>
      <c r="B18" s="2625"/>
      <c r="C18" s="2625"/>
      <c r="D18" s="2662">
        <f>ROUND(D6*E18,0)</f>
        <v>0</v>
      </c>
      <c r="E18" s="2663"/>
      <c r="F18" s="2664" t="s">
        <v>2374</v>
      </c>
      <c r="G18" s="2621"/>
      <c r="H18" s="2596"/>
      <c r="I18" s="2597"/>
      <c r="J18" s="3376"/>
      <c r="K18" s="3378"/>
      <c r="L18" s="2631" t="s">
        <v>2375</v>
      </c>
      <c r="M18" s="2632"/>
      <c r="N18" s="2632"/>
      <c r="O18" s="2633"/>
      <c r="P18" s="2634">
        <v>365</v>
      </c>
      <c r="Q18" s="2608"/>
      <c r="R18" s="2655">
        <f>ROUND(M18*N18*O18*P18/10000,0)</f>
        <v>0</v>
      </c>
      <c r="S18" s="2589"/>
      <c r="T18" s="2589"/>
      <c r="U18" s="2589"/>
      <c r="V18" s="2597"/>
    </row>
    <row r="19" spans="1:22" s="2601" customFormat="1" ht="13.15" customHeight="1" thickBot="1">
      <c r="A19" s="2665" t="s">
        <v>2376</v>
      </c>
      <c r="B19" s="2619"/>
      <c r="C19" s="2619"/>
      <c r="D19" s="2619"/>
      <c r="E19" s="2619"/>
      <c r="F19" s="2620"/>
      <c r="G19" s="2640"/>
      <c r="H19" s="2596"/>
      <c r="I19" s="2597"/>
      <c r="J19" s="3376"/>
      <c r="K19" s="3379"/>
      <c r="L19" s="2651" t="s">
        <v>2356</v>
      </c>
      <c r="M19" s="2652"/>
      <c r="N19" s="2652">
        <f>SUM(N16:N18)</f>
        <v>0</v>
      </c>
      <c r="O19" s="2653"/>
      <c r="P19" s="2666" t="s">
        <v>2420</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76">
        <v>3</v>
      </c>
      <c r="K20" s="3377" t="s">
        <v>2377</v>
      </c>
      <c r="L20" s="2631" t="s">
        <v>2378</v>
      </c>
      <c r="M20" s="2632" t="s">
        <v>2379</v>
      </c>
      <c r="N20" s="2669" t="s">
        <v>2380</v>
      </c>
      <c r="O20" s="2633" t="s">
        <v>2381</v>
      </c>
      <c r="P20" s="2634" t="s">
        <v>2382</v>
      </c>
      <c r="Q20" s="2608" t="s">
        <v>2383</v>
      </c>
      <c r="R20" s="2655" t="s">
        <v>2384</v>
      </c>
      <c r="S20" s="2589"/>
      <c r="T20" s="2589"/>
      <c r="U20" s="2589"/>
      <c r="V20" s="2597"/>
    </row>
    <row r="21" spans="1:22" s="2601" customFormat="1" ht="13.15" customHeight="1">
      <c r="A21" s="2624"/>
      <c r="B21" s="2625"/>
      <c r="C21" s="2670" t="s">
        <v>2385</v>
      </c>
      <c r="D21" s="2671" t="s">
        <v>2386</v>
      </c>
      <c r="E21" s="2672" t="s">
        <v>2387</v>
      </c>
      <c r="F21" s="2668"/>
      <c r="G21" s="2640"/>
      <c r="H21" s="2596"/>
      <c r="I21" s="2597"/>
      <c r="J21" s="3376"/>
      <c r="K21" s="3378"/>
      <c r="L21" s="2631" t="s">
        <v>2388</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2389</v>
      </c>
      <c r="D22" s="2675" t="s">
        <v>2390</v>
      </c>
      <c r="E22" s="2676" t="s">
        <v>2391</v>
      </c>
      <c r="F22" s="2668"/>
      <c r="G22" s="2589"/>
      <c r="H22" s="2596"/>
      <c r="I22" s="2597"/>
      <c r="J22" s="3376"/>
      <c r="K22" s="3378"/>
      <c r="L22" s="2631" t="s">
        <v>2392</v>
      </c>
      <c r="M22" s="2632"/>
      <c r="N22" s="2632"/>
      <c r="O22" s="2633"/>
      <c r="P22" s="2634">
        <v>365</v>
      </c>
      <c r="Q22" s="2608"/>
      <c r="R22" s="2673">
        <f>ROUND(M22*N22*O22*P22/10000,0)</f>
        <v>0</v>
      </c>
      <c r="S22" s="2589"/>
      <c r="T22" s="2589"/>
      <c r="U22" s="2589"/>
      <c r="V22" s="2597"/>
    </row>
    <row r="23" spans="1:22" s="2601" customFormat="1" ht="13.15" customHeight="1">
      <c r="A23" s="2677">
        <v>1</v>
      </c>
      <c r="B23" s="2678" t="s">
        <v>2393</v>
      </c>
      <c r="C23" s="2679">
        <f>D6</f>
        <v>0</v>
      </c>
      <c r="D23" s="2680">
        <f>C23*(1+D24)</f>
        <v>0</v>
      </c>
      <c r="E23" s="2681">
        <f>D23*(1+E24)</f>
        <v>0</v>
      </c>
      <c r="F23" s="2682"/>
      <c r="G23" s="2683"/>
      <c r="H23" s="2596"/>
      <c r="I23" s="2597"/>
      <c r="J23" s="3376"/>
      <c r="K23" s="3378"/>
      <c r="L23" s="2631" t="s">
        <v>2394</v>
      </c>
      <c r="M23" s="2632"/>
      <c r="N23" s="2632"/>
      <c r="O23" s="2633"/>
      <c r="P23" s="2634">
        <v>365</v>
      </c>
      <c r="Q23" s="2608"/>
      <c r="R23" s="2673">
        <f>ROUND(M23*N23*O23*P23/10000,0)</f>
        <v>0</v>
      </c>
      <c r="S23" s="2589"/>
      <c r="T23" s="2589"/>
      <c r="U23" s="2589"/>
      <c r="V23" s="2597"/>
    </row>
    <row r="24" spans="1:22" s="2601" customFormat="1" ht="13.15" customHeight="1">
      <c r="A24" s="2684"/>
      <c r="B24" s="2685" t="s">
        <v>2395</v>
      </c>
      <c r="C24" s="2686"/>
      <c r="D24" s="2687"/>
      <c r="E24" s="2688"/>
      <c r="F24" s="2689"/>
      <c r="G24" s="2683"/>
      <c r="H24" s="2596"/>
      <c r="I24" s="2597"/>
      <c r="J24" s="3376"/>
      <c r="K24" s="3379"/>
      <c r="L24" s="2651" t="s">
        <v>2356</v>
      </c>
      <c r="M24" s="2652">
        <f>SUM(M21:M23)</f>
        <v>0</v>
      </c>
      <c r="N24" s="2652"/>
      <c r="O24" s="2653"/>
      <c r="P24" s="2666" t="s">
        <v>2420</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2396</v>
      </c>
      <c r="L25" s="2692"/>
      <c r="M25" s="2692"/>
      <c r="N25" s="2692"/>
      <c r="O25" s="2692"/>
      <c r="P25" s="2693"/>
      <c r="Q25" s="2694">
        <v>0</v>
      </c>
      <c r="R25" s="2667">
        <f>ROUND(R14*Q25,0)</f>
        <v>0</v>
      </c>
      <c r="S25" s="2589"/>
      <c r="T25" s="2589"/>
      <c r="U25" s="2589"/>
      <c r="V25" s="2695"/>
    </row>
    <row r="26" spans="1:22" s="2696" customFormat="1" ht="13.15" customHeight="1">
      <c r="A26" s="2677">
        <v>2</v>
      </c>
      <c r="B26" s="2678" t="s">
        <v>2397</v>
      </c>
      <c r="C26" s="2679">
        <f>D7</f>
        <v>0</v>
      </c>
      <c r="D26" s="2680">
        <f>D23*D27</f>
        <v>0</v>
      </c>
      <c r="E26" s="2681">
        <f>E23*E27</f>
        <v>0</v>
      </c>
      <c r="F26" s="2682"/>
      <c r="G26" s="2683"/>
      <c r="H26" s="2596"/>
      <c r="I26" s="2597"/>
      <c r="J26" s="3380">
        <v>5</v>
      </c>
      <c r="K26" s="2697" t="s">
        <v>2398</v>
      </c>
      <c r="L26" s="2698"/>
      <c r="M26" s="2699"/>
      <c r="N26" s="2700" t="s">
        <v>2399</v>
      </c>
      <c r="O26" s="2700" t="s">
        <v>2400</v>
      </c>
      <c r="P26" s="2701" t="s">
        <v>2401</v>
      </c>
      <c r="Q26" s="2701" t="s">
        <v>2402</v>
      </c>
      <c r="R26" s="2606" t="s">
        <v>2327</v>
      </c>
      <c r="S26" s="2640"/>
      <c r="T26" s="2640"/>
      <c r="U26" s="2640"/>
      <c r="V26" s="2695"/>
    </row>
    <row r="27" spans="1:22" s="2601" customFormat="1" ht="13.15" customHeight="1">
      <c r="A27" s="2684"/>
      <c r="B27" s="2685" t="s">
        <v>2403</v>
      </c>
      <c r="C27" s="2702" t="e">
        <f>E7</f>
        <v>#DIV/0!</v>
      </c>
      <c r="D27" s="2687"/>
      <c r="E27" s="2688"/>
      <c r="F27" s="2689"/>
      <c r="G27" s="2683"/>
      <c r="H27" s="2703"/>
      <c r="I27" s="2695"/>
      <c r="J27" s="3381"/>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2404</v>
      </c>
      <c r="F28" s="2689"/>
      <c r="G28" s="2589"/>
      <c r="H28" s="2703"/>
      <c r="I28" s="2695"/>
      <c r="J28" s="2709">
        <v>6</v>
      </c>
      <c r="K28" s="2710" t="s">
        <v>2405</v>
      </c>
      <c r="L28" s="2711" t="s">
        <v>2406</v>
      </c>
      <c r="M28" s="2712"/>
      <c r="N28" s="2711" t="s">
        <v>2407</v>
      </c>
      <c r="O28" s="2713"/>
      <c r="P28" s="2711" t="s">
        <v>2408</v>
      </c>
      <c r="Q28" s="2714">
        <v>1.4999999999999999E-2</v>
      </c>
      <c r="R28" s="2715"/>
      <c r="S28" s="2589"/>
      <c r="T28" s="2589"/>
      <c r="U28" s="2589"/>
      <c r="V28" s="2695"/>
    </row>
    <row r="29" spans="1:22" s="2696" customFormat="1" ht="13.15" customHeight="1">
      <c r="A29" s="2677">
        <v>3</v>
      </c>
      <c r="B29" s="2678" t="s">
        <v>2409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2410</v>
      </c>
      <c r="K31" s="2587"/>
      <c r="L31" s="2587"/>
      <c r="M31" s="2587"/>
      <c r="N31" s="2587"/>
      <c r="O31" s="2587"/>
      <c r="P31" s="2587"/>
      <c r="Q31" s="2587"/>
      <c r="R31" s="2588"/>
      <c r="S31" s="2589"/>
      <c r="T31" s="2589"/>
      <c r="U31" s="2589"/>
      <c r="V31" s="2695"/>
    </row>
    <row r="32" spans="1:22" s="2696" customFormat="1" ht="13.15" customHeight="1">
      <c r="A32" s="2677">
        <v>4</v>
      </c>
      <c r="B32" s="2678" t="s">
        <v>2411</v>
      </c>
      <c r="C32" s="2679">
        <f>C23-C26-C29</f>
        <v>0</v>
      </c>
      <c r="D32" s="2680">
        <f>D23-D26-D29</f>
        <v>0</v>
      </c>
      <c r="E32" s="2681">
        <f>E23-E26-E29</f>
        <v>0</v>
      </c>
      <c r="F32" s="2682"/>
      <c r="G32" s="2589"/>
      <c r="H32" s="2596"/>
      <c r="I32" s="2597"/>
      <c r="J32" s="3382" t="s">
        <v>2303</v>
      </c>
      <c r="K32" s="3383"/>
      <c r="L32" s="2598" t="s">
        <v>2304</v>
      </c>
      <c r="M32" s="2598" t="s">
        <v>2305</v>
      </c>
      <c r="N32" s="2598" t="s">
        <v>2306</v>
      </c>
      <c r="O32" s="2598" t="s">
        <v>2307</v>
      </c>
      <c r="P32" s="2598" t="s">
        <v>2308</v>
      </c>
      <c r="Q32" s="2599" t="s">
        <v>2309</v>
      </c>
      <c r="R32" s="2718" t="s">
        <v>2310</v>
      </c>
      <c r="S32" s="2589"/>
      <c r="T32" s="2589"/>
      <c r="U32" s="2589"/>
      <c r="V32" s="2695"/>
    </row>
    <row r="33" spans="1:23" s="2601" customFormat="1" ht="13.15" customHeight="1">
      <c r="A33" s="2677"/>
      <c r="B33" s="2678"/>
      <c r="C33" s="2679"/>
      <c r="D33" s="2719"/>
      <c r="E33" s="2720"/>
      <c r="F33" s="2682"/>
      <c r="G33" s="2589"/>
      <c r="H33" s="2703"/>
      <c r="I33" s="2695"/>
      <c r="J33" s="3384" t="s">
        <v>2313</v>
      </c>
      <c r="K33" s="3385"/>
      <c r="L33" s="2604"/>
      <c r="M33" s="2604"/>
      <c r="N33" s="2604"/>
      <c r="O33" s="2604"/>
      <c r="P33" s="2604"/>
      <c r="Q33" s="2605"/>
      <c r="R33" s="2721">
        <f>SUM(L33:Q33)</f>
        <v>0</v>
      </c>
      <c r="S33" s="2589"/>
      <c r="T33" s="2589"/>
      <c r="U33" s="2589"/>
      <c r="V33" s="2597"/>
    </row>
    <row r="34" spans="1:23" s="2601" customFormat="1" ht="13.15" customHeight="1">
      <c r="A34" s="2677">
        <v>5</v>
      </c>
      <c r="B34" s="2678" t="s">
        <v>2412</v>
      </c>
      <c r="C34" s="2722"/>
      <c r="D34" s="2723"/>
      <c r="E34" s="2724"/>
      <c r="F34" s="2682"/>
      <c r="G34" s="2589"/>
      <c r="H34" s="2703"/>
      <c r="I34" s="2695"/>
      <c r="J34" s="3384" t="s">
        <v>2315</v>
      </c>
      <c r="K34" s="3385"/>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2413</v>
      </c>
      <c r="C35" s="2726"/>
      <c r="D35" s="2727"/>
      <c r="E35" s="2728"/>
      <c r="F35" s="2682"/>
      <c r="G35" s="2729"/>
      <c r="H35" s="2596"/>
      <c r="I35" s="2695"/>
      <c r="J35" s="2615" t="s">
        <v>2317</v>
      </c>
      <c r="K35" s="2616"/>
      <c r="L35" s="2616"/>
      <c r="M35" s="2617"/>
      <c r="N35" s="2617"/>
      <c r="O35" s="2617"/>
      <c r="P35" s="2617"/>
      <c r="Q35" s="2617"/>
      <c r="R35" s="2730">
        <f>R40+R41+R43</f>
        <v>0</v>
      </c>
      <c r="S35" s="2589"/>
      <c r="T35" s="2589" t="s">
        <v>2318</v>
      </c>
      <c r="U35" s="2589"/>
      <c r="V35" s="2597"/>
    </row>
    <row r="36" spans="1:23" s="2601" customFormat="1" ht="13.15" customHeight="1" thickBot="1">
      <c r="A36" s="2677">
        <v>7</v>
      </c>
      <c r="B36" s="2731" t="s">
        <v>2414</v>
      </c>
      <c r="C36" s="2732"/>
      <c r="D36" s="2733"/>
      <c r="E36" s="2734"/>
      <c r="F36" s="2735">
        <f>C36+D36+E36</f>
        <v>0</v>
      </c>
      <c r="G36" s="2589"/>
      <c r="H36" s="2596"/>
      <c r="I36" s="2597"/>
      <c r="J36" s="3376">
        <v>1</v>
      </c>
      <c r="K36" s="3377" t="s">
        <v>2415</v>
      </c>
      <c r="L36" s="2622"/>
      <c r="M36" s="2623"/>
      <c r="N36" s="2623"/>
      <c r="O36" s="2623"/>
      <c r="P36" s="2623"/>
      <c r="Q36" s="2623"/>
      <c r="R36" s="2606" t="s">
        <v>2327</v>
      </c>
      <c r="S36" s="2589"/>
      <c r="T36" s="2589" t="s">
        <v>2328</v>
      </c>
      <c r="U36" s="2589"/>
      <c r="V36" s="2597"/>
    </row>
    <row r="37" spans="1:23" s="2601" customFormat="1" ht="13.15" customHeight="1">
      <c r="A37" s="2677"/>
      <c r="B37" s="2678"/>
      <c r="C37" s="2678"/>
      <c r="D37" s="2678"/>
      <c r="E37" s="2678"/>
      <c r="F37" s="2682"/>
      <c r="G37" s="2589"/>
      <c r="H37" s="2596"/>
      <c r="I37" s="2597"/>
      <c r="J37" s="3376"/>
      <c r="K37" s="3378"/>
      <c r="L37" s="2631"/>
      <c r="M37" s="2632"/>
      <c r="N37" s="2608"/>
      <c r="O37" s="2633"/>
      <c r="P37" s="2633"/>
      <c r="Q37" s="2634"/>
      <c r="R37" s="2635"/>
      <c r="S37" s="2589"/>
      <c r="T37" s="2589" t="s">
        <v>2331</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76"/>
      <c r="K38" s="3378"/>
      <c r="L38" s="2631"/>
      <c r="M38" s="2632"/>
      <c r="N38" s="2608"/>
      <c r="O38" s="2633"/>
      <c r="P38" s="2633"/>
      <c r="Q38" s="2634"/>
      <c r="R38" s="2635"/>
      <c r="S38" s="2589"/>
      <c r="T38" s="2589" t="s">
        <v>2338</v>
      </c>
      <c r="U38" s="2589"/>
      <c r="V38" s="2597"/>
    </row>
    <row r="39" spans="1:23" s="2601" customFormat="1" ht="13.15" customHeight="1">
      <c r="A39" s="2677">
        <v>9</v>
      </c>
      <c r="B39" s="2678" t="s">
        <v>2416</v>
      </c>
      <c r="C39" s="2645" t="e">
        <f>C38</f>
        <v>#DIV/0!</v>
      </c>
      <c r="D39" s="2678">
        <f>D38/(1+D34)^C36</f>
        <v>0</v>
      </c>
      <c r="E39" s="2678">
        <f>E38/(1+E34)^(C36+D36)</f>
        <v>0</v>
      </c>
      <c r="F39" s="2682"/>
      <c r="G39" s="2597"/>
      <c r="H39" s="2596"/>
      <c r="I39" s="2597"/>
      <c r="J39" s="3376"/>
      <c r="K39" s="3378"/>
      <c r="L39" s="2631"/>
      <c r="M39" s="2632"/>
      <c r="N39" s="2608"/>
      <c r="O39" s="2633"/>
      <c r="P39" s="2633"/>
      <c r="Q39" s="2634"/>
      <c r="R39" s="2635"/>
      <c r="S39" s="2589"/>
      <c r="T39" s="2589"/>
      <c r="U39" s="2589"/>
      <c r="V39" s="2597"/>
    </row>
    <row r="40" spans="1:23" s="2601" customFormat="1" ht="13.15" customHeight="1">
      <c r="A40" s="2736">
        <v>10</v>
      </c>
      <c r="B40" s="2678" t="s">
        <v>2417</v>
      </c>
      <c r="C40" s="2737" t="e">
        <f>C39+D39+E39</f>
        <v>#DIV/0!</v>
      </c>
      <c r="D40" s="2738"/>
      <c r="E40" s="2738"/>
      <c r="F40" s="2739"/>
      <c r="G40" s="2589"/>
      <c r="H40" s="2596"/>
      <c r="I40" s="2597"/>
      <c r="J40" s="3376"/>
      <c r="K40" s="3379"/>
      <c r="L40" s="2651" t="s">
        <v>2356</v>
      </c>
      <c r="M40" s="2652"/>
      <c r="N40" s="2652"/>
      <c r="O40" s="2653"/>
      <c r="P40" s="2653"/>
      <c r="Q40" s="2654"/>
      <c r="R40" s="2600">
        <f>SUM(R37:R39)</f>
        <v>0</v>
      </c>
      <c r="S40" s="2589"/>
      <c r="T40" s="2589"/>
      <c r="U40" s="2589"/>
      <c r="V40" s="2597"/>
    </row>
    <row r="41" spans="1:23" s="2601" customFormat="1" ht="13.15" customHeight="1" thickBot="1">
      <c r="A41" s="2740">
        <v>11</v>
      </c>
      <c r="B41" s="2741" t="s">
        <v>2418</v>
      </c>
      <c r="C41" s="2741" t="e">
        <f>ROUND(C40*10000/B4,0)</f>
        <v>#DIV/0!</v>
      </c>
      <c r="D41" s="2742"/>
      <c r="E41" s="2742"/>
      <c r="F41" s="2743"/>
      <c r="G41" s="2596"/>
      <c r="H41" s="2596"/>
      <c r="I41" s="2597"/>
      <c r="J41" s="2690">
        <v>2</v>
      </c>
      <c r="K41" s="2691" t="s">
        <v>2396</v>
      </c>
      <c r="L41" s="2692"/>
      <c r="M41" s="2692"/>
      <c r="N41" s="2692"/>
      <c r="O41" s="2692"/>
      <c r="P41" s="2693"/>
      <c r="Q41" s="2694"/>
      <c r="R41" s="2667">
        <f>ROUND(R40*Q41,0)</f>
        <v>0</v>
      </c>
      <c r="S41" s="2589"/>
      <c r="T41" s="2589"/>
      <c r="U41" s="2640"/>
      <c r="V41" s="2597"/>
    </row>
    <row r="42" spans="1:23" s="2601" customFormat="1" ht="13.15" customHeight="1">
      <c r="G42" s="2596"/>
      <c r="H42" s="2596"/>
      <c r="I42" s="2597"/>
      <c r="J42" s="3380">
        <v>3</v>
      </c>
      <c r="K42" s="2697" t="s">
        <v>2398</v>
      </c>
      <c r="L42" s="2698"/>
      <c r="M42" s="2699"/>
      <c r="N42" s="2700" t="s">
        <v>2399</v>
      </c>
      <c r="O42" s="2700" t="s">
        <v>2400</v>
      </c>
      <c r="P42" s="2701" t="s">
        <v>2401</v>
      </c>
      <c r="Q42" s="2701" t="s">
        <v>2402</v>
      </c>
      <c r="R42" s="2606" t="s">
        <v>2327</v>
      </c>
      <c r="S42" s="2640"/>
      <c r="T42" s="2640"/>
      <c r="U42" s="2589"/>
      <c r="V42" s="2597"/>
    </row>
    <row r="43" spans="1:23" ht="13.15" customHeight="1">
      <c r="A43" s="2601"/>
      <c r="B43" s="2601"/>
      <c r="C43" s="2601"/>
      <c r="D43" s="2601"/>
      <c r="E43" s="2601"/>
      <c r="F43" s="2601"/>
      <c r="I43" s="2584"/>
      <c r="J43" s="3381"/>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2405</v>
      </c>
      <c r="L44" s="2746" t="s">
        <v>2406</v>
      </c>
      <c r="M44" s="2712"/>
      <c r="N44" s="2746" t="s">
        <v>2407</v>
      </c>
      <c r="O44" s="2712"/>
      <c r="P44" s="2746" t="s">
        <v>2408</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FFC000"/>
  </sheetPr>
  <dimension ref="A1:AK83"/>
  <sheetViews>
    <sheetView view="pageBreakPreview" zoomScale="70" zoomScaleNormal="70" zoomScaleSheetLayoutView="70" workbookViewId="0">
      <selection activeCell="H34" sqref="H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872</v>
      </c>
      <c r="B1" s="663"/>
      <c r="C1" s="1285" t="s">
        <v>668</v>
      </c>
      <c r="D1" s="1269" t="s">
        <v>43</v>
      </c>
      <c r="E1" s="1270" t="s">
        <v>673</v>
      </c>
      <c r="F1" s="997">
        <f ca="1">J53</f>
        <v>19.27</v>
      </c>
      <c r="G1" s="1284">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799</v>
      </c>
      <c r="B2" s="1292">
        <f ca="1">C40+J29+L46</f>
        <v>102695</v>
      </c>
      <c r="C2" s="1287" t="s">
        <v>800</v>
      </c>
      <c r="D2" s="1287"/>
      <c r="E2" s="1293"/>
      <c r="F2" s="1294"/>
      <c r="G2" s="2475"/>
      <c r="H2" s="2465"/>
      <c r="I2" s="2465"/>
      <c r="J2" s="2465"/>
      <c r="K2" s="2466"/>
      <c r="L2" s="2465"/>
      <c r="M2" s="2465"/>
    </row>
    <row r="3" spans="1:37" ht="18" customHeight="1" thickBot="1">
      <c r="A3" s="1295" t="s">
        <v>801</v>
      </c>
      <c r="B3" s="1296">
        <f ca="1">IF(ISERROR(B2*10000/F43),0,ROUND(B2*10000/F43,0))</f>
        <v>52706</v>
      </c>
      <c r="C3" s="1287" t="s">
        <v>802</v>
      </c>
      <c r="D3" s="1287"/>
      <c r="E3" s="1293"/>
      <c r="F3" s="1294"/>
      <c r="G3" s="2475"/>
      <c r="H3" s="649" t="s">
        <v>871</v>
      </c>
      <c r="I3" s="1288"/>
      <c r="J3" s="1288"/>
      <c r="K3" s="1289"/>
      <c r="L3" s="1288"/>
      <c r="M3" s="1288"/>
    </row>
    <row r="4" spans="1:37" ht="18" customHeight="1">
      <c r="A4" s="287" t="s">
        <v>682</v>
      </c>
      <c r="B4" s="288" t="s">
        <v>683</v>
      </c>
      <c r="C4" s="288" t="s">
        <v>684</v>
      </c>
      <c r="D4" s="288" t="s">
        <v>685</v>
      </c>
      <c r="E4" s="289" t="s">
        <v>686</v>
      </c>
      <c r="F4" s="290"/>
      <c r="G4" s="1290"/>
      <c r="H4" s="287" t="s">
        <v>682</v>
      </c>
      <c r="I4" s="288" t="s">
        <v>683</v>
      </c>
      <c r="J4" s="288" t="s">
        <v>684</v>
      </c>
      <c r="K4" s="288" t="s">
        <v>685</v>
      </c>
      <c r="L4" s="289" t="s">
        <v>686</v>
      </c>
      <c r="M4" s="290"/>
    </row>
    <row r="5" spans="1:37" ht="18" customHeight="1">
      <c r="A5" s="291">
        <v>1</v>
      </c>
      <c r="B5" s="292" t="s">
        <v>687</v>
      </c>
      <c r="C5" s="1005">
        <f ca="1">C6+C10+C12</f>
        <v>9613</v>
      </c>
      <c r="D5" s="1271" t="s">
        <v>688</v>
      </c>
      <c r="E5" s="1006"/>
      <c r="F5" s="1007"/>
      <c r="G5" s="1290"/>
      <c r="H5" s="291">
        <v>1</v>
      </c>
      <c r="I5" s="292" t="s">
        <v>687</v>
      </c>
      <c r="J5" s="1005">
        <f ca="1">J6+J10+J12</f>
        <v>0</v>
      </c>
      <c r="K5" s="1271" t="s">
        <v>688</v>
      </c>
      <c r="L5" s="1006"/>
      <c r="M5" s="1007"/>
    </row>
    <row r="6" spans="1:37" ht="18" customHeight="1">
      <c r="A6" s="1004" t="s">
        <v>398</v>
      </c>
      <c r="B6" s="3371" t="s">
        <v>689</v>
      </c>
      <c r="C6" s="1009">
        <f ca="1">ROUND(F6*F8*F7*(1-F9)/10000,0)</f>
        <v>9601</v>
      </c>
      <c r="D6" s="147" t="s">
        <v>2104</v>
      </c>
      <c r="E6" s="294" t="s">
        <v>691</v>
      </c>
      <c r="F6" s="295">
        <f ca="1">INDIRECT("'数据-取费表'!u"&amp;$G$1)</f>
        <v>15</v>
      </c>
      <c r="G6" s="1290"/>
      <c r="H6" s="1004" t="s">
        <v>398</v>
      </c>
      <c r="I6" s="3371" t="s">
        <v>689</v>
      </c>
      <c r="J6" s="293">
        <f ca="1">ROUND(M6*M8*M7*(1-M9)/10000,0)</f>
        <v>0</v>
      </c>
      <c r="K6" s="147" t="s">
        <v>2103</v>
      </c>
      <c r="L6" s="294" t="s">
        <v>691</v>
      </c>
      <c r="M6" s="295">
        <f ca="1">INDIRECT("'数据-取费表'!z"&amp;$G$1)</f>
        <v>0</v>
      </c>
    </row>
    <row r="7" spans="1:37" ht="18" customHeight="1">
      <c r="A7" s="1008"/>
      <c r="B7" s="3372"/>
      <c r="C7" s="1010"/>
      <c r="D7" s="299"/>
      <c r="E7" s="1011" t="s">
        <v>692</v>
      </c>
      <c r="F7" s="295">
        <f ca="1">IF(INDIRECT("'数据-取费表'!ah"&amp;$G$1)="",INDIRECT("'数据-取费表'!k"&amp;$G$1),INDIRECT("'数据-取费表'!ah"&amp;$G$1))</f>
        <v>19484.510000000002</v>
      </c>
      <c r="G7" s="1290"/>
      <c r="H7" s="296"/>
      <c r="I7" s="3372"/>
      <c r="J7" s="298"/>
      <c r="K7" s="299"/>
      <c r="L7" s="294" t="s">
        <v>692</v>
      </c>
      <c r="M7" s="295">
        <f ca="1">F7</f>
        <v>19484.510000000002</v>
      </c>
    </row>
    <row r="8" spans="1:37" ht="18" customHeight="1">
      <c r="A8" s="296"/>
      <c r="B8" s="3372"/>
      <c r="C8" s="298"/>
      <c r="D8" s="299"/>
      <c r="E8" s="294" t="s">
        <v>693</v>
      </c>
      <c r="F8" s="295">
        <f ca="1">INDIRECT("'数据-取费表'!ai"&amp;$G$1)</f>
        <v>365</v>
      </c>
      <c r="G8" s="1290"/>
      <c r="H8" s="296"/>
      <c r="I8" s="3372"/>
      <c r="J8" s="298"/>
      <c r="K8" s="299"/>
      <c r="L8" s="294" t="s">
        <v>693</v>
      </c>
      <c r="M8" s="295">
        <f ca="1">INDIRECT("'数据-取费表'!ai"&amp;$G$1)</f>
        <v>365</v>
      </c>
    </row>
    <row r="9" spans="1:37" ht="18" customHeight="1">
      <c r="A9" s="296"/>
      <c r="B9" s="3373"/>
      <c r="C9" s="298"/>
      <c r="D9" s="299"/>
      <c r="E9" s="294" t="s">
        <v>694</v>
      </c>
      <c r="F9" s="304">
        <f ca="1">INDIRECT("'数据-取费表'!w"&amp;$G$1)</f>
        <v>0.1</v>
      </c>
      <c r="G9" s="1290"/>
      <c r="H9" s="296"/>
      <c r="I9" s="3373"/>
      <c r="J9" s="298"/>
      <c r="K9" s="299"/>
      <c r="L9" s="305" t="s">
        <v>694</v>
      </c>
      <c r="M9" s="306">
        <f ca="1">INDIRECT("'数据-取费表'!ab"&amp;$G$1)</f>
        <v>0</v>
      </c>
    </row>
    <row r="10" spans="1:37" ht="18" customHeight="1">
      <c r="A10" s="1004" t="s">
        <v>402</v>
      </c>
      <c r="B10" s="1272" t="s">
        <v>695</v>
      </c>
      <c r="C10" s="308">
        <f ca="1">ROUND(IF(F10="押一",C6/12*F11,IF(F10="押二",C6/12*2*F11,IF(F10="押三",C6/12*3*F11,C11*F11))),0)</f>
        <v>12</v>
      </c>
      <c r="D10" s="150" t="s">
        <v>2112</v>
      </c>
      <c r="E10" s="305" t="s">
        <v>696</v>
      </c>
      <c r="F10" s="1051" t="s">
        <v>3460</v>
      </c>
      <c r="G10" s="1290"/>
      <c r="H10" s="1004" t="s">
        <v>402</v>
      </c>
      <c r="I10" s="1272" t="s">
        <v>695</v>
      </c>
      <c r="J10" s="293">
        <f ca="1">ROUND(IF(M10="押一",J6/12*M11,IF(M10="押二",J6/12*2*M11,IF(M10="押三",J6/12*3*M11,J11*M11))),0)</f>
        <v>0</v>
      </c>
      <c r="K10" s="150" t="s">
        <v>2111</v>
      </c>
      <c r="L10" s="305" t="s">
        <v>696</v>
      </c>
      <c r="M10" s="1051"/>
    </row>
    <row r="11" spans="1:37" ht="18" customHeight="1">
      <c r="A11" s="300"/>
      <c r="B11" s="1273" t="s">
        <v>674</v>
      </c>
      <c r="C11" s="903"/>
      <c r="D11" s="1274"/>
      <c r="E11" s="305" t="s">
        <v>697</v>
      </c>
      <c r="F11" s="306">
        <f ca="1">'数据-取费表'!B39</f>
        <v>1.4999999999999999E-2</v>
      </c>
      <c r="G11" s="1290"/>
      <c r="H11" s="1012"/>
      <c r="I11" s="1273" t="s">
        <v>674</v>
      </c>
      <c r="J11" s="903"/>
      <c r="K11" s="646"/>
      <c r="L11" s="305" t="s">
        <v>697</v>
      </c>
      <c r="M11" s="807">
        <f ca="1">'数据-取费表'!B39</f>
        <v>1.4999999999999999E-2</v>
      </c>
    </row>
    <row r="12" spans="1:37" ht="18" customHeight="1" thickBot="1">
      <c r="A12" s="1018" t="s">
        <v>437</v>
      </c>
      <c r="B12" s="1275" t="s">
        <v>698</v>
      </c>
      <c r="C12" s="1019"/>
      <c r="D12" s="1020"/>
      <c r="E12" s="1025"/>
      <c r="F12" s="1021"/>
      <c r="G12" s="1290"/>
      <c r="H12" s="1018" t="s">
        <v>437</v>
      </c>
      <c r="I12" s="1275" t="s">
        <v>698</v>
      </c>
      <c r="J12" s="1019"/>
      <c r="K12" s="1033"/>
      <c r="L12" s="1025"/>
      <c r="M12" s="1034"/>
    </row>
    <row r="13" spans="1:37" ht="18" customHeight="1" thickTop="1">
      <c r="A13" s="1014">
        <v>2</v>
      </c>
      <c r="B13" s="1015" t="s">
        <v>699</v>
      </c>
      <c r="C13" s="302">
        <f ca="1">ROUND(C29*F13,0)</f>
        <v>15676</v>
      </c>
      <c r="D13" s="1016" t="s">
        <v>700</v>
      </c>
      <c r="E13" s="1016" t="s">
        <v>701</v>
      </c>
      <c r="F13" s="1017">
        <f ca="1">INDIRECT("'数据-取费表'!y"&amp;$G$1)</f>
        <v>0.76500000000000001</v>
      </c>
      <c r="G13" s="1290"/>
      <c r="H13" s="1014">
        <v>2</v>
      </c>
      <c r="I13" s="1015" t="s">
        <v>699</v>
      </c>
      <c r="J13" s="1003">
        <f ca="1">ROUND(J14*J15,0)</f>
        <v>0</v>
      </c>
      <c r="K13" s="1022" t="s">
        <v>700</v>
      </c>
      <c r="L13" s="1297"/>
      <c r="M13" s="1298"/>
    </row>
    <row r="14" spans="1:37" ht="18" customHeight="1">
      <c r="A14" s="926" t="s">
        <v>397</v>
      </c>
      <c r="B14" s="294" t="s">
        <v>702</v>
      </c>
      <c r="C14" s="310">
        <f ca="1">INDIRECT("'数据-取费表'!m"&amp;$G$1)+INDIRECT("'数据-取费表'!t"&amp;$G$1)</f>
        <v>12060</v>
      </c>
      <c r="D14" s="1255" t="s">
        <v>703</v>
      </c>
      <c r="E14" s="1253"/>
      <c r="F14" s="311"/>
      <c r="G14" s="1290"/>
      <c r="H14" s="926" t="s">
        <v>398</v>
      </c>
      <c r="I14" s="294" t="s">
        <v>704</v>
      </c>
      <c r="J14" s="21">
        <f ca="1">C29</f>
        <v>20491</v>
      </c>
      <c r="K14" s="12"/>
      <c r="L14" s="757"/>
      <c r="M14" s="758"/>
    </row>
    <row r="15" spans="1:37" s="1302" customFormat="1" ht="18" customHeight="1" thickBot="1">
      <c r="A15" s="926" t="s">
        <v>399</v>
      </c>
      <c r="B15" s="294" t="s">
        <v>705</v>
      </c>
      <c r="C15" s="21">
        <f ca="1">ROUND(C14*F15,0)</f>
        <v>1206</v>
      </c>
      <c r="D15" s="312" t="s">
        <v>706</v>
      </c>
      <c r="E15" s="312" t="s">
        <v>707</v>
      </c>
      <c r="F15" s="313">
        <f>'数据-取费表'!B33</f>
        <v>0.1</v>
      </c>
      <c r="G15" s="1301"/>
      <c r="H15" s="1024" t="s">
        <v>402</v>
      </c>
      <c r="I15" s="1025" t="s">
        <v>701</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675</v>
      </c>
      <c r="B16" s="294" t="s">
        <v>708</v>
      </c>
      <c r="C16" s="21">
        <f ca="1">ROUND(INDIRECT("'数据-取费表'!m"&amp;$G$1)*F16,0)</f>
        <v>0</v>
      </c>
      <c r="D16" s="294" t="s">
        <v>706</v>
      </c>
      <c r="E16" s="294" t="s">
        <v>707</v>
      </c>
      <c r="F16" s="314">
        <f ca="1">IF(INDIRECT("'数据-取费表'!c"&amp;$G$1)="住宅",'数据-取费表'!B34,0)</f>
        <v>0</v>
      </c>
      <c r="G16" s="1290"/>
      <c r="H16" s="1014" t="s">
        <v>393</v>
      </c>
      <c r="I16" s="1015" t="s">
        <v>709</v>
      </c>
      <c r="J16" s="302">
        <f ca="1">ROUND(J17+J22+J23+J24,0)</f>
        <v>108</v>
      </c>
      <c r="K16" s="1022" t="s">
        <v>710</v>
      </c>
      <c r="L16" s="1023"/>
      <c r="M16" s="1007"/>
    </row>
    <row r="17" spans="1:37" s="1302" customFormat="1" ht="18" customHeight="1">
      <c r="A17" s="926" t="s">
        <v>676</v>
      </c>
      <c r="B17" s="294" t="s">
        <v>711</v>
      </c>
      <c r="C17" s="21">
        <f ca="1">ROUND(F17*(F43+INDIRECT("'数据-取费表'!S"&amp;$G$1))/10000,0)</f>
        <v>402</v>
      </c>
      <c r="D17" s="294" t="s">
        <v>712</v>
      </c>
      <c r="E17" s="294" t="s">
        <v>713</v>
      </c>
      <c r="F17" s="23">
        <f>'数据-取费表'!B35</f>
        <v>200</v>
      </c>
      <c r="G17" s="1301"/>
      <c r="H17" s="926" t="s">
        <v>398</v>
      </c>
      <c r="I17" s="294" t="s">
        <v>714</v>
      </c>
      <c r="J17" s="2138">
        <f ca="1">ROUND(IF(AND(项目基本情况!B11="自然人",项目基本情况!B10="北京市"),J6*M17/(1+'数据-取费表'!C42),J18+J19+J20),2)</f>
        <v>5.95</v>
      </c>
      <c r="K17" s="1255" t="s">
        <v>715</v>
      </c>
      <c r="L17" s="1254" t="s">
        <v>716</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677</v>
      </c>
      <c r="B18" s="294" t="s">
        <v>717</v>
      </c>
      <c r="C18" s="21">
        <f ca="1">ROUND(C14*F18,0)</f>
        <v>362</v>
      </c>
      <c r="D18" s="294" t="s">
        <v>706</v>
      </c>
      <c r="E18" s="294" t="s">
        <v>707</v>
      </c>
      <c r="F18" s="314">
        <f>'数据-取费表'!B36</f>
        <v>0.03</v>
      </c>
      <c r="G18" s="1301"/>
      <c r="H18" s="926" t="s">
        <v>397</v>
      </c>
      <c r="I18" s="294" t="s">
        <v>718</v>
      </c>
      <c r="J18" s="21">
        <f ca="1">ROUND(J6*M18/(1+'数据-取费表'!C42),2)</f>
        <v>0</v>
      </c>
      <c r="K18" s="1254" t="s">
        <v>719</v>
      </c>
      <c r="L18" s="294" t="s">
        <v>707</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720</v>
      </c>
      <c r="C19" s="21">
        <f ca="1">SUM(C14:C18)</f>
        <v>14030</v>
      </c>
      <c r="D19" s="123" t="s">
        <v>721</v>
      </c>
      <c r="E19" s="1267"/>
      <c r="F19" s="23"/>
      <c r="G19" s="1290"/>
      <c r="H19" s="926" t="s">
        <v>399</v>
      </c>
      <c r="I19" s="294" t="s">
        <v>722</v>
      </c>
      <c r="J19" s="21">
        <f ca="1">IF(K19="按租金收入计税",ROUND(J6*M19/(1+'数据-取费表'!C42),2),ROUND(C29*M19*0.7,2))</f>
        <v>0</v>
      </c>
      <c r="K19" s="1276" t="s">
        <v>3322</v>
      </c>
      <c r="L19" s="294" t="s">
        <v>707</v>
      </c>
      <c r="M19" s="314">
        <f>IF(K19="按租金收入计税",'数据-取费表'!B51,'数据-取费表'!B50)</f>
        <v>0.12</v>
      </c>
    </row>
    <row r="20" spans="1:37" s="1302" customFormat="1" ht="18" customHeight="1">
      <c r="A20" s="926" t="s">
        <v>402</v>
      </c>
      <c r="B20" s="294" t="s">
        <v>723</v>
      </c>
      <c r="C20" s="21">
        <f ca="1">ROUND(C19*F20,0)</f>
        <v>421</v>
      </c>
      <c r="D20" s="315" t="s">
        <v>724</v>
      </c>
      <c r="E20" s="294" t="s">
        <v>707</v>
      </c>
      <c r="F20" s="314">
        <f>'数据-取费表'!B37</f>
        <v>0.03</v>
      </c>
      <c r="G20" s="1301"/>
      <c r="H20" s="926" t="s">
        <v>675</v>
      </c>
      <c r="I20" s="147" t="s">
        <v>725</v>
      </c>
      <c r="J20" s="22">
        <f ca="1">ROUND(M20*M21/10000,2)</f>
        <v>5.95</v>
      </c>
      <c r="K20" s="316" t="s">
        <v>726</v>
      </c>
      <c r="L20" s="294" t="s">
        <v>727</v>
      </c>
      <c r="M20" s="317">
        <f>'数据-取费表'!B52</f>
        <v>30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728</v>
      </c>
      <c r="C21" s="21" t="s">
        <v>15</v>
      </c>
      <c r="D21" s="315" t="s">
        <v>729</v>
      </c>
      <c r="E21" s="294" t="s">
        <v>730</v>
      </c>
      <c r="F21" s="314">
        <f>'数据-取费表'!B38</f>
        <v>0.03</v>
      </c>
      <c r="G21" s="1301"/>
      <c r="H21" s="318"/>
      <c r="I21" s="303"/>
      <c r="J21" s="26"/>
      <c r="K21" s="319"/>
      <c r="L21" s="294" t="s">
        <v>731</v>
      </c>
      <c r="M21" s="295">
        <f ca="1">INDIRECT("'数据-取费表'!r"&amp;$G$1)</f>
        <v>1982.01</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678</v>
      </c>
      <c r="B22" s="294" t="s">
        <v>732</v>
      </c>
      <c r="C22" s="21"/>
      <c r="D22" s="123" t="str">
        <f>IF(F23&lt;=1,"单利计息。","复利计息。")&amp;"建造成本、管理费用、销售费用产生的利息。"</f>
        <v>复利计息。建造成本、管理费用、销售费用产生的利息。</v>
      </c>
      <c r="E22" s="1267"/>
      <c r="F22" s="23"/>
      <c r="G22" s="1290"/>
      <c r="H22" s="926" t="s">
        <v>402</v>
      </c>
      <c r="I22" s="294" t="s">
        <v>733</v>
      </c>
      <c r="J22" s="21">
        <f ca="1">ROUND(J14*M22,2)</f>
        <v>102.46</v>
      </c>
      <c r="K22" s="1254" t="s">
        <v>734</v>
      </c>
      <c r="L22" s="294" t="s">
        <v>707</v>
      </c>
      <c r="M22" s="320">
        <f ca="1">INDIRECT("'数据-取费表'!Ak"&amp;$G$1)</f>
        <v>5.0000000000000001E-3</v>
      </c>
    </row>
    <row r="23" spans="1:37" s="1302" customFormat="1" ht="18" customHeight="1">
      <c r="A23" s="926" t="s">
        <v>397</v>
      </c>
      <c r="B23" s="294" t="s">
        <v>735</v>
      </c>
      <c r="C23" s="21">
        <f ca="1">IF('数据-取费表'!B22&lt;=1,ROUND(C19*F24*F23/2,0)+ROUND(C20*F24*F23/2,0),ROUND(C19*(POWER((1+F24),F23/2)-1),0)+ROUND(C20*(POWER((1+F24),F23/2)-1),0))</f>
        <v>544</v>
      </c>
      <c r="D23" s="138" t="str">
        <f>IF(F23&lt;=1,"(建造成本+管理费用)×利率×(建设周期÷2)","(建造成本+管理费用)×((1+利率)^(建设周期÷2)-1)")</f>
        <v>(建造成本+管理费用)×((1+利率)^(建设周期÷2)-1)</v>
      </c>
      <c r="E23" s="294" t="s">
        <v>736</v>
      </c>
      <c r="F23" s="317">
        <f>'数据-取费表'!B20</f>
        <v>2.5</v>
      </c>
      <c r="G23" s="1301"/>
      <c r="H23" s="926" t="s">
        <v>437</v>
      </c>
      <c r="I23" s="294" t="s">
        <v>737</v>
      </c>
      <c r="J23" s="21">
        <f ca="1">ROUND(J13*M23,2)</f>
        <v>0</v>
      </c>
      <c r="K23" s="1254" t="s">
        <v>738</v>
      </c>
      <c r="L23" s="294" t="s">
        <v>739</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740</v>
      </c>
      <c r="B24" s="294" t="s">
        <v>741</v>
      </c>
      <c r="C24" s="21">
        <f ca="1">ROUND(IF('数据-取费表'!B22&lt;=1,F21*F24*F23/2,F21*(POWER((1+F24),F23/2)-1)),4)</f>
        <v>1.1000000000000001E-3</v>
      </c>
      <c r="D24" s="138" t="str">
        <f>IF(F23&lt;=1,"销售费用×利率×(建设周期÷2)","销售费用×((1+利率)^(建设周期÷2)-1)")</f>
        <v>销售费用×((1+利率)^(建设周期÷2)-1)</v>
      </c>
      <c r="E24" s="294" t="s">
        <v>742</v>
      </c>
      <c r="F24" s="322">
        <f ca="1">'数据-取费表'!B40</f>
        <v>0.03</v>
      </c>
      <c r="G24" s="1301"/>
      <c r="H24" s="1024" t="s">
        <v>679</v>
      </c>
      <c r="I24" s="1025" t="s">
        <v>723</v>
      </c>
      <c r="J24" s="1026">
        <f ca="1">ROUND(J5*M24,2)</f>
        <v>0</v>
      </c>
      <c r="K24" s="1027" t="s">
        <v>743</v>
      </c>
      <c r="L24" s="1025" t="s">
        <v>739</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744</v>
      </c>
      <c r="B25" s="294" t="s">
        <v>745</v>
      </c>
      <c r="C25" s="21"/>
      <c r="D25" s="123" t="s">
        <v>746</v>
      </c>
      <c r="E25" s="1267"/>
      <c r="F25" s="23"/>
      <c r="G25" s="1290"/>
      <c r="H25" s="1014" t="s">
        <v>394</v>
      </c>
      <c r="I25" s="1029" t="s">
        <v>747</v>
      </c>
      <c r="J25" s="302">
        <f ca="1">J5-J16</f>
        <v>-108</v>
      </c>
      <c r="K25" s="1030" t="s">
        <v>748</v>
      </c>
      <c r="L25" s="1031"/>
      <c r="M25" s="1032"/>
    </row>
    <row r="26" spans="1:37">
      <c r="A26" s="926" t="s">
        <v>397</v>
      </c>
      <c r="B26" s="294" t="s">
        <v>749</v>
      </c>
      <c r="C26" s="21">
        <f ca="1">ROUND((C19+C20)*F26,0)</f>
        <v>3613</v>
      </c>
      <c r="D26" s="315" t="s">
        <v>750</v>
      </c>
      <c r="E26" s="305" t="s">
        <v>751</v>
      </c>
      <c r="F26" s="304">
        <f ca="1">INDIRECT("'数据-取费表'!q"&amp;$G$1)</f>
        <v>0.25</v>
      </c>
      <c r="G26" s="1290"/>
      <c r="H26" s="291" t="s">
        <v>395</v>
      </c>
      <c r="I26" s="292" t="s">
        <v>752</v>
      </c>
      <c r="J26" s="293">
        <f ca="1">IF(J5&lt;&gt;0,ROUND(J25*(1-((1+M28)/(1+M26))^M27)/(M26-M28),0),0)</f>
        <v>0</v>
      </c>
      <c r="K26" s="316" t="s">
        <v>753</v>
      </c>
      <c r="L26" s="294" t="s">
        <v>754</v>
      </c>
      <c r="M26" s="304">
        <f ca="1">INDIRECT("'数据-取费表'!I"&amp;$G$1)</f>
        <v>0.06</v>
      </c>
    </row>
    <row r="27" spans="1:37" ht="18" customHeight="1">
      <c r="A27" s="926" t="s">
        <v>399</v>
      </c>
      <c r="B27" s="294" t="s">
        <v>755</v>
      </c>
      <c r="C27" s="21">
        <f ca="1">ROUND(F21*F26,4)</f>
        <v>7.4999999999999997E-3</v>
      </c>
      <c r="D27" s="315" t="s">
        <v>756</v>
      </c>
      <c r="E27" s="312"/>
      <c r="F27" s="313"/>
      <c r="G27" s="1290"/>
      <c r="H27" s="296"/>
      <c r="I27" s="297"/>
      <c r="J27" s="298"/>
      <c r="K27" s="323" t="s">
        <v>757</v>
      </c>
      <c r="L27" s="294" t="s">
        <v>758</v>
      </c>
      <c r="M27" s="324">
        <f ca="1">INDIRECT("'数据-取费表'!ag"&amp;$G$1)</f>
        <v>0</v>
      </c>
    </row>
    <row r="28" spans="1:37" s="1302" customFormat="1" ht="18" customHeight="1">
      <c r="A28" s="926" t="s">
        <v>400</v>
      </c>
      <c r="B28" s="294" t="s">
        <v>759</v>
      </c>
      <c r="C28" s="21">
        <f>ROUND(F28/(1+'数据-取费表'!C42),4)</f>
        <v>5.33E-2</v>
      </c>
      <c r="D28" s="315" t="s">
        <v>760</v>
      </c>
      <c r="E28" s="294" t="s">
        <v>707</v>
      </c>
      <c r="F28" s="314">
        <f>'数据-取费表'!B41</f>
        <v>5.6000000000000001E-2</v>
      </c>
      <c r="G28" s="1301"/>
      <c r="H28" s="300"/>
      <c r="I28" s="301"/>
      <c r="J28" s="302"/>
      <c r="K28" s="319"/>
      <c r="L28" s="294" t="s">
        <v>761</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762</v>
      </c>
      <c r="C29" s="1026">
        <f ca="1">ROUND((C19+C20+C23+C26)/(1-F21-C24-C27-C28),0)</f>
        <v>20491</v>
      </c>
      <c r="D29" s="1027"/>
      <c r="E29" s="1025"/>
      <c r="F29" s="1028"/>
      <c r="G29" s="1301"/>
      <c r="H29" s="325" t="s">
        <v>396</v>
      </c>
      <c r="I29" s="326" t="s">
        <v>763</v>
      </c>
      <c r="J29" s="327">
        <f ca="1">ROUND(J26/(1+F40)^F41,0)</f>
        <v>0</v>
      </c>
      <c r="K29" s="328" t="s">
        <v>764</v>
      </c>
      <c r="L29" s="329"/>
      <c r="M29" s="330">
        <f ca="1">INDIRECT("'数据-取费表'!k"&amp;$G$1)</f>
        <v>19484.510000000002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709</v>
      </c>
      <c r="C30" s="302">
        <f ca="1">ROUND(C31+C36+C37+C38,0)</f>
        <v>1926</v>
      </c>
      <c r="D30" s="1022" t="s">
        <v>710</v>
      </c>
      <c r="E30" s="1023"/>
      <c r="F30" s="1007"/>
      <c r="G30" s="1290"/>
      <c r="H30" s="2467"/>
      <c r="I30" s="1303"/>
      <c r="J30" s="1304"/>
      <c r="K30" s="121"/>
      <c r="L30" s="2468"/>
      <c r="M30" s="2469"/>
    </row>
    <row r="31" spans="1:37" ht="18" customHeight="1">
      <c r="A31" s="926" t="s">
        <v>398</v>
      </c>
      <c r="B31" s="294" t="s">
        <v>714</v>
      </c>
      <c r="C31" s="2138">
        <f ca="1">ROUND(IF(AND(项目基本情况!B11="自然人",项目基本情况!B10="北京市"),C6*F31/(1+'数据-取费表'!C42),C32+C33+C34),2)</f>
        <v>1615.26</v>
      </c>
      <c r="D31" s="1255" t="s">
        <v>715</v>
      </c>
      <c r="E31" s="1254" t="s">
        <v>765</v>
      </c>
      <c r="F31" s="2137" t="str">
        <f>IF(项目基本情况!B11="企业","——",IF(M47="住宅",IF(F6*F7*F8/12/(1+'数据-取费表'!F30)&gt;100000,4%,2.5%),IF(F6*F7*F8/12/(1+'数据-取费表'!F30)&gt;100000,12%,7%)))</f>
        <v>——</v>
      </c>
      <c r="G31" s="1290"/>
      <c r="H31" s="2566" t="s">
        <v>2292</v>
      </c>
      <c r="I31" s="1303"/>
      <c r="J31" s="1304"/>
      <c r="K31" s="121"/>
      <c r="L31" s="2468"/>
      <c r="M31" s="2469"/>
    </row>
    <row r="32" spans="1:37" ht="18" customHeight="1">
      <c r="A32" s="926" t="s">
        <v>397</v>
      </c>
      <c r="B32" s="294" t="s">
        <v>718</v>
      </c>
      <c r="C32" s="21">
        <f ca="1">IF(项目基本情况!B11="自然人","——",ROUND(C6*F32/(1+'数据-取费表'!C42),2))</f>
        <v>512.04999999999995</v>
      </c>
      <c r="D32" s="1254" t="s">
        <v>719</v>
      </c>
      <c r="E32" s="294" t="s">
        <v>707</v>
      </c>
      <c r="F32" s="322">
        <f>'数据-取费表'!B41</f>
        <v>5.6000000000000001E-2</v>
      </c>
      <c r="G32" s="1290"/>
      <c r="H32" s="2467"/>
      <c r="I32" s="1303"/>
      <c r="J32" s="1304"/>
      <c r="K32" s="121"/>
      <c r="L32" s="2468"/>
      <c r="M32" s="2469"/>
    </row>
    <row r="33" spans="1:18" ht="18" customHeight="1">
      <c r="A33" s="926" t="s">
        <v>399</v>
      </c>
      <c r="B33" s="294" t="s">
        <v>722</v>
      </c>
      <c r="C33" s="21">
        <f ca="1">IF(项目基本情况!B11="自然人","——",IF(D33="按租金收入计税",ROUND(C6*F33/(1+'数据-取费表'!C42),2),IF(D33="按房产原值计税",ROUND(C29*F33*0.7,2),INDIRECT("'数据-取费表'!Aj"&amp;$G$1))))</f>
        <v>1097.26</v>
      </c>
      <c r="D33" s="1276" t="s">
        <v>3322</v>
      </c>
      <c r="E33" s="294" t="s">
        <v>707</v>
      </c>
      <c r="F33" s="314">
        <f>IF(D33="按票据","——",IF(D33="按租金收入计税",'数据-取费表'!B51,'数据-取费表'!B50))</f>
        <v>0.12</v>
      </c>
      <c r="G33" s="1290"/>
      <c r="H33" s="2470">
        <f ca="1">C30/C6</f>
        <v>0.20060410373919382</v>
      </c>
      <c r="I33" s="1303"/>
      <c r="J33" s="1304"/>
      <c r="K33" s="2471"/>
      <c r="L33" s="2470"/>
      <c r="M33" s="2470"/>
    </row>
    <row r="34" spans="1:18" ht="18" customHeight="1">
      <c r="A34" s="1004" t="s">
        <v>675</v>
      </c>
      <c r="B34" s="147" t="s">
        <v>725</v>
      </c>
      <c r="C34" s="22">
        <f ca="1">IF(项目基本情况!B11="自然人","——",ROUND(F34*F35/10000,2))</f>
        <v>5.95</v>
      </c>
      <c r="D34" s="316" t="s">
        <v>726</v>
      </c>
      <c r="E34" s="294" t="s">
        <v>727</v>
      </c>
      <c r="F34" s="317">
        <f>'数据-取费表'!B52</f>
        <v>30</v>
      </c>
      <c r="G34" s="1290"/>
      <c r="H34" s="1303">
        <f ca="1">C5+'办公收益法 '!C5+地下车库收益法!C5</f>
        <v>70533</v>
      </c>
      <c r="I34" s="1303"/>
      <c r="J34" s="1304"/>
      <c r="K34" s="2472"/>
      <c r="L34" s="2473"/>
      <c r="M34" s="2473"/>
    </row>
    <row r="35" spans="1:18" ht="18" customHeight="1">
      <c r="A35" s="1038"/>
      <c r="B35" s="1036"/>
      <c r="C35" s="26"/>
      <c r="D35" s="319"/>
      <c r="E35" s="294" t="s">
        <v>731</v>
      </c>
      <c r="F35" s="295">
        <f ca="1">INDIRECT("'数据-取费表'!r"&amp;$G$1)</f>
        <v>1982.01</v>
      </c>
      <c r="G35" s="1290"/>
      <c r="H35" s="2467"/>
      <c r="I35" s="1303"/>
      <c r="J35" s="1304"/>
      <c r="K35" s="2471"/>
      <c r="L35" s="2470"/>
      <c r="M35" s="2470"/>
    </row>
    <row r="36" spans="1:18" ht="18" customHeight="1">
      <c r="A36" s="1037" t="s">
        <v>402</v>
      </c>
      <c r="B36" s="294" t="s">
        <v>733</v>
      </c>
      <c r="C36" s="21">
        <f ca="1">ROUND(C29*F36,2)</f>
        <v>102.46</v>
      </c>
      <c r="D36" s="1254" t="s">
        <v>766</v>
      </c>
      <c r="E36" s="294" t="s">
        <v>707</v>
      </c>
      <c r="F36" s="320">
        <f ca="1">INDIRECT("'数据-取费表'!Ak"&amp;$G$1)</f>
        <v>5.0000000000000001E-3</v>
      </c>
      <c r="G36" s="1290"/>
      <c r="H36" s="2470"/>
      <c r="I36" s="1303"/>
      <c r="J36" s="1304"/>
      <c r="K36" s="2327"/>
      <c r="L36" s="2470"/>
      <c r="M36" s="2470"/>
    </row>
    <row r="37" spans="1:18" ht="18" customHeight="1">
      <c r="A37" s="926" t="s">
        <v>437</v>
      </c>
      <c r="B37" s="294" t="s">
        <v>737</v>
      </c>
      <c r="C37" s="21">
        <f ca="1">ROUND(C13*F37,2)</f>
        <v>15.68</v>
      </c>
      <c r="D37" s="1254" t="s">
        <v>738</v>
      </c>
      <c r="E37" s="294" t="s">
        <v>739</v>
      </c>
      <c r="F37" s="321">
        <f ca="1">INDIRECT("'数据-取费表'!Al"&amp;$G$1)</f>
        <v>1E-3</v>
      </c>
      <c r="G37" s="1290"/>
      <c r="H37" s="2470"/>
      <c r="I37" s="1303"/>
      <c r="J37" s="1304"/>
      <c r="K37" s="2327"/>
      <c r="L37" s="2470"/>
      <c r="M37" s="2470"/>
    </row>
    <row r="38" spans="1:18" ht="18" customHeight="1" thickBot="1">
      <c r="A38" s="1024" t="s">
        <v>679</v>
      </c>
      <c r="B38" s="1025" t="s">
        <v>723</v>
      </c>
      <c r="C38" s="1026">
        <f ca="1">ROUND(C5*F38,2)</f>
        <v>192.26</v>
      </c>
      <c r="D38" s="1027" t="s">
        <v>743</v>
      </c>
      <c r="E38" s="1025" t="s">
        <v>739</v>
      </c>
      <c r="F38" s="1021">
        <f ca="1">INDIRECT("'数据-取费表'!Am"&amp;$G$1)</f>
        <v>0.02</v>
      </c>
      <c r="G38" s="1290"/>
      <c r="H38" s="2470"/>
      <c r="I38" s="1303"/>
      <c r="J38" s="1304"/>
      <c r="K38" s="2468"/>
      <c r="L38" s="2470"/>
      <c r="M38" s="2470"/>
    </row>
    <row r="39" spans="1:18" ht="24.6" customHeight="1" thickTop="1">
      <c r="A39" s="1014" t="s">
        <v>394</v>
      </c>
      <c r="B39" s="1029" t="s">
        <v>767</v>
      </c>
      <c r="C39" s="302">
        <f ca="1">C5-C30</f>
        <v>7687</v>
      </c>
      <c r="D39" s="1030" t="s">
        <v>768</v>
      </c>
      <c r="E39" s="1031"/>
      <c r="F39" s="1032"/>
      <c r="G39" s="1290"/>
      <c r="H39" s="2470"/>
      <c r="I39" s="1303"/>
      <c r="J39" s="1304"/>
      <c r="K39" s="2468"/>
      <c r="L39" s="2470"/>
      <c r="M39" s="2470"/>
    </row>
    <row r="40" spans="1:18" ht="18" customHeight="1">
      <c r="A40" s="291" t="s">
        <v>395</v>
      </c>
      <c r="B40" s="292" t="s">
        <v>769</v>
      </c>
      <c r="C40" s="293">
        <f ca="1">ROUND(C39*(1-((1+F42)/(1+F40))^F41)/(F40-F42),0)</f>
        <v>100600</v>
      </c>
      <c r="D40" s="316" t="s">
        <v>753</v>
      </c>
      <c r="E40" s="294" t="s">
        <v>754</v>
      </c>
      <c r="F40" s="304">
        <f ca="1">INDIRECT("'数据-取费表'!I"&amp;$G$1)</f>
        <v>0.06</v>
      </c>
      <c r="G40" s="1290"/>
      <c r="H40" s="1364"/>
      <c r="I40" s="1303"/>
      <c r="J40" s="1304"/>
      <c r="K40" s="2468"/>
      <c r="L40" s="1364"/>
      <c r="M40" s="1364"/>
    </row>
    <row r="41" spans="1:18" ht="18" customHeight="1">
      <c r="A41" s="296"/>
      <c r="B41" s="297"/>
      <c r="C41" s="298"/>
      <c r="D41" s="323" t="s">
        <v>770</v>
      </c>
      <c r="E41" s="294" t="s">
        <v>758</v>
      </c>
      <c r="F41" s="324">
        <f ca="1">IF(INDIRECT("'数据-取费表'!af"&amp;$G$1)=0,INDIRECT("'数据-取费表'!ae"&amp;$G$1),INDIRECT("'数据-取费表'!af"&amp;$G$1))</f>
        <v>19.27</v>
      </c>
      <c r="G41" s="1290"/>
      <c r="H41" s="121"/>
      <c r="I41" s="1303"/>
      <c r="J41" s="1304"/>
      <c r="K41" s="2327"/>
      <c r="L41" s="121"/>
      <c r="M41" s="121"/>
    </row>
    <row r="42" spans="1:18" ht="18" customHeight="1">
      <c r="A42" s="300"/>
      <c r="B42" s="301"/>
      <c r="C42" s="302"/>
      <c r="D42" s="319"/>
      <c r="E42" s="294" t="s">
        <v>761</v>
      </c>
      <c r="F42" s="304">
        <f ca="1">INDIRECT("'数据-取费表'!v"&amp;$G$1)</f>
        <v>0.02</v>
      </c>
      <c r="G42" s="1290"/>
      <c r="H42" s="121"/>
      <c r="I42" s="1303"/>
      <c r="J42" s="1304"/>
      <c r="K42" s="2327"/>
      <c r="L42" s="121"/>
      <c r="M42" s="121"/>
    </row>
    <row r="43" spans="1:18" ht="18" customHeight="1" thickBot="1">
      <c r="A43" s="325" t="s">
        <v>396</v>
      </c>
      <c r="B43" s="326" t="s">
        <v>771</v>
      </c>
      <c r="C43" s="327">
        <f ca="1">ROUND(C40*10000/F43,0)</f>
        <v>51631</v>
      </c>
      <c r="D43" s="328" t="s">
        <v>772</v>
      </c>
      <c r="E43" s="329" t="s">
        <v>773</v>
      </c>
      <c r="F43" s="330">
        <f ca="1">INDIRECT("'数据-取费表'!k"&amp;$G$1)</f>
        <v>19484.510000000002</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803</v>
      </c>
      <c r="P45" s="1364"/>
      <c r="Q45" s="1364"/>
      <c r="R45" s="1364"/>
    </row>
    <row r="46" spans="1:18" s="1290" customFormat="1" ht="13.5" thickBot="1">
      <c r="A46" s="1309" t="s">
        <v>804</v>
      </c>
      <c r="C46" s="1310">
        <f ca="1">C68-C40</f>
        <v>-101994</v>
      </c>
      <c r="D46" s="1311" t="str">
        <f>C2</f>
        <v>万元</v>
      </c>
      <c r="E46" s="1305"/>
      <c r="F46" s="1305"/>
      <c r="I46" s="1312" t="s">
        <v>805</v>
      </c>
      <c r="J46" s="1313"/>
      <c r="K46" s="1314"/>
      <c r="L46" s="1315">
        <f ca="1">IF(M47="住宅",0,IF(L48&gt;J51,L60,J60))</f>
        <v>2095</v>
      </c>
      <c r="O46" s="1316" t="s">
        <v>806</v>
      </c>
      <c r="P46" s="1317" t="s">
        <v>807</v>
      </c>
      <c r="Q46" s="1318" t="s">
        <v>808</v>
      </c>
      <c r="R46" s="1318" t="s">
        <v>809</v>
      </c>
    </row>
    <row r="47" spans="1:18" s="1290" customFormat="1" ht="13.5" thickBot="1">
      <c r="A47" s="890" t="s">
        <v>682</v>
      </c>
      <c r="B47" s="922" t="s">
        <v>683</v>
      </c>
      <c r="C47" s="1052" t="s">
        <v>684</v>
      </c>
      <c r="D47" s="922" t="s">
        <v>685</v>
      </c>
      <c r="E47" s="993" t="s">
        <v>686</v>
      </c>
      <c r="F47" s="994"/>
      <c r="G47" s="681"/>
      <c r="I47" s="1319" t="s">
        <v>810</v>
      </c>
      <c r="J47" s="1320" t="s">
        <v>3461</v>
      </c>
      <c r="K47" s="1321" t="s">
        <v>811</v>
      </c>
      <c r="L47" s="1322">
        <f ca="1">INDIRECT("'数据-取费表'!d"&amp;$G$1)</f>
        <v>40</v>
      </c>
      <c r="M47" s="1286" t="str">
        <f>IF(ISNUMBER(FIND("住宅",C1)),"住宅","非住宅")</f>
        <v>非住宅</v>
      </c>
      <c r="O47" s="1323" t="s">
        <v>403</v>
      </c>
      <c r="P47" s="1324" t="s">
        <v>812</v>
      </c>
      <c r="Q47" s="1325">
        <f ca="1">C40+J29</f>
        <v>100600</v>
      </c>
      <c r="R47" s="1325" t="s">
        <v>813</v>
      </c>
    </row>
    <row r="48" spans="1:18" s="1290" customFormat="1" ht="28.5" thickBot="1">
      <c r="A48" s="1045" t="s">
        <v>438</v>
      </c>
      <c r="B48" s="292" t="s">
        <v>687</v>
      </c>
      <c r="C48" s="1266">
        <f ca="1">C49+C53+C55</f>
        <v>0</v>
      </c>
      <c r="D48" s="1047"/>
      <c r="E48" s="1048"/>
      <c r="F48" s="906"/>
      <c r="G48" s="681"/>
      <c r="H48" s="682"/>
      <c r="I48" s="1326" t="s">
        <v>814</v>
      </c>
      <c r="J48" s="1327" t="s">
        <v>3462</v>
      </c>
      <c r="K48" s="1328" t="s">
        <v>815</v>
      </c>
      <c r="L48" s="1329">
        <f ca="1">INDIRECT("'数据-取费表'!f"&amp;$G$1)</f>
        <v>19.27</v>
      </c>
      <c r="O48" s="1323" t="s">
        <v>404</v>
      </c>
      <c r="P48" s="1324" t="s">
        <v>816</v>
      </c>
      <c r="Q48" s="1325">
        <f ca="1">J60</f>
        <v>2095</v>
      </c>
      <c r="R48" s="1325" t="s">
        <v>817</v>
      </c>
    </row>
    <row r="49" spans="1:18" s="1290" customFormat="1" ht="13.5" thickBot="1">
      <c r="A49" s="919" t="s">
        <v>439</v>
      </c>
      <c r="B49" s="1277" t="s">
        <v>774</v>
      </c>
      <c r="C49" s="1049">
        <f ca="1">ROUND(F49*F51*F50*(1-F52)/10000,0)</f>
        <v>0</v>
      </c>
      <c r="D49" s="990" t="s">
        <v>2105</v>
      </c>
      <c r="E49" s="1278" t="s">
        <v>775</v>
      </c>
      <c r="F49" s="995"/>
      <c r="H49" s="682"/>
      <c r="I49" s="1326" t="s">
        <v>818</v>
      </c>
      <c r="J49" s="1330">
        <v>2009</v>
      </c>
      <c r="K49" s="1328" t="s">
        <v>819</v>
      </c>
      <c r="L49" s="1331"/>
      <c r="O49" s="1332" t="s">
        <v>405</v>
      </c>
      <c r="P49" s="1324" t="s">
        <v>820</v>
      </c>
      <c r="Q49" s="1325">
        <f ca="1">C29</f>
        <v>20491</v>
      </c>
      <c r="R49" s="1325" t="s">
        <v>813</v>
      </c>
    </row>
    <row r="50" spans="1:18" s="1290" customFormat="1" ht="13.5" thickBot="1">
      <c r="A50" s="920"/>
      <c r="B50" s="923"/>
      <c r="C50" s="1053"/>
      <c r="D50" s="897"/>
      <c r="E50" s="991" t="s">
        <v>692</v>
      </c>
      <c r="F50" s="992">
        <f ca="1">F7</f>
        <v>19484.510000000002</v>
      </c>
      <c r="H50" s="682"/>
      <c r="I50" s="1326" t="s">
        <v>821</v>
      </c>
      <c r="J50" s="1333">
        <f>SUMPRODUCT((I63:I65=J47)*(J62:L62=J48)*(J63:L65))</f>
        <v>60</v>
      </c>
      <c r="K50" s="1328" t="s">
        <v>822</v>
      </c>
      <c r="L50" s="1331"/>
      <c r="M50" s="1334"/>
      <c r="O50" s="1332" t="s">
        <v>406</v>
      </c>
      <c r="P50" s="1324" t="s">
        <v>823</v>
      </c>
      <c r="Q50" s="1335">
        <f ca="1">J58</f>
        <v>0.41199999999999998</v>
      </c>
      <c r="R50" s="1325"/>
    </row>
    <row r="51" spans="1:18" s="1290" customFormat="1" ht="13.5" thickBot="1">
      <c r="A51" s="921"/>
      <c r="B51" s="923"/>
      <c r="C51" s="924"/>
      <c r="D51" s="897"/>
      <c r="E51" s="925" t="s">
        <v>693</v>
      </c>
      <c r="F51" s="295">
        <f ca="1">F8</f>
        <v>365</v>
      </c>
      <c r="I51" s="1336" t="s">
        <v>824</v>
      </c>
      <c r="J51" s="1329">
        <f>IF(J49="",J50,J49+J50-YEAR('数据-取费表'!B2))</f>
        <v>44</v>
      </c>
      <c r="K51" s="1337" t="s">
        <v>825</v>
      </c>
      <c r="L51" s="1338">
        <f ca="1">ROUND(-PV(INDIRECT("'数据-取费表'!h"&amp;$G$1),J51,(C39-C13*C76),0),0)</f>
        <v>116392</v>
      </c>
      <c r="M51" s="1339"/>
      <c r="O51" s="1332" t="s">
        <v>407</v>
      </c>
      <c r="P51" s="1324" t="s">
        <v>826</v>
      </c>
      <c r="Q51" s="1335">
        <f>J52</f>
        <v>7.4999999999999997E-2</v>
      </c>
      <c r="R51" s="1325"/>
    </row>
    <row r="52" spans="1:18" s="1290" customFormat="1" ht="13.5" thickBot="1">
      <c r="A52" s="921"/>
      <c r="B52" s="923"/>
      <c r="C52" s="924"/>
      <c r="D52" s="897"/>
      <c r="E52" s="925" t="s">
        <v>694</v>
      </c>
      <c r="F52" s="989"/>
      <c r="I52" s="1340" t="s">
        <v>827</v>
      </c>
      <c r="J52" s="1341">
        <v>7.4999999999999997E-2</v>
      </c>
      <c r="K52" s="1340" t="s">
        <v>828</v>
      </c>
      <c r="L52" s="1341"/>
      <c r="O52" s="1332" t="s">
        <v>408</v>
      </c>
      <c r="P52" s="1324" t="s">
        <v>829</v>
      </c>
      <c r="Q52" s="1325">
        <f ca="1">J53</f>
        <v>19.27</v>
      </c>
      <c r="R52" s="1325" t="s">
        <v>830</v>
      </c>
    </row>
    <row r="53" spans="1:18" s="1290" customFormat="1" ht="24.75" thickBot="1">
      <c r="A53" s="1077" t="s">
        <v>440</v>
      </c>
      <c r="B53" s="1279" t="s">
        <v>695</v>
      </c>
      <c r="C53" s="308">
        <f ca="1">ROUND(IF(F53="押一",C49/12*F11,IF(F53="押二",C49/12*2*F11,IF(F53="押三",C49/12*3*F11,C54*F11))),0)</f>
        <v>0</v>
      </c>
      <c r="D53" s="150" t="s">
        <v>2111</v>
      </c>
      <c r="E53" s="305" t="s">
        <v>696</v>
      </c>
      <c r="F53" s="1051"/>
      <c r="I53" s="1342" t="s">
        <v>831</v>
      </c>
      <c r="J53" s="2004">
        <f ca="1">IF(M47="住宅",IF(D1="——",MAX(J51,L48),MAX(J51,L48-'数据-取费表'!B24)),IF(D1="——",MIN(J51,L48),MIN(J51,L48-'数据-取费表'!B24)))</f>
        <v>19.27</v>
      </c>
      <c r="K53" s="3374" t="s">
        <v>832</v>
      </c>
      <c r="L53" s="3375"/>
      <c r="O53" s="1323" t="s">
        <v>409</v>
      </c>
      <c r="P53" s="1324" t="s">
        <v>833</v>
      </c>
      <c r="Q53" s="1325">
        <f ca="1">Q47+Q48</f>
        <v>102695</v>
      </c>
      <c r="R53" s="1325" t="s">
        <v>410</v>
      </c>
    </row>
    <row r="54" spans="1:18" s="1290" customFormat="1" ht="13.5" thickBot="1">
      <c r="A54" s="1078"/>
      <c r="B54" s="1273" t="s">
        <v>674</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834</v>
      </c>
      <c r="P54" s="1287"/>
      <c r="Q54" s="1287"/>
      <c r="R54" s="1287"/>
    </row>
    <row r="55" spans="1:18" s="1290" customFormat="1" ht="13.5" thickBot="1">
      <c r="A55" s="1018" t="s">
        <v>437</v>
      </c>
      <c r="B55" s="1275" t="s">
        <v>698</v>
      </c>
      <c r="C55" s="1019"/>
      <c r="D55" s="150"/>
      <c r="E55" s="1280"/>
      <c r="F55" s="1343"/>
      <c r="I55" s="1346" t="s">
        <v>835</v>
      </c>
      <c r="J55" s="1347">
        <f ca="1">ROUND(IF(J47="钢混",J57/J50,1-(1-2%)*(J50-J57)/J50),3)</f>
        <v>0.41199999999999998</v>
      </c>
      <c r="K55" s="1348" t="s">
        <v>836</v>
      </c>
      <c r="L55" s="1349"/>
      <c r="O55" s="1316" t="s">
        <v>806</v>
      </c>
      <c r="P55" s="1317" t="s">
        <v>807</v>
      </c>
      <c r="Q55" s="1318" t="s">
        <v>808</v>
      </c>
      <c r="R55" s="1318" t="s">
        <v>809</v>
      </c>
    </row>
    <row r="56" spans="1:18" s="1290" customFormat="1" ht="25.5" thickTop="1" thickBot="1">
      <c r="A56" s="901">
        <v>2</v>
      </c>
      <c r="B56" s="902" t="s">
        <v>699</v>
      </c>
      <c r="C56" s="224">
        <f ca="1">C13</f>
        <v>15676</v>
      </c>
      <c r="D56" s="1350"/>
      <c r="E56" s="1351"/>
      <c r="F56" s="1343"/>
      <c r="I56" s="1352" t="s">
        <v>837</v>
      </c>
      <c r="J56" s="1353" t="s">
        <v>3463</v>
      </c>
      <c r="K56" s="1326" t="s">
        <v>838</v>
      </c>
      <c r="L56" s="1329" t="str">
        <f ca="1">IF(L48&lt;J51,"——",L48-J53)</f>
        <v>——</v>
      </c>
      <c r="O56" s="1323" t="s">
        <v>403</v>
      </c>
      <c r="P56" s="1324" t="s">
        <v>812</v>
      </c>
      <c r="Q56" s="1325">
        <f ca="1">C40+J29</f>
        <v>100600</v>
      </c>
      <c r="R56" s="1325" t="s">
        <v>813</v>
      </c>
    </row>
    <row r="57" spans="1:18" s="1290" customFormat="1" ht="24.75" thickBot="1">
      <c r="A57" s="1354"/>
      <c r="B57" s="894" t="s">
        <v>762</v>
      </c>
      <c r="C57" s="230">
        <f ca="1">C29</f>
        <v>20491</v>
      </c>
      <c r="D57" s="1355"/>
      <c r="E57" s="1356"/>
      <c r="F57" s="1357"/>
      <c r="I57" s="1358" t="s">
        <v>839</v>
      </c>
      <c r="J57" s="1359">
        <f ca="1">IF(OR(M47="住宅",J51&lt;L48,J56="是"),"——",J51-L48)</f>
        <v>24.73</v>
      </c>
      <c r="K57" s="1326" t="s">
        <v>840</v>
      </c>
      <c r="L57" s="1329" t="str">
        <f ca="1">IF(L48&lt;J51,"——",IF(L55="比较法",L49,IF(L55="基准地价",L50,L51)))</f>
        <v>——</v>
      </c>
      <c r="O57" s="1323" t="s">
        <v>404</v>
      </c>
      <c r="P57" s="1324" t="s">
        <v>841</v>
      </c>
      <c r="Q57" s="1325">
        <f ca="1">L60</f>
        <v>0</v>
      </c>
      <c r="R57" s="1325" t="s">
        <v>842</v>
      </c>
    </row>
    <row r="58" spans="1:18" s="1290" customFormat="1" ht="24.75" thickBot="1">
      <c r="A58" s="307" t="s">
        <v>393</v>
      </c>
      <c r="B58" s="902" t="s">
        <v>709</v>
      </c>
      <c r="C58" s="308">
        <f ca="1">ROUND(C59+C64+C65+C66,0)</f>
        <v>124</v>
      </c>
      <c r="D58" s="904" t="s">
        <v>710</v>
      </c>
      <c r="E58" s="905"/>
      <c r="F58" s="906"/>
      <c r="I58" s="1358" t="s">
        <v>843</v>
      </c>
      <c r="J58" s="1360">
        <f ca="1">IF(J55&lt;0.4,0.4,J55)</f>
        <v>0.41199999999999998</v>
      </c>
      <c r="K58" s="1337" t="s">
        <v>844</v>
      </c>
      <c r="L58" s="1329" t="e">
        <f ca="1">ROUND(POWER(1+L52,L47-L48)*(POWER(1+L52,L48)-1)/(POWER(1+L52,L47)-1),4)</f>
        <v>#DIV/0!</v>
      </c>
      <c r="O58" s="1332" t="s">
        <v>405</v>
      </c>
      <c r="P58" s="1324" t="s">
        <v>845</v>
      </c>
      <c r="Q58" s="1325">
        <f>IF(L55="比较法",L49,IF(L55="基准地价",L50,0))</f>
        <v>0</v>
      </c>
      <c r="R58" s="1325" t="s">
        <v>813</v>
      </c>
    </row>
    <row r="59" spans="1:18" s="1290" customFormat="1" ht="24.75" thickBot="1">
      <c r="A59" s="926" t="s">
        <v>398</v>
      </c>
      <c r="B59" s="894" t="s">
        <v>714</v>
      </c>
      <c r="C59" s="2138">
        <f ca="1">ROUND(IF(AND(项目基本情况!B11="自然人",项目基本情况!B10="北京市"),C49*F59/(1+'数据-取费表'!C42),C60+C61+C62),0)</f>
        <v>6</v>
      </c>
      <c r="D59" s="907" t="s">
        <v>715</v>
      </c>
      <c r="E59" s="908" t="s">
        <v>716</v>
      </c>
      <c r="F59" s="2137" t="str">
        <f>IF(项目基本情况!B11="企业","——",IF('数据-取费表'!B10="住宅",IF(F49*F50*F51/12/(1+'数据-取费表'!F30)&gt;100000,4%,2.5%),IF(F49*F50*F51/12/(1+'数据-取费表'!F30)&gt;100000,12%,7%)))</f>
        <v>——</v>
      </c>
      <c r="I59" s="1358" t="s">
        <v>846</v>
      </c>
      <c r="J59" s="1359">
        <f ca="1">IF(OR(M47="住宅",J51&lt;L48,J56="是"),"——",ROUND(C29*J58,0))</f>
        <v>8442</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847</v>
      </c>
      <c r="Q59" s="1335">
        <f>L52</f>
        <v>0</v>
      </c>
      <c r="R59" s="1325"/>
    </row>
    <row r="60" spans="1:18" s="1290" customFormat="1" ht="16.5" thickBot="1">
      <c r="A60" s="926" t="s">
        <v>397</v>
      </c>
      <c r="B60" s="894" t="s">
        <v>718</v>
      </c>
      <c r="C60" s="21">
        <f ca="1">IF(项目基本情况!B11="自然人","——",ROUND(C48*F60/(1+'数据-取费表'!C42),2))</f>
        <v>0</v>
      </c>
      <c r="D60" s="908" t="s">
        <v>719</v>
      </c>
      <c r="E60" s="894" t="s">
        <v>707</v>
      </c>
      <c r="F60" s="322">
        <f t="shared" ref="F60:F66" si="0">F32</f>
        <v>5.6000000000000001E-2</v>
      </c>
      <c r="I60" s="1361" t="s">
        <v>848</v>
      </c>
      <c r="J60" s="1362">
        <f ca="1">IF(OR(M47="住宅",J51&lt;L48,J56="是"),"0",ROUND(J59/(1+J52)^J53,0))</f>
        <v>2095</v>
      </c>
      <c r="K60" s="1363" t="s">
        <v>849</v>
      </c>
      <c r="L60" s="1362">
        <f ca="1">IF(OR(M47="住宅",L48&lt;J51),0,ROUND(L57*(L58/L59-1),0))</f>
        <v>0</v>
      </c>
      <c r="O60" s="1332" t="s">
        <v>407</v>
      </c>
      <c r="P60" s="1324" t="s">
        <v>850</v>
      </c>
      <c r="Q60" s="1325" t="e">
        <f ca="1">L58</f>
        <v>#DIV/0!</v>
      </c>
      <c r="R60" s="1325" t="s">
        <v>851</v>
      </c>
    </row>
    <row r="61" spans="1:18" s="1290" customFormat="1" ht="13.5" thickBot="1">
      <c r="A61" s="926" t="s">
        <v>776</v>
      </c>
      <c r="B61" s="894" t="s">
        <v>777</v>
      </c>
      <c r="C61" s="21">
        <f ca="1">IF(项目基本情况!B11="自然人","——",IF(D61="按租金收入计税",ROUND(C49*F61/(1+'数据-取费表'!C42),2),IF(D61="按房产原值计税",ROUND(C57*F61*0.7,2),INDIRECT("'数据-取费表'!Aj"&amp;$G$1))))</f>
        <v>0</v>
      </c>
      <c r="D61" s="1276" t="s">
        <v>3322</v>
      </c>
      <c r="E61" s="894" t="s">
        <v>778</v>
      </c>
      <c r="F61" s="314">
        <f t="shared" si="0"/>
        <v>0.12</v>
      </c>
      <c r="I61" s="1364"/>
      <c r="J61" s="1364"/>
      <c r="K61" s="1364"/>
      <c r="L61" s="1364"/>
      <c r="O61" s="1332" t="s">
        <v>408</v>
      </c>
      <c r="P61" s="1324" t="str">
        <f>K59</f>
        <v>建筑物剩余耐用年限下的土地年期修正系数Kn</v>
      </c>
      <c r="Q61" s="1325" t="e">
        <f ca="1">L59</f>
        <v>#DIV/0!</v>
      </c>
      <c r="R61" s="1325" t="s">
        <v>852</v>
      </c>
    </row>
    <row r="62" spans="1:18" s="1290" customFormat="1" ht="13.5" thickBot="1">
      <c r="A62" s="926" t="s">
        <v>779</v>
      </c>
      <c r="B62" s="893" t="s">
        <v>780</v>
      </c>
      <c r="C62" s="22">
        <f ca="1">IF(项目基本情况!B11="自然人","——",ROUND(F62*F63/10000,2))</f>
        <v>5.95</v>
      </c>
      <c r="D62" s="909" t="s">
        <v>781</v>
      </c>
      <c r="E62" s="894" t="s">
        <v>782</v>
      </c>
      <c r="F62" s="317">
        <f t="shared" si="0"/>
        <v>30</v>
      </c>
      <c r="I62" s="1365" t="s">
        <v>853</v>
      </c>
      <c r="J62" s="610" t="s">
        <v>854</v>
      </c>
      <c r="K62" s="610" t="s">
        <v>855</v>
      </c>
      <c r="L62" s="610" t="s">
        <v>856</v>
      </c>
      <c r="M62" s="1366" t="s">
        <v>857</v>
      </c>
      <c r="O62" s="1323" t="s">
        <v>409</v>
      </c>
      <c r="P62" s="1324" t="s">
        <v>858</v>
      </c>
      <c r="Q62" s="1325">
        <f ca="1">Q56+Q57</f>
        <v>100600</v>
      </c>
      <c r="R62" s="1325" t="s">
        <v>410</v>
      </c>
    </row>
    <row r="63" spans="1:18" s="1290" customFormat="1" ht="13.5" thickBot="1">
      <c r="A63" s="318"/>
      <c r="B63" s="900"/>
      <c r="C63" s="26"/>
      <c r="D63" s="910"/>
      <c r="E63" s="894" t="s">
        <v>783</v>
      </c>
      <c r="F63" s="295">
        <f t="shared" ca="1" si="0"/>
        <v>1982.01</v>
      </c>
      <c r="I63" s="1365" t="s">
        <v>859</v>
      </c>
      <c r="J63" s="610">
        <v>70</v>
      </c>
      <c r="K63" s="610">
        <v>50</v>
      </c>
      <c r="L63" s="610">
        <v>80</v>
      </c>
      <c r="M63" s="1367">
        <v>0.02</v>
      </c>
      <c r="O63" s="1308" t="s">
        <v>860</v>
      </c>
      <c r="P63" s="1287"/>
      <c r="Q63" s="1287"/>
      <c r="R63" s="1287"/>
    </row>
    <row r="64" spans="1:18" s="1290" customFormat="1" ht="13.5" thickBot="1">
      <c r="A64" s="926" t="s">
        <v>784</v>
      </c>
      <c r="B64" s="894" t="s">
        <v>785</v>
      </c>
      <c r="C64" s="21">
        <f ca="1">ROUND(C57*F64,2)</f>
        <v>102.46</v>
      </c>
      <c r="D64" s="908" t="s">
        <v>786</v>
      </c>
      <c r="E64" s="894" t="s">
        <v>778</v>
      </c>
      <c r="F64" s="320">
        <f t="shared" ca="1" si="0"/>
        <v>5.0000000000000001E-3</v>
      </c>
      <c r="I64" s="1365" t="s">
        <v>861</v>
      </c>
      <c r="J64" s="610">
        <v>50</v>
      </c>
      <c r="K64" s="610">
        <v>35</v>
      </c>
      <c r="L64" s="610">
        <v>60</v>
      </c>
      <c r="M64" s="1366">
        <v>0</v>
      </c>
      <c r="O64" s="1316" t="s">
        <v>806</v>
      </c>
      <c r="P64" s="1317" t="s">
        <v>807</v>
      </c>
      <c r="Q64" s="1318" t="s">
        <v>808</v>
      </c>
      <c r="R64" s="1318" t="s">
        <v>809</v>
      </c>
    </row>
    <row r="65" spans="1:18" s="1290" customFormat="1" ht="13.5" thickBot="1">
      <c r="A65" s="926" t="s">
        <v>787</v>
      </c>
      <c r="B65" s="894" t="s">
        <v>737</v>
      </c>
      <c r="C65" s="21">
        <f ca="1">ROUND(C56*F65,2)</f>
        <v>15.68</v>
      </c>
      <c r="D65" s="908" t="s">
        <v>738</v>
      </c>
      <c r="E65" s="894" t="s">
        <v>739</v>
      </c>
      <c r="F65" s="321">
        <f t="shared" ca="1" si="0"/>
        <v>1E-3</v>
      </c>
      <c r="I65" s="1365" t="s">
        <v>862</v>
      </c>
      <c r="J65" s="610">
        <v>40</v>
      </c>
      <c r="K65" s="610">
        <v>30</v>
      </c>
      <c r="L65" s="610">
        <v>50</v>
      </c>
      <c r="M65" s="1367">
        <v>0.02</v>
      </c>
      <c r="O65" s="1323" t="s">
        <v>403</v>
      </c>
      <c r="P65" s="1324" t="s">
        <v>863</v>
      </c>
      <c r="Q65" s="1325">
        <f ca="1">C40+J29</f>
        <v>100600</v>
      </c>
      <c r="R65" s="1325" t="s">
        <v>813</v>
      </c>
    </row>
    <row r="66" spans="1:18" s="1290" customFormat="1" ht="16.5" thickBot="1">
      <c r="A66" s="926" t="s">
        <v>788</v>
      </c>
      <c r="B66" s="894" t="s">
        <v>723</v>
      </c>
      <c r="C66" s="21">
        <f ca="1">ROUND(C48*F66,2)</f>
        <v>0</v>
      </c>
      <c r="D66" s="908" t="s">
        <v>789</v>
      </c>
      <c r="E66" s="894" t="s">
        <v>707</v>
      </c>
      <c r="F66" s="304">
        <f t="shared" ca="1" si="0"/>
        <v>0.02</v>
      </c>
      <c r="O66" s="1323" t="s">
        <v>404</v>
      </c>
      <c r="P66" s="1324" t="s">
        <v>841</v>
      </c>
      <c r="Q66" s="1325">
        <f ca="1">L60</f>
        <v>0</v>
      </c>
      <c r="R66" s="1325" t="s">
        <v>864</v>
      </c>
    </row>
    <row r="67" spans="1:18" s="1290" customFormat="1" ht="16.5" thickBot="1">
      <c r="A67" s="901" t="s">
        <v>394</v>
      </c>
      <c r="B67" s="911" t="s">
        <v>747</v>
      </c>
      <c r="C67" s="308">
        <f ca="1">C48-C58</f>
        <v>-124</v>
      </c>
      <c r="D67" s="907" t="s">
        <v>748</v>
      </c>
      <c r="E67" s="912"/>
      <c r="F67" s="913"/>
      <c r="O67" s="1332" t="s">
        <v>405</v>
      </c>
      <c r="P67" s="1324" t="s">
        <v>845</v>
      </c>
      <c r="Q67" s="1368">
        <f ca="1">L51</f>
        <v>116392</v>
      </c>
      <c r="R67" s="1325" t="s">
        <v>865</v>
      </c>
    </row>
    <row r="68" spans="1:18" s="1290" customFormat="1" ht="16.5" thickBot="1">
      <c r="A68" s="891" t="s">
        <v>395</v>
      </c>
      <c r="B68" s="892" t="s">
        <v>769</v>
      </c>
      <c r="C68" s="293">
        <f ca="1">ROUND(C67*(1-((1+F70)/(1+F68))^F69)/(F68-F70),0)</f>
        <v>-1394</v>
      </c>
      <c r="D68" s="909" t="s">
        <v>753</v>
      </c>
      <c r="E68" s="894" t="s">
        <v>754</v>
      </c>
      <c r="F68" s="304">
        <f ca="1">F40</f>
        <v>0.06</v>
      </c>
      <c r="O68" s="1332" t="s">
        <v>406</v>
      </c>
      <c r="P68" s="1369" t="s">
        <v>866</v>
      </c>
      <c r="Q68" s="1325">
        <f ca="1">ROUND(Q69-Q70*Q71,0)</f>
        <v>6590</v>
      </c>
      <c r="R68" s="1325" t="s">
        <v>414</v>
      </c>
    </row>
    <row r="69" spans="1:18" s="1290" customFormat="1" ht="13.5" thickBot="1">
      <c r="A69" s="895"/>
      <c r="B69" s="896"/>
      <c r="C69" s="298"/>
      <c r="D69" s="914" t="s">
        <v>757</v>
      </c>
      <c r="E69" s="894" t="s">
        <v>758</v>
      </c>
      <c r="F69" s="324">
        <f ca="1">F41</f>
        <v>19.27</v>
      </c>
      <c r="O69" s="1332" t="s">
        <v>411</v>
      </c>
      <c r="P69" s="1369" t="s">
        <v>867</v>
      </c>
      <c r="Q69" s="1325">
        <f ca="1">C39</f>
        <v>7687</v>
      </c>
      <c r="R69" s="1325" t="s">
        <v>813</v>
      </c>
    </row>
    <row r="70" spans="1:18" s="1290" customFormat="1" ht="13.5" thickBot="1">
      <c r="A70" s="898"/>
      <c r="B70" s="899"/>
      <c r="C70" s="302"/>
      <c r="D70" s="910"/>
      <c r="E70" s="894" t="s">
        <v>761</v>
      </c>
      <c r="F70" s="989"/>
      <c r="O70" s="1332" t="s">
        <v>412</v>
      </c>
      <c r="P70" s="1369" t="s">
        <v>868</v>
      </c>
      <c r="Q70" s="1325">
        <f ca="1">C13</f>
        <v>15676</v>
      </c>
      <c r="R70" s="1325" t="s">
        <v>813</v>
      </c>
    </row>
    <row r="71" spans="1:18" s="1290" customFormat="1" ht="13.5" thickBot="1">
      <c r="A71" s="915" t="s">
        <v>396</v>
      </c>
      <c r="B71" s="916" t="s">
        <v>771</v>
      </c>
      <c r="C71" s="327">
        <f ca="1">ROUND(C68*10000/F71,0)</f>
        <v>-715</v>
      </c>
      <c r="D71" s="917" t="s">
        <v>772</v>
      </c>
      <c r="E71" s="918" t="s">
        <v>773</v>
      </c>
      <c r="F71" s="330">
        <f ca="1">F43</f>
        <v>19484.510000000002</v>
      </c>
      <c r="O71" s="1332" t="s">
        <v>413</v>
      </c>
      <c r="P71" s="1369" t="s">
        <v>869</v>
      </c>
      <c r="Q71" s="1335">
        <f ca="1">C76</f>
        <v>7.0000000000000007E-2</v>
      </c>
      <c r="R71" s="1325"/>
    </row>
    <row r="72" spans="1:18" s="1290" customFormat="1" ht="13.5" thickBot="1">
      <c r="B72" s="685"/>
      <c r="C72" s="685"/>
      <c r="O72" s="1332" t="s">
        <v>407</v>
      </c>
      <c r="P72" s="1324" t="s">
        <v>847</v>
      </c>
      <c r="Q72" s="1335">
        <f>L52</f>
        <v>0</v>
      </c>
      <c r="R72" s="1325"/>
    </row>
    <row r="73" spans="1:18" ht="16.5" thickBot="1">
      <c r="A73" s="1290"/>
      <c r="B73" s="685"/>
      <c r="C73" s="685"/>
      <c r="D73" s="1290"/>
      <c r="E73" s="1290"/>
      <c r="F73" s="1290"/>
      <c r="O73" s="1332" t="s">
        <v>408</v>
      </c>
      <c r="P73" s="1324" t="s">
        <v>850</v>
      </c>
      <c r="Q73" s="1325" t="e">
        <f ca="1">L58</f>
        <v>#DIV/0!</v>
      </c>
      <c r="R73" s="1325" t="s">
        <v>851</v>
      </c>
    </row>
    <row r="74" spans="1:18" ht="13.5" thickBot="1">
      <c r="A74" s="1290"/>
      <c r="B74" s="265" t="s">
        <v>870</v>
      </c>
      <c r="C74" s="1371"/>
      <c r="D74" s="1290"/>
      <c r="E74" s="1290"/>
      <c r="F74" s="1290"/>
      <c r="O74" s="1332" t="s">
        <v>415</v>
      </c>
      <c r="P74" s="1324" t="str">
        <f>K59</f>
        <v>建筑物剩余耐用年限下的土地年期修正系数Kn</v>
      </c>
      <c r="Q74" s="1325" t="e">
        <f ca="1">L59</f>
        <v>#DIV/0!</v>
      </c>
      <c r="R74" s="1325" t="s">
        <v>852</v>
      </c>
    </row>
    <row r="75" spans="1:18" ht="13.5" thickBot="1">
      <c r="A75" s="1290"/>
      <c r="B75" s="331" t="s">
        <v>790</v>
      </c>
      <c r="C75" s="332">
        <f ca="1">ROUND(C13*C76,0)</f>
        <v>1097</v>
      </c>
      <c r="D75" s="1290"/>
      <c r="E75" s="1290"/>
      <c r="F75" s="1290"/>
      <c r="K75" s="1307"/>
      <c r="L75" s="1290"/>
      <c r="O75" s="1323" t="s">
        <v>409</v>
      </c>
      <c r="P75" s="1324" t="s">
        <v>833</v>
      </c>
      <c r="Q75" s="1325">
        <f ca="1">Q65+Q66</f>
        <v>100600</v>
      </c>
      <c r="R75" s="1325" t="s">
        <v>410</v>
      </c>
    </row>
    <row r="76" spans="1:18">
      <c r="B76" s="333" t="s">
        <v>791</v>
      </c>
      <c r="C76" s="334">
        <f ca="1">INDIRECT("'数据-取费表'!j"&amp;$G$1)</f>
        <v>7.0000000000000007E-2</v>
      </c>
      <c r="I76" s="1290"/>
      <c r="J76" s="1290"/>
      <c r="K76" s="1307"/>
      <c r="L76" s="1290"/>
    </row>
    <row r="77" spans="1:18">
      <c r="B77" s="335" t="s">
        <v>792</v>
      </c>
      <c r="C77" s="336"/>
      <c r="I77" s="1290"/>
      <c r="J77" s="1290"/>
      <c r="K77" s="1307"/>
      <c r="L77" s="1290"/>
    </row>
    <row r="78" spans="1:18">
      <c r="B78" s="262" t="s">
        <v>793</v>
      </c>
      <c r="C78" s="337"/>
    </row>
    <row r="79" spans="1:18">
      <c r="B79" s="331" t="s">
        <v>794</v>
      </c>
      <c r="C79" s="266">
        <f ca="1">1-C80</f>
        <v>0.85699999999999998</v>
      </c>
    </row>
    <row r="80" spans="1:18">
      <c r="B80" s="331" t="s">
        <v>795</v>
      </c>
      <c r="C80" s="266">
        <f ca="1">ROUND(C75/C39,3)</f>
        <v>0.14299999999999999</v>
      </c>
    </row>
    <row r="81" spans="2:3">
      <c r="B81" s="262" t="s">
        <v>796</v>
      </c>
      <c r="C81" s="230"/>
    </row>
    <row r="82" spans="2:3">
      <c r="B82" s="265" t="s">
        <v>797</v>
      </c>
      <c r="C82" s="267">
        <f ca="1">1-C83</f>
        <v>0.84399999999999997</v>
      </c>
    </row>
    <row r="83" spans="2:3">
      <c r="B83" s="265" t="s">
        <v>798</v>
      </c>
      <c r="C83" s="266">
        <f ca="1">ROUND(C13/C40,3)</f>
        <v>0.156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0" priority="3">
      <formula>$F$10="自定义"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J11">
    <cfRule type="expression" dxfId="157" priority="2">
      <formula>$M$10="自定义"</formula>
    </cfRule>
  </conditionalFormatting>
  <conditionalFormatting sqref="K55 K60">
    <cfRule type="expression" dxfId="15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19" sqref="H1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3" t="s">
        <v>1653</v>
      </c>
      <c r="B1" s="1724"/>
      <c r="C1" s="1724"/>
      <c r="D1" s="1724"/>
      <c r="E1" s="1725"/>
      <c r="F1" s="2476"/>
      <c r="G1" s="459"/>
      <c r="H1" s="459"/>
      <c r="I1" s="459"/>
      <c r="J1" s="459"/>
      <c r="K1" s="459"/>
      <c r="L1" s="459"/>
      <c r="M1" s="459"/>
      <c r="N1" s="459"/>
      <c r="O1" s="459"/>
      <c r="P1" s="459"/>
      <c r="Q1" s="459"/>
      <c r="R1" s="459"/>
      <c r="S1" s="459"/>
    </row>
    <row r="2" spans="1:22" ht="15.75">
      <c r="A2" s="1726" t="s">
        <v>1457</v>
      </c>
      <c r="B2" s="809">
        <f ca="1">SUMIF(B6:B13,"&lt;&gt;#ref!",B6:B13)</f>
        <v>983607</v>
      </c>
      <c r="C2" s="1727" t="s">
        <v>1646</v>
      </c>
      <c r="D2" s="1728" t="s">
        <v>1647</v>
      </c>
      <c r="E2" s="2389">
        <f>SUM(E6:E13)</f>
        <v>139616.60999999999</v>
      </c>
      <c r="F2" s="2476"/>
      <c r="G2" s="459"/>
      <c r="H2" s="459"/>
      <c r="I2" s="459"/>
      <c r="J2" s="459"/>
      <c r="K2" s="459"/>
      <c r="L2" s="459"/>
      <c r="M2" s="459"/>
      <c r="N2" s="459"/>
      <c r="O2" s="459"/>
      <c r="P2" s="459"/>
      <c r="Q2" s="459"/>
      <c r="R2" s="459"/>
      <c r="S2" s="459"/>
    </row>
    <row r="3" spans="1:22" ht="15.75">
      <c r="A3" s="1726" t="s">
        <v>681</v>
      </c>
      <c r="B3" s="2383">
        <f ca="1">ROUND(B2*10000/E2,0)</f>
        <v>70451</v>
      </c>
      <c r="C3" s="1727" t="s">
        <v>1654</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1648</v>
      </c>
      <c r="B5" s="3395" t="s">
        <v>1649</v>
      </c>
      <c r="C5" s="3396"/>
      <c r="D5" s="2477"/>
      <c r="E5" s="1729" t="s">
        <v>1650</v>
      </c>
      <c r="F5" s="129" t="s">
        <v>1651</v>
      </c>
      <c r="G5" s="459"/>
      <c r="H5" s="459"/>
      <c r="I5" s="459"/>
      <c r="J5" s="459"/>
      <c r="K5" s="459"/>
      <c r="L5" s="459"/>
      <c r="M5" s="459"/>
      <c r="N5" s="459"/>
      <c r="O5" s="459"/>
      <c r="P5" s="459"/>
      <c r="Q5" s="459"/>
      <c r="R5" s="459"/>
      <c r="S5" s="459"/>
    </row>
    <row r="6" spans="1:22">
      <c r="A6" s="2386" t="str">
        <f>'数据-取费表'!AN6</f>
        <v>商业收益法</v>
      </c>
      <c r="B6" s="2384">
        <f ca="1">IF(F6="是",'数据-取费表'!AO6,0)</f>
        <v>102695</v>
      </c>
      <c r="C6" s="1727" t="s">
        <v>1646</v>
      </c>
      <c r="D6" s="2476"/>
      <c r="E6" s="2388">
        <f>IF(OR(A6=0,F6="否"),0,'数据-取费表'!K6+'数据-取费表'!S6)</f>
        <v>20099.640000000003</v>
      </c>
      <c r="F6" s="1730" t="s">
        <v>1652</v>
      </c>
      <c r="G6" s="459"/>
      <c r="H6" s="459"/>
      <c r="I6" s="459"/>
      <c r="J6" s="459"/>
      <c r="K6" s="459"/>
      <c r="L6" s="459"/>
      <c r="M6" s="459"/>
      <c r="N6" s="459"/>
      <c r="O6" s="459"/>
      <c r="P6" s="459"/>
      <c r="Q6" s="459"/>
      <c r="R6" s="459"/>
      <c r="S6" s="459"/>
    </row>
    <row r="7" spans="1:22">
      <c r="A7" s="2386" t="str">
        <f>'数据-取费表'!AN7</f>
        <v xml:space="preserve">办公收益法 </v>
      </c>
      <c r="B7" s="2384">
        <f ca="1">IF(F7="是",'数据-取费表'!AO7,0)</f>
        <v>870004</v>
      </c>
      <c r="C7" s="1727" t="s">
        <v>1646</v>
      </c>
      <c r="D7" s="2476"/>
      <c r="E7" s="2388">
        <f>IF(OR(A7=0,F7="否"),0,'数据-取费表'!K7+'数据-取费表'!S7)</f>
        <v>94271.349999999991</v>
      </c>
      <c r="F7" s="1730" t="s">
        <v>1652</v>
      </c>
      <c r="G7" s="459"/>
      <c r="H7" s="459"/>
      <c r="I7" s="459"/>
      <c r="J7" s="459"/>
      <c r="K7" s="459"/>
      <c r="L7" s="459"/>
      <c r="M7" s="459"/>
      <c r="N7" s="459"/>
      <c r="O7" s="459"/>
      <c r="P7" s="459"/>
      <c r="Q7" s="459"/>
      <c r="R7" s="459"/>
      <c r="S7" s="459"/>
    </row>
    <row r="8" spans="1:22">
      <c r="A8" s="2386" t="str">
        <f>'数据-取费表'!AN8</f>
        <v>地下车库收益法</v>
      </c>
      <c r="B8" s="2384">
        <f ca="1">IF(F8="是",'数据-取费表'!AO8,0)</f>
        <v>10908</v>
      </c>
      <c r="C8" s="1727" t="s">
        <v>1646</v>
      </c>
      <c r="D8" s="2476"/>
      <c r="E8" s="2388">
        <f>IF(OR(A8=0,F8="否"),0,'数据-取费表'!K8+'数据-取费表'!S8)</f>
        <v>25245.62</v>
      </c>
      <c r="F8" s="1730" t="s">
        <v>1652</v>
      </c>
      <c r="G8" s="459"/>
      <c r="H8" s="459"/>
      <c r="I8" s="459"/>
      <c r="J8" s="459"/>
      <c r="K8" s="459"/>
      <c r="L8" s="459"/>
      <c r="M8" s="459"/>
      <c r="N8" s="459"/>
      <c r="O8" s="459"/>
      <c r="P8" s="459"/>
      <c r="Q8" s="459"/>
      <c r="R8" s="459"/>
      <c r="S8" s="459"/>
    </row>
    <row r="9" spans="1:22">
      <c r="A9" s="2386">
        <f>'数据-取费表'!AN9</f>
        <v>0</v>
      </c>
      <c r="B9" s="2384" t="e">
        <f ca="1">IF(F9="是",'数据-取费表'!AO9,0)</f>
        <v>#REF!</v>
      </c>
      <c r="C9" s="1727" t="s">
        <v>1646</v>
      </c>
      <c r="D9" s="2476"/>
      <c r="E9" s="2388">
        <f>IF(OR(A9=0,F9="否"),0,'数据-取费表'!K9+'数据-取费表'!S9)</f>
        <v>0</v>
      </c>
      <c r="F9" s="1730" t="s">
        <v>1652</v>
      </c>
      <c r="G9" s="459"/>
      <c r="H9" s="459"/>
      <c r="I9" s="459"/>
      <c r="J9" s="459"/>
      <c r="K9" s="459"/>
      <c r="L9" s="459"/>
      <c r="M9" s="459"/>
      <c r="N9" s="459"/>
      <c r="O9" s="459"/>
      <c r="P9" s="459"/>
      <c r="Q9" s="459"/>
      <c r="R9" s="459"/>
      <c r="S9" s="459"/>
    </row>
    <row r="10" spans="1:22">
      <c r="A10" s="2386">
        <f>'数据-取费表'!AN10</f>
        <v>0</v>
      </c>
      <c r="B10" s="2384" t="e">
        <f ca="1">IF(F10="是",'数据-取费表'!AO10,0)</f>
        <v>#REF!</v>
      </c>
      <c r="C10" s="1727" t="s">
        <v>1646</v>
      </c>
      <c r="D10" s="2476"/>
      <c r="E10" s="2388">
        <f>IF(OR(A10=0,F10="否"),0,'数据-取费表'!K10+'数据-取费表'!S10)</f>
        <v>0</v>
      </c>
      <c r="F10" s="1730" t="s">
        <v>1652</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7" t="s">
        <v>1646</v>
      </c>
      <c r="D11" s="2476"/>
      <c r="E11" s="2388">
        <f>IF(OR(A11=0,F11="否"),0,'数据-取费表'!K11+'数据-取费表'!S11)</f>
        <v>0</v>
      </c>
      <c r="F11" s="1730" t="s">
        <v>1652</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7" t="s">
        <v>1646</v>
      </c>
      <c r="D12" s="2476"/>
      <c r="E12" s="2388">
        <f>IF(OR(A12=0,F12="否"),0,'数据-取费表'!K12+'数据-取费表'!S12)</f>
        <v>0</v>
      </c>
      <c r="F12" s="1730" t="s">
        <v>1652</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1646</v>
      </c>
      <c r="D13" s="2478"/>
      <c r="E13" s="2388">
        <f>IF(OR(A13=0,F13="否"),0,'数据-取费表'!K13+'数据-取费表'!S13)</f>
        <v>0</v>
      </c>
      <c r="F13" s="1730" t="s">
        <v>1652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732" t="s">
        <v>1656</v>
      </c>
      <c r="C1" s="1153" t="s">
        <v>1657</v>
      </c>
      <c r="D1" s="1140"/>
      <c r="E1" s="3121"/>
      <c r="F1" s="1733"/>
      <c r="G1" s="1150" t="s">
        <v>1658</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680</v>
      </c>
      <c r="B2" s="3122"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1659</v>
      </c>
      <c r="F2" s="1737"/>
      <c r="G2" s="852"/>
      <c r="H2" s="852"/>
      <c r="I2" s="852"/>
      <c r="J2" s="852"/>
      <c r="K2" s="1738"/>
      <c r="L2" s="2481"/>
      <c r="M2" s="2482"/>
      <c r="N2" s="2482"/>
      <c r="O2" s="2482"/>
      <c r="P2" s="1739"/>
      <c r="Q2" s="1740"/>
      <c r="R2" s="1740"/>
      <c r="S2" s="1740"/>
      <c r="T2" s="1740"/>
      <c r="U2" s="1740"/>
      <c r="V2" s="1740"/>
      <c r="W2" s="1740"/>
      <c r="X2" s="1740"/>
      <c r="Y2" s="1740"/>
      <c r="Z2" s="1740"/>
      <c r="AA2" s="1740"/>
      <c r="AB2" s="1740"/>
      <c r="AC2" s="996"/>
    </row>
    <row r="3" spans="1:29" s="338" customFormat="1" ht="28.5" customHeight="1" thickBot="1">
      <c r="A3" s="195" t="s">
        <v>681</v>
      </c>
      <c r="B3" s="343">
        <f>IF(C2="——",C49,ROUND(B2*10000/D3,0))</f>
        <v>0</v>
      </c>
      <c r="C3" s="344" t="s">
        <v>1660</v>
      </c>
      <c r="D3" s="343">
        <f>IF(D1="",'数据-汇总表'!E3,SUMIF('数据-汇总表'!$C19:$C33,D1,'数据-汇总表'!$E19:$E33))</f>
        <v>139616.6</v>
      </c>
      <c r="E3" s="852"/>
      <c r="F3" s="1741"/>
      <c r="G3" s="852"/>
      <c r="H3" s="852"/>
      <c r="I3" s="852"/>
      <c r="J3" s="852"/>
      <c r="K3" s="1738"/>
      <c r="L3" s="2481"/>
      <c r="M3" s="2482"/>
      <c r="N3" s="2482"/>
      <c r="O3" s="2482"/>
      <c r="P3" s="1739"/>
      <c r="Q3" s="1740"/>
      <c r="R3" s="1740"/>
      <c r="S3" s="1740"/>
      <c r="T3" s="1740"/>
      <c r="U3" s="1740"/>
      <c r="V3" s="1740"/>
      <c r="W3" s="1740"/>
      <c r="X3" s="1740"/>
      <c r="Y3" s="1740"/>
      <c r="Z3" s="1740"/>
      <c r="AA3" s="1740"/>
      <c r="AB3" s="1740"/>
      <c r="AC3" s="996"/>
    </row>
    <row r="4" spans="1:29" ht="15">
      <c r="A4" s="345" t="s">
        <v>1661</v>
      </c>
      <c r="B4" s="346"/>
      <c r="C4" s="3415" t="s">
        <v>1662</v>
      </c>
      <c r="D4" s="3416"/>
      <c r="E4" s="3417" t="s">
        <v>1663</v>
      </c>
      <c r="F4" s="3418"/>
      <c r="G4" s="3415" t="s">
        <v>1664</v>
      </c>
      <c r="H4" s="3416"/>
      <c r="I4" s="3415" t="s">
        <v>1665</v>
      </c>
      <c r="J4" s="3416"/>
      <c r="K4" s="1742" t="s">
        <v>1666</v>
      </c>
      <c r="L4" s="2483"/>
      <c r="M4" s="2484"/>
      <c r="N4" s="2484"/>
      <c r="O4" s="2484"/>
      <c r="P4" s="3419" t="s">
        <v>1667</v>
      </c>
      <c r="Q4" s="3420"/>
      <c r="R4" s="3425" t="s">
        <v>1663</v>
      </c>
      <c r="S4" s="3426"/>
      <c r="T4" s="3425" t="s">
        <v>1664</v>
      </c>
      <c r="U4" s="3426"/>
      <c r="V4" s="3401" t="s">
        <v>1665</v>
      </c>
      <c r="W4" s="3401"/>
      <c r="X4" s="1263"/>
      <c r="Y4" s="3425" t="s">
        <v>1667</v>
      </c>
      <c r="Z4" s="3426"/>
      <c r="AA4" s="3412" t="s">
        <v>1663</v>
      </c>
      <c r="AB4" s="3412" t="s">
        <v>1664</v>
      </c>
      <c r="AC4" s="3412" t="s">
        <v>1665</v>
      </c>
    </row>
    <row r="5" spans="1:29" ht="15">
      <c r="A5" s="348"/>
      <c r="B5" s="349"/>
      <c r="C5" s="3433" t="s">
        <v>1668</v>
      </c>
      <c r="D5" s="3434"/>
      <c r="E5" s="3440" t="s">
        <v>1669</v>
      </c>
      <c r="F5" s="3441"/>
      <c r="G5" s="3433" t="s">
        <v>1670</v>
      </c>
      <c r="H5" s="3434"/>
      <c r="I5" s="3433" t="s">
        <v>1671</v>
      </c>
      <c r="J5" s="3434"/>
      <c r="K5" s="1743"/>
      <c r="L5" s="2483"/>
      <c r="M5" s="2484"/>
      <c r="N5" s="2484"/>
      <c r="O5" s="2484"/>
      <c r="P5" s="3421"/>
      <c r="Q5" s="3422"/>
      <c r="R5" s="3427"/>
      <c r="S5" s="3428"/>
      <c r="T5" s="3427"/>
      <c r="U5" s="3428"/>
      <c r="V5" s="3401"/>
      <c r="W5" s="3401"/>
      <c r="X5" s="1263"/>
      <c r="Y5" s="3427"/>
      <c r="Z5" s="3428"/>
      <c r="AA5" s="3413"/>
      <c r="AB5" s="3413"/>
      <c r="AC5" s="3413"/>
    </row>
    <row r="6" spans="1:29" ht="15.75" thickBot="1">
      <c r="A6" s="350"/>
      <c r="B6" s="351"/>
      <c r="C6" s="3431" t="s">
        <v>1672</v>
      </c>
      <c r="D6" s="3432"/>
      <c r="E6" s="3438" t="s">
        <v>1672</v>
      </c>
      <c r="F6" s="3439"/>
      <c r="G6" s="3431" t="s">
        <v>1672</v>
      </c>
      <c r="H6" s="3432"/>
      <c r="I6" s="3431" t="s">
        <v>1672</v>
      </c>
      <c r="J6" s="3432"/>
      <c r="K6" s="1743" t="s">
        <v>1673</v>
      </c>
      <c r="L6" s="2483"/>
      <c r="M6" s="2484"/>
      <c r="N6" s="2484"/>
      <c r="O6" s="2484"/>
      <c r="P6" s="3423"/>
      <c r="Q6" s="3424"/>
      <c r="R6" s="3427"/>
      <c r="S6" s="3428"/>
      <c r="T6" s="3429"/>
      <c r="U6" s="3430"/>
      <c r="V6" s="3401"/>
      <c r="W6" s="3401"/>
      <c r="X6" s="1263"/>
      <c r="Y6" s="3429"/>
      <c r="Z6" s="3430"/>
      <c r="AA6" s="3414"/>
      <c r="AB6" s="3414"/>
      <c r="AC6" s="3414"/>
    </row>
    <row r="7" spans="1:29" s="102" customFormat="1" ht="15.75" thickBot="1">
      <c r="A7" s="352" t="s">
        <v>1674</v>
      </c>
      <c r="B7" s="353"/>
      <c r="C7" s="354">
        <f>'数据-取费表'!B2</f>
        <v>45804</v>
      </c>
      <c r="D7" s="355">
        <v>100</v>
      </c>
      <c r="E7" s="356"/>
      <c r="F7" s="357">
        <f>SUMIF(58:58,YEAR(E7)&amp;"-"&amp;MONTH(E7),59:59)</f>
        <v>0</v>
      </c>
      <c r="G7" s="356"/>
      <c r="H7" s="355">
        <f>SUMIF(58:58,YEAR(G7)&amp;"-"&amp;MONTH(G7),59:59)</f>
        <v>0</v>
      </c>
      <c r="I7" s="356"/>
      <c r="J7" s="355">
        <f>SUMIF(58:58,YEAR(I7)&amp;"-"&amp;MONTH(I7),59:59)</f>
        <v>0</v>
      </c>
      <c r="K7" s="1744"/>
      <c r="L7" s="2485"/>
      <c r="M7" s="2436"/>
      <c r="N7" s="2436"/>
      <c r="O7" s="2436"/>
      <c r="P7" s="3435" t="s">
        <v>1675</v>
      </c>
      <c r="Q7" s="3437"/>
      <c r="R7" s="664" t="s">
        <v>20</v>
      </c>
      <c r="S7" s="665">
        <f t="shared" ref="S7:S15" si="0">F7</f>
        <v>0</v>
      </c>
      <c r="T7" s="664" t="s">
        <v>20</v>
      </c>
      <c r="U7" s="665">
        <f t="shared" ref="U7:U15" si="1">H7</f>
        <v>0</v>
      </c>
      <c r="V7" s="664" t="s">
        <v>20</v>
      </c>
      <c r="W7" s="665">
        <f t="shared" ref="W7:W15" si="2">J7</f>
        <v>0</v>
      </c>
      <c r="X7" s="666"/>
      <c r="Y7" s="3435" t="s">
        <v>1675</v>
      </c>
      <c r="Z7" s="3436"/>
      <c r="AA7" s="50" t="e">
        <f>D7/F7</f>
        <v>#DIV/0!</v>
      </c>
      <c r="AB7" s="50" t="e">
        <f>D7/H7</f>
        <v>#DIV/0!</v>
      </c>
      <c r="AC7" s="50" t="e">
        <f>D7/J7</f>
        <v>#DIV/0!</v>
      </c>
    </row>
    <row r="8" spans="1:29" s="102" customFormat="1" ht="15.75" thickBot="1">
      <c r="A8" s="352" t="s">
        <v>1676</v>
      </c>
      <c r="B8" s="353"/>
      <c r="C8" s="358"/>
      <c r="D8" s="355">
        <v>100</v>
      </c>
      <c r="E8" s="1745"/>
      <c r="F8" s="357">
        <f>SUMIF(61:61,E8,62:62)-SUMIF(61:61,C8,62:62)+100</f>
        <v>100</v>
      </c>
      <c r="G8" s="358"/>
      <c r="H8" s="355">
        <f>SUMIF(61:61,G8,62:62)-SUMIF(61:61,C8,62:62)+100</f>
        <v>100</v>
      </c>
      <c r="I8" s="1745"/>
      <c r="J8" s="355">
        <f>SUMIF(61:61,I8,62:62)-SUMIF(61:61,C8,62:62)+100</f>
        <v>100</v>
      </c>
      <c r="K8" s="1744"/>
      <c r="L8" s="2485"/>
      <c r="M8" s="2436"/>
      <c r="N8" s="2436"/>
      <c r="O8" s="2436"/>
      <c r="P8" s="3435" t="s">
        <v>1678</v>
      </c>
      <c r="Q8" s="3436"/>
      <c r="R8" s="664" t="s">
        <v>20</v>
      </c>
      <c r="S8" s="665">
        <f t="shared" si="0"/>
        <v>100</v>
      </c>
      <c r="T8" s="664" t="s">
        <v>20</v>
      </c>
      <c r="U8" s="665">
        <f t="shared" si="1"/>
        <v>100</v>
      </c>
      <c r="V8" s="664" t="s">
        <v>20</v>
      </c>
      <c r="W8" s="665">
        <f t="shared" si="2"/>
        <v>100</v>
      </c>
      <c r="X8" s="666"/>
      <c r="Y8" s="3435" t="s">
        <v>1678</v>
      </c>
      <c r="Z8" s="3436"/>
      <c r="AA8" s="50">
        <f t="shared" ref="AA8:AA19" si="3">D8/F8</f>
        <v>1</v>
      </c>
      <c r="AB8" s="50">
        <f t="shared" ref="AB8:AB19" si="4">D8/H8</f>
        <v>1</v>
      </c>
      <c r="AC8" s="50">
        <f t="shared" ref="AC8:AC19" si="5">D8/J8</f>
        <v>1</v>
      </c>
    </row>
    <row r="9" spans="1:29" s="102" customFormat="1">
      <c r="A9" s="359" t="s">
        <v>1679</v>
      </c>
      <c r="B9" s="60" t="s">
        <v>1680</v>
      </c>
      <c r="C9" s="360"/>
      <c r="D9" s="59">
        <v>100</v>
      </c>
      <c r="E9" s="361"/>
      <c r="F9" s="60">
        <f>SUMIF(63:63,E9,64:64)-SUMIF(63:63,C9,64:64)+100</f>
        <v>100</v>
      </c>
      <c r="G9" s="362"/>
      <c r="H9" s="59">
        <f>SUMIF(63:63,G9,64:64)-SUMIF(63:63,C9,64:64)+100</f>
        <v>100</v>
      </c>
      <c r="I9" s="362"/>
      <c r="J9" s="59">
        <f>SUMIF(63:63,I9,64:64)-SUMIF(63:63,C9,64:64)+100</f>
        <v>100</v>
      </c>
      <c r="K9" s="1744"/>
      <c r="L9" s="2485"/>
      <c r="M9" s="2436"/>
      <c r="N9" s="2436"/>
      <c r="O9" s="2436"/>
      <c r="P9" s="3411" t="s">
        <v>1681</v>
      </c>
      <c r="Q9" s="530" t="str">
        <f t="shared" ref="Q9:Q15" si="6">B9</f>
        <v>用途</v>
      </c>
      <c r="R9" s="664" t="s">
        <v>14</v>
      </c>
      <c r="S9" s="665">
        <f t="shared" si="0"/>
        <v>100</v>
      </c>
      <c r="T9" s="664" t="s">
        <v>14</v>
      </c>
      <c r="U9" s="665">
        <f t="shared" si="1"/>
        <v>100</v>
      </c>
      <c r="V9" s="664" t="s">
        <v>14</v>
      </c>
      <c r="W9" s="665">
        <f t="shared" si="2"/>
        <v>100</v>
      </c>
      <c r="X9" s="666"/>
      <c r="Y9" s="3275"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30"/>
      <c r="F10" s="364">
        <f>SUMIF(65:65,E10,66:66)-SUMIF(65:65,C10,66:66)+100</f>
        <v>100</v>
      </c>
      <c r="G10" s="3129"/>
      <c r="H10" s="119">
        <f>SUMIF(65:65,G10,66:66)-SUMIF(65:65,C10,66:66)+100</f>
        <v>100</v>
      </c>
      <c r="I10" s="3129"/>
      <c r="J10" s="119">
        <f>SUMIF(65:65,I10,66:66)-SUMIF(65:65,C10,66:66)+100</f>
        <v>100</v>
      </c>
      <c r="K10" s="1744"/>
      <c r="L10" s="2486"/>
      <c r="M10" s="2487"/>
      <c r="N10" s="2487"/>
      <c r="O10" s="2487"/>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11"/>
      <c r="Q11" s="530" t="str">
        <f t="shared" si="6"/>
        <v>容积率</v>
      </c>
      <c r="R11" s="664" t="s">
        <v>18</v>
      </c>
      <c r="S11" s="665" t="e">
        <f t="shared" si="0"/>
        <v>#N/A</v>
      </c>
      <c r="T11" s="664" t="s">
        <v>18</v>
      </c>
      <c r="U11" s="665" t="e">
        <f t="shared" si="1"/>
        <v>#N/A</v>
      </c>
      <c r="V11" s="664" t="s">
        <v>18</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5"/>
      <c r="M12" s="2436"/>
      <c r="N12" s="2436"/>
      <c r="O12" s="2436"/>
      <c r="P12" s="3411"/>
      <c r="Q12" s="530">
        <f t="shared" si="6"/>
        <v>111</v>
      </c>
      <c r="R12" s="664" t="s">
        <v>18</v>
      </c>
      <c r="S12" s="665">
        <f t="shared" si="0"/>
        <v>100</v>
      </c>
      <c r="T12" s="664" t="s">
        <v>18</v>
      </c>
      <c r="U12" s="665">
        <f t="shared" si="1"/>
        <v>100</v>
      </c>
      <c r="V12" s="664" t="s">
        <v>18</v>
      </c>
      <c r="W12" s="665">
        <f t="shared" si="2"/>
        <v>100</v>
      </c>
      <c r="X12" s="666"/>
      <c r="Y12" s="32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9"/>
      <c r="M13" s="2484"/>
      <c r="N13" s="2484"/>
      <c r="O13" s="2484"/>
      <c r="P13" s="3411"/>
      <c r="Q13" s="530">
        <f t="shared" si="6"/>
        <v>111</v>
      </c>
      <c r="R13" s="664" t="s">
        <v>18</v>
      </c>
      <c r="S13" s="665">
        <f t="shared" si="0"/>
        <v>100</v>
      </c>
      <c r="T13" s="664" t="s">
        <v>18</v>
      </c>
      <c r="U13" s="665">
        <f t="shared" si="1"/>
        <v>100</v>
      </c>
      <c r="V13" s="664" t="s">
        <v>18</v>
      </c>
      <c r="W13" s="665">
        <f t="shared" si="2"/>
        <v>100</v>
      </c>
      <c r="X13" s="666"/>
      <c r="Y13" s="3275"/>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9"/>
      <c r="M14" s="2484"/>
      <c r="N14" s="2484"/>
      <c r="O14" s="2484"/>
      <c r="P14" s="3411"/>
      <c r="Q14" s="530">
        <f t="shared" si="6"/>
        <v>111</v>
      </c>
      <c r="R14" s="664" t="s">
        <v>18</v>
      </c>
      <c r="S14" s="665">
        <f t="shared" si="0"/>
        <v>100</v>
      </c>
      <c r="T14" s="664" t="s">
        <v>18</v>
      </c>
      <c r="U14" s="665">
        <f t="shared" si="1"/>
        <v>100</v>
      </c>
      <c r="V14" s="664" t="s">
        <v>18</v>
      </c>
      <c r="W14" s="665">
        <f t="shared" si="2"/>
        <v>100</v>
      </c>
      <c r="X14" s="666"/>
      <c r="Y14" s="3275"/>
      <c r="Z14" s="50">
        <f t="shared" si="7"/>
        <v>111</v>
      </c>
      <c r="AA14" s="50">
        <f t="shared" si="3"/>
        <v>1</v>
      </c>
      <c r="AB14" s="50">
        <f t="shared" si="4"/>
        <v>1</v>
      </c>
      <c r="AC14" s="50">
        <f t="shared" si="5"/>
        <v>1</v>
      </c>
    </row>
    <row r="15" spans="1:29" ht="15">
      <c r="A15" s="379" t="s">
        <v>1685</v>
      </c>
      <c r="B15" s="58" t="s">
        <v>1252</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09" t="s">
        <v>1686</v>
      </c>
      <c r="Q15" s="1261" t="str">
        <f t="shared" si="6"/>
        <v>居住社区成熟度</v>
      </c>
      <c r="R15" s="667" t="s">
        <v>18</v>
      </c>
      <c r="S15" s="668">
        <f t="shared" si="0"/>
        <v>100</v>
      </c>
      <c r="T15" s="667" t="s">
        <v>18</v>
      </c>
      <c r="U15" s="668">
        <f t="shared" si="1"/>
        <v>100</v>
      </c>
      <c r="V15" s="667" t="s">
        <v>18</v>
      </c>
      <c r="W15" s="668">
        <f t="shared" si="2"/>
        <v>100</v>
      </c>
      <c r="X15" s="1263"/>
      <c r="Y15" s="3402" t="s">
        <v>1686</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9"/>
      <c r="M16" s="2484"/>
      <c r="N16" s="2484"/>
      <c r="O16" s="2484"/>
      <c r="P16" s="3410"/>
      <c r="Q16" s="1261"/>
      <c r="R16" s="667"/>
      <c r="S16" s="668"/>
      <c r="T16" s="667"/>
      <c r="U16" s="668"/>
      <c r="V16" s="667"/>
      <c r="W16" s="668"/>
      <c r="X16" s="1263"/>
      <c r="Y16" s="3403"/>
      <c r="Z16" s="1262"/>
      <c r="AA16" s="1262">
        <v>1</v>
      </c>
      <c r="AB16" s="1262">
        <v>1</v>
      </c>
      <c r="AC16" s="1262">
        <v>1</v>
      </c>
    </row>
    <row r="17" spans="1:29" ht="15">
      <c r="A17" s="367"/>
      <c r="B17" s="390" t="s">
        <v>1254</v>
      </c>
      <c r="C17" s="1752">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10"/>
      <c r="Q17" s="1261" t="str">
        <f>B17</f>
        <v>交通便捷度</v>
      </c>
      <c r="R17" s="667" t="s">
        <v>18</v>
      </c>
      <c r="S17" s="668">
        <f>F17</f>
        <v>100</v>
      </c>
      <c r="T17" s="667" t="s">
        <v>18</v>
      </c>
      <c r="U17" s="668">
        <f>H17</f>
        <v>100</v>
      </c>
      <c r="V17" s="667" t="s">
        <v>18</v>
      </c>
      <c r="W17" s="668">
        <f>J17</f>
        <v>100</v>
      </c>
      <c r="X17" s="1263"/>
      <c r="Y17" s="3403"/>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9"/>
      <c r="M18" s="2484"/>
      <c r="N18" s="2484"/>
      <c r="O18" s="2484"/>
      <c r="P18" s="3410"/>
      <c r="Q18" s="1261"/>
      <c r="R18" s="667"/>
      <c r="S18" s="668"/>
      <c r="T18" s="667"/>
      <c r="U18" s="668"/>
      <c r="V18" s="667"/>
      <c r="W18" s="668"/>
      <c r="X18" s="1263"/>
      <c r="Y18" s="3403"/>
      <c r="Z18" s="1262"/>
      <c r="AA18" s="1262">
        <v>1</v>
      </c>
      <c r="AB18" s="1262">
        <v>1</v>
      </c>
      <c r="AC18" s="1262">
        <v>1</v>
      </c>
    </row>
    <row r="19" spans="1:29" ht="15">
      <c r="A19" s="367"/>
      <c r="B19" s="390" t="s">
        <v>1253</v>
      </c>
      <c r="C19" s="1752">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10"/>
      <c r="Q19" s="1261" t="str">
        <f>B19</f>
        <v>公共配套设施</v>
      </c>
      <c r="R19" s="667" t="s">
        <v>18</v>
      </c>
      <c r="S19" s="668">
        <f>F19</f>
        <v>100</v>
      </c>
      <c r="T19" s="667" t="s">
        <v>18</v>
      </c>
      <c r="U19" s="668">
        <f>H19</f>
        <v>100</v>
      </c>
      <c r="V19" s="667" t="s">
        <v>18</v>
      </c>
      <c r="W19" s="668">
        <f>J19</f>
        <v>100</v>
      </c>
      <c r="X19" s="1263"/>
      <c r="Y19" s="3403"/>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9"/>
      <c r="M20" s="2484"/>
      <c r="N20" s="2484"/>
      <c r="O20" s="2484"/>
      <c r="P20" s="3410"/>
      <c r="Q20" s="1261"/>
      <c r="R20" s="667"/>
      <c r="S20" s="668"/>
      <c r="T20" s="667"/>
      <c r="U20" s="668"/>
      <c r="V20" s="667"/>
      <c r="W20" s="668"/>
      <c r="X20" s="1263"/>
      <c r="Y20" s="3403"/>
      <c r="Z20" s="1262"/>
      <c r="AA20" s="1262">
        <v>1</v>
      </c>
      <c r="AB20" s="1262">
        <v>1</v>
      </c>
      <c r="AC20" s="1262">
        <v>1</v>
      </c>
    </row>
    <row r="21" spans="1:29" ht="15">
      <c r="A21" s="367"/>
      <c r="B21" s="586" t="s">
        <v>1255</v>
      </c>
      <c r="C21" s="1752">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10"/>
      <c r="Q21" s="1261" t="str">
        <f>B21</f>
        <v>基础设施水平</v>
      </c>
      <c r="R21" s="667" t="s">
        <v>14</v>
      </c>
      <c r="S21" s="668">
        <f>F21</f>
        <v>100</v>
      </c>
      <c r="T21" s="667" t="s">
        <v>14</v>
      </c>
      <c r="U21" s="668">
        <f>H21</f>
        <v>100</v>
      </c>
      <c r="V21" s="667" t="s">
        <v>14</v>
      </c>
      <c r="W21" s="668">
        <f>J21</f>
        <v>100</v>
      </c>
      <c r="X21" s="1263"/>
      <c r="Y21" s="340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9"/>
      <c r="M22" s="2484"/>
      <c r="N22" s="2484"/>
      <c r="O22" s="2484"/>
      <c r="P22" s="3410"/>
      <c r="Q22" s="1261"/>
      <c r="R22" s="667"/>
      <c r="S22" s="668"/>
      <c r="T22" s="667"/>
      <c r="U22" s="668"/>
      <c r="V22" s="667"/>
      <c r="W22" s="668"/>
      <c r="X22" s="1263"/>
      <c r="Y22" s="3403"/>
      <c r="Z22" s="1262"/>
      <c r="AA22" s="1262">
        <v>1</v>
      </c>
      <c r="AB22" s="1262">
        <v>1</v>
      </c>
      <c r="AC22" s="1262">
        <v>1</v>
      </c>
    </row>
    <row r="23" spans="1:29" ht="15">
      <c r="A23" s="367"/>
      <c r="B23" s="390" t="s">
        <v>1256</v>
      </c>
      <c r="C23" s="1752">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10"/>
      <c r="Q23" s="1261" t="str">
        <f>B23</f>
        <v>自然及人文环境</v>
      </c>
      <c r="R23" s="667" t="s">
        <v>18</v>
      </c>
      <c r="S23" s="668">
        <f>F23</f>
        <v>100</v>
      </c>
      <c r="T23" s="667" t="s">
        <v>18</v>
      </c>
      <c r="U23" s="668">
        <f>H23</f>
        <v>100</v>
      </c>
      <c r="V23" s="667" t="s">
        <v>18</v>
      </c>
      <c r="W23" s="668">
        <f>J23</f>
        <v>100</v>
      </c>
      <c r="X23" s="1263"/>
      <c r="Y23" s="3403"/>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9"/>
      <c r="M24" s="2484"/>
      <c r="N24" s="2484"/>
      <c r="O24" s="2484"/>
      <c r="P24" s="3410"/>
      <c r="Q24" s="1261"/>
      <c r="R24" s="667"/>
      <c r="S24" s="668"/>
      <c r="T24" s="667"/>
      <c r="U24" s="668"/>
      <c r="V24" s="667"/>
      <c r="W24" s="668"/>
      <c r="X24" s="1263"/>
      <c r="Y24" s="3403"/>
      <c r="Z24" s="1262"/>
      <c r="AA24" s="1262">
        <v>1</v>
      </c>
      <c r="AB24" s="1262">
        <v>1</v>
      </c>
      <c r="AC24" s="1262">
        <v>1</v>
      </c>
    </row>
    <row r="25" spans="1:29" ht="15">
      <c r="A25" s="367"/>
      <c r="B25" s="364" t="s">
        <v>1687</v>
      </c>
      <c r="C25" s="399"/>
      <c r="D25" s="374">
        <v>100</v>
      </c>
      <c r="E25" s="1758"/>
      <c r="F25" s="374">
        <f>SUMIF(86:86,E25,87:87)-SUMIF(86:86,C25,87:87)+100</f>
        <v>100</v>
      </c>
      <c r="G25" s="1759"/>
      <c r="H25" s="374">
        <f>SUMIF(86:86,G25,87:87)-SUMIF(86:86,C25,87:87)+100</f>
        <v>100</v>
      </c>
      <c r="I25" s="1759"/>
      <c r="J25" s="374">
        <f>SUMIF(86:86,I25,87:87)-SUMIF(86:86,C25,87:87)+100</f>
        <v>100</v>
      </c>
      <c r="K25" s="365"/>
      <c r="L25" s="2489"/>
      <c r="M25" s="2484"/>
      <c r="N25" s="2484"/>
      <c r="O25" s="2484"/>
      <c r="P25" s="3410"/>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03"/>
      <c r="Z25" s="1262" t="str">
        <f>Q25</f>
        <v>楼层-1</v>
      </c>
      <c r="AA25" s="1262">
        <f t="shared" ref="AA25:AA46" si="15">D25/F25</f>
        <v>1</v>
      </c>
      <c r="AB25" s="1262">
        <f t="shared" ref="AB25:AB46" si="16">D25/H25</f>
        <v>1</v>
      </c>
      <c r="AC25" s="1262">
        <f t="shared" ref="AC25:AC46" si="17">D25/J25</f>
        <v>1</v>
      </c>
    </row>
    <row r="26" spans="1:29" ht="15">
      <c r="A26" s="367"/>
      <c r="B26" s="364" t="s">
        <v>1688</v>
      </c>
      <c r="C26" s="399"/>
      <c r="D26" s="374">
        <v>100</v>
      </c>
      <c r="E26" s="1758"/>
      <c r="F26" s="374">
        <f>SUMIF(88:88,E26,89:89)-SUMIF(88:88,C26,89:89)+100</f>
        <v>100</v>
      </c>
      <c r="G26" s="1759"/>
      <c r="H26" s="374">
        <f>SUMIF(88:88,G26,89:89)-SUMIF(88:88,C26,89:89)+100</f>
        <v>100</v>
      </c>
      <c r="I26" s="1759"/>
      <c r="J26" s="374">
        <f>SUMIF(88:88,I26,89:89)-SUMIF(88:88,C26,89:89)+100</f>
        <v>100</v>
      </c>
      <c r="K26" s="365"/>
      <c r="L26" s="2489"/>
      <c r="M26" s="2484"/>
      <c r="N26" s="2484"/>
      <c r="O26" s="2484"/>
      <c r="P26" s="3410"/>
      <c r="Q26" s="1261" t="str">
        <f t="shared" si="11"/>
        <v>朝向</v>
      </c>
      <c r="R26" s="667" t="s">
        <v>18</v>
      </c>
      <c r="S26" s="668">
        <f t="shared" si="12"/>
        <v>100</v>
      </c>
      <c r="T26" s="667" t="s">
        <v>18</v>
      </c>
      <c r="U26" s="668">
        <f t="shared" si="13"/>
        <v>100</v>
      </c>
      <c r="V26" s="667" t="s">
        <v>18</v>
      </c>
      <c r="W26" s="668">
        <f t="shared" si="14"/>
        <v>100</v>
      </c>
      <c r="X26" s="1263"/>
      <c r="Y26" s="3403"/>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5"/>
      <c r="M27" s="2436"/>
      <c r="N27" s="2436"/>
      <c r="O27" s="2436"/>
      <c r="P27" s="3410"/>
      <c r="Q27" s="530">
        <f t="shared" si="11"/>
        <v>111</v>
      </c>
      <c r="R27" s="664" t="s">
        <v>18</v>
      </c>
      <c r="S27" s="665">
        <f t="shared" si="12"/>
        <v>100</v>
      </c>
      <c r="T27" s="664" t="s">
        <v>18</v>
      </c>
      <c r="U27" s="665">
        <f t="shared" si="13"/>
        <v>100</v>
      </c>
      <c r="V27" s="664" t="s">
        <v>18</v>
      </c>
      <c r="W27" s="665">
        <f t="shared" si="14"/>
        <v>100</v>
      </c>
      <c r="X27" s="666"/>
      <c r="Y27" s="3403"/>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9"/>
      <c r="M28" s="2484"/>
      <c r="N28" s="2484"/>
      <c r="O28" s="2484"/>
      <c r="P28" s="3410"/>
      <c r="Q28" s="1261">
        <f t="shared" si="11"/>
        <v>111</v>
      </c>
      <c r="R28" s="667" t="s">
        <v>18</v>
      </c>
      <c r="S28" s="668">
        <f t="shared" si="12"/>
        <v>100</v>
      </c>
      <c r="T28" s="667" t="s">
        <v>18</v>
      </c>
      <c r="U28" s="668">
        <f t="shared" si="13"/>
        <v>100</v>
      </c>
      <c r="V28" s="667" t="s">
        <v>18</v>
      </c>
      <c r="W28" s="668">
        <f t="shared" si="14"/>
        <v>100</v>
      </c>
      <c r="X28" s="1263"/>
      <c r="Y28" s="3403"/>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9"/>
      <c r="M29" s="2484"/>
      <c r="N29" s="2484"/>
      <c r="O29" s="2484"/>
      <c r="P29" s="3410"/>
      <c r="Q29" s="1261">
        <f t="shared" si="11"/>
        <v>111</v>
      </c>
      <c r="R29" s="667" t="s">
        <v>18</v>
      </c>
      <c r="S29" s="668">
        <f t="shared" si="12"/>
        <v>100</v>
      </c>
      <c r="T29" s="667" t="s">
        <v>18</v>
      </c>
      <c r="U29" s="668">
        <f t="shared" si="13"/>
        <v>100</v>
      </c>
      <c r="V29" s="667" t="s">
        <v>18</v>
      </c>
      <c r="W29" s="668">
        <f t="shared" si="14"/>
        <v>100</v>
      </c>
      <c r="X29" s="1263"/>
      <c r="Y29" s="3403"/>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9"/>
      <c r="M30" s="2484"/>
      <c r="N30" s="2484"/>
      <c r="O30" s="2484"/>
      <c r="P30" s="3410"/>
      <c r="Q30" s="1261">
        <f t="shared" si="11"/>
        <v>111</v>
      </c>
      <c r="R30" s="667" t="s">
        <v>18</v>
      </c>
      <c r="S30" s="668">
        <f t="shared" si="12"/>
        <v>100</v>
      </c>
      <c r="T30" s="667" t="s">
        <v>18</v>
      </c>
      <c r="U30" s="668">
        <f t="shared" si="13"/>
        <v>100</v>
      </c>
      <c r="V30" s="667" t="s">
        <v>18</v>
      </c>
      <c r="W30" s="668">
        <f t="shared" si="14"/>
        <v>100</v>
      </c>
      <c r="X30" s="1263"/>
      <c r="Y30" s="3403"/>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9"/>
      <c r="M31" s="2484"/>
      <c r="N31" s="2484"/>
      <c r="O31" s="2484"/>
      <c r="P31" s="3410"/>
      <c r="Q31" s="1261">
        <f t="shared" si="11"/>
        <v>111</v>
      </c>
      <c r="R31" s="667" t="s">
        <v>18</v>
      </c>
      <c r="S31" s="668">
        <f t="shared" si="12"/>
        <v>100</v>
      </c>
      <c r="T31" s="667" t="s">
        <v>18</v>
      </c>
      <c r="U31" s="668">
        <f t="shared" si="13"/>
        <v>100</v>
      </c>
      <c r="V31" s="667" t="s">
        <v>18</v>
      </c>
      <c r="W31" s="668">
        <f t="shared" si="14"/>
        <v>100</v>
      </c>
      <c r="X31" s="1263"/>
      <c r="Y31" s="3403"/>
      <c r="Z31" s="1262">
        <f t="shared" si="18"/>
        <v>111</v>
      </c>
      <c r="AA31" s="1262">
        <f t="shared" si="15"/>
        <v>1</v>
      </c>
      <c r="AB31" s="1262">
        <f t="shared" si="16"/>
        <v>1</v>
      </c>
      <c r="AC31" s="1262">
        <f t="shared" si="17"/>
        <v>1</v>
      </c>
    </row>
    <row r="32" spans="1:29" ht="15">
      <c r="A32" s="379" t="s">
        <v>1689</v>
      </c>
      <c r="B32" s="60" t="s">
        <v>1690</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9"/>
      <c r="M32" s="2484"/>
      <c r="N32" s="2484"/>
      <c r="O32" s="2484"/>
      <c r="P32" s="3404" t="s">
        <v>1691</v>
      </c>
      <c r="Q32" s="1261" t="str">
        <f t="shared" si="11"/>
        <v>建筑类型</v>
      </c>
      <c r="R32" s="667" t="s">
        <v>18</v>
      </c>
      <c r="S32" s="668">
        <f t="shared" si="12"/>
        <v>100</v>
      </c>
      <c r="T32" s="667" t="s">
        <v>18</v>
      </c>
      <c r="U32" s="668">
        <f t="shared" si="13"/>
        <v>100</v>
      </c>
      <c r="V32" s="667" t="s">
        <v>18</v>
      </c>
      <c r="W32" s="668">
        <f t="shared" si="14"/>
        <v>100</v>
      </c>
      <c r="X32" s="1263"/>
      <c r="Y32" s="3407" t="s">
        <v>1691</v>
      </c>
      <c r="Z32" s="1262" t="str">
        <f t="shared" si="18"/>
        <v>建筑类型</v>
      </c>
      <c r="AA32" s="1262">
        <f t="shared" si="15"/>
        <v>1</v>
      </c>
      <c r="AB32" s="1262">
        <f t="shared" si="16"/>
        <v>1</v>
      </c>
      <c r="AC32" s="1262">
        <f t="shared" si="17"/>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8"/>
      <c r="M33" s="2490"/>
      <c r="N33" s="2490"/>
      <c r="O33" s="2490"/>
      <c r="P33" s="3405"/>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2" t="e">
        <f t="shared" si="15"/>
        <v>#N/A</v>
      </c>
      <c r="AB33" s="1262" t="e">
        <f t="shared" si="16"/>
        <v>#N/A</v>
      </c>
      <c r="AC33" s="1262" t="e">
        <f t="shared" si="17"/>
        <v>#N/A</v>
      </c>
    </row>
    <row r="34" spans="1:29" ht="15">
      <c r="A34" s="409"/>
      <c r="B34" s="364" t="s">
        <v>1693</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9"/>
      <c r="M34" s="2484"/>
      <c r="N34" s="2484"/>
      <c r="O34" s="2484"/>
      <c r="P34" s="3405"/>
      <c r="Q34" s="1261" t="str">
        <f t="shared" si="11"/>
        <v>建筑结构</v>
      </c>
      <c r="R34" s="667" t="s">
        <v>18</v>
      </c>
      <c r="S34" s="668">
        <f t="shared" si="12"/>
        <v>100</v>
      </c>
      <c r="T34" s="667" t="s">
        <v>18</v>
      </c>
      <c r="U34" s="668">
        <f t="shared" si="13"/>
        <v>100</v>
      </c>
      <c r="V34" s="667" t="s">
        <v>18</v>
      </c>
      <c r="W34" s="668">
        <f t="shared" si="14"/>
        <v>100</v>
      </c>
      <c r="X34" s="1263"/>
      <c r="Y34" s="3407"/>
      <c r="Z34" s="1262" t="str">
        <f t="shared" si="18"/>
        <v>建筑结构</v>
      </c>
      <c r="AA34" s="1262">
        <f t="shared" si="15"/>
        <v>1</v>
      </c>
      <c r="AB34" s="1262">
        <f t="shared" si="16"/>
        <v>1</v>
      </c>
      <c r="AC34" s="1262">
        <f t="shared" si="17"/>
        <v>1</v>
      </c>
    </row>
    <row r="35" spans="1:29" ht="15">
      <c r="A35" s="409"/>
      <c r="B35" s="364" t="s">
        <v>1694</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9"/>
      <c r="M35" s="2484"/>
      <c r="N35" s="2484"/>
      <c r="O35" s="2484"/>
      <c r="P35" s="3405"/>
      <c r="Q35" s="1261" t="str">
        <f t="shared" si="11"/>
        <v>建筑品质</v>
      </c>
      <c r="R35" s="667" t="s">
        <v>18</v>
      </c>
      <c r="S35" s="668">
        <f t="shared" si="12"/>
        <v>100</v>
      </c>
      <c r="T35" s="667" t="s">
        <v>18</v>
      </c>
      <c r="U35" s="668">
        <f t="shared" si="13"/>
        <v>100</v>
      </c>
      <c r="V35" s="667" t="s">
        <v>18</v>
      </c>
      <c r="W35" s="668">
        <f t="shared" si="14"/>
        <v>100</v>
      </c>
      <c r="X35" s="1263"/>
      <c r="Y35" s="3407"/>
      <c r="Z35" s="1262" t="str">
        <f t="shared" si="18"/>
        <v>建筑品质</v>
      </c>
      <c r="AA35" s="1262">
        <f t="shared" si="15"/>
        <v>1</v>
      </c>
      <c r="AB35" s="1262">
        <f t="shared" si="16"/>
        <v>1</v>
      </c>
      <c r="AC35" s="1262">
        <f t="shared" si="17"/>
        <v>1</v>
      </c>
    </row>
    <row r="36" spans="1:29" ht="15">
      <c r="A36" s="409"/>
      <c r="B36" s="364" t="s">
        <v>1695</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9"/>
      <c r="M36" s="2484"/>
      <c r="N36" s="2484"/>
      <c r="O36" s="2484"/>
      <c r="P36" s="3405"/>
      <c r="Q36" s="1261" t="str">
        <f t="shared" si="11"/>
        <v>公共部分装修</v>
      </c>
      <c r="R36" s="667" t="s">
        <v>18</v>
      </c>
      <c r="S36" s="668">
        <f t="shared" si="12"/>
        <v>100</v>
      </c>
      <c r="T36" s="667" t="s">
        <v>18</v>
      </c>
      <c r="U36" s="668">
        <f t="shared" si="13"/>
        <v>100</v>
      </c>
      <c r="V36" s="667" t="s">
        <v>18</v>
      </c>
      <c r="W36" s="668">
        <f t="shared" si="14"/>
        <v>100</v>
      </c>
      <c r="X36" s="1263"/>
      <c r="Y36" s="3407"/>
      <c r="Z36" s="1262" t="str">
        <f t="shared" si="18"/>
        <v>公共部分装修</v>
      </c>
      <c r="AA36" s="1262">
        <f t="shared" si="15"/>
        <v>1</v>
      </c>
      <c r="AB36" s="1262">
        <f t="shared" si="16"/>
        <v>1</v>
      </c>
      <c r="AC36" s="1262">
        <f t="shared" si="17"/>
        <v>1</v>
      </c>
    </row>
    <row r="37" spans="1:29" s="102" customFormat="1" ht="15">
      <c r="A37" s="410"/>
      <c r="B37" s="364" t="s">
        <v>1696</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6"/>
      <c r="N37" s="2436"/>
      <c r="O37" s="2436"/>
      <c r="P37" s="3405"/>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1697</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9"/>
      <c r="M38" s="2484"/>
      <c r="N38" s="2484"/>
      <c r="O38" s="2484"/>
      <c r="P38" s="3405" t="s">
        <v>1691</v>
      </c>
      <c r="Q38" s="1261" t="str">
        <f t="shared" si="11"/>
        <v>物业管理</v>
      </c>
      <c r="R38" s="667" t="s">
        <v>18</v>
      </c>
      <c r="S38" s="668">
        <f t="shared" si="12"/>
        <v>100</v>
      </c>
      <c r="T38" s="667" t="s">
        <v>18</v>
      </c>
      <c r="U38" s="668">
        <f t="shared" si="13"/>
        <v>100</v>
      </c>
      <c r="V38" s="667" t="s">
        <v>18</v>
      </c>
      <c r="W38" s="668">
        <f t="shared" si="14"/>
        <v>100</v>
      </c>
      <c r="X38" s="1263"/>
      <c r="Y38" s="3407" t="s">
        <v>1691</v>
      </c>
      <c r="Z38" s="1262" t="str">
        <f t="shared" si="18"/>
        <v>物业管理</v>
      </c>
      <c r="AA38" s="1262">
        <f t="shared" si="15"/>
        <v>1</v>
      </c>
      <c r="AB38" s="1262">
        <f t="shared" si="16"/>
        <v>1</v>
      </c>
      <c r="AC38" s="1262">
        <f t="shared" si="17"/>
        <v>1</v>
      </c>
    </row>
    <row r="39" spans="1:29" ht="15">
      <c r="A39" s="409"/>
      <c r="B39" s="364" t="s">
        <v>1698</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9"/>
      <c r="M39" s="2484"/>
      <c r="N39" s="2484"/>
      <c r="O39" s="2484"/>
      <c r="P39" s="3405"/>
      <c r="Q39" s="1261" t="str">
        <f t="shared" si="11"/>
        <v>市政基础设施</v>
      </c>
      <c r="R39" s="667" t="s">
        <v>18</v>
      </c>
      <c r="S39" s="668">
        <f t="shared" si="12"/>
        <v>100</v>
      </c>
      <c r="T39" s="667" t="s">
        <v>18</v>
      </c>
      <c r="U39" s="668">
        <f t="shared" si="13"/>
        <v>100</v>
      </c>
      <c r="V39" s="667" t="s">
        <v>18</v>
      </c>
      <c r="W39" s="668">
        <f t="shared" si="14"/>
        <v>100</v>
      </c>
      <c r="X39" s="1263"/>
      <c r="Y39" s="3407"/>
      <c r="Z39" s="1262" t="str">
        <f t="shared" si="18"/>
        <v>市政基础设施</v>
      </c>
      <c r="AA39" s="1262">
        <f t="shared" si="15"/>
        <v>1</v>
      </c>
      <c r="AB39" s="1262">
        <f t="shared" si="16"/>
        <v>1</v>
      </c>
      <c r="AC39" s="1262">
        <f t="shared" si="17"/>
        <v>1</v>
      </c>
    </row>
    <row r="40" spans="1:29" ht="15">
      <c r="A40" s="409"/>
      <c r="B40" s="364" t="s">
        <v>1699</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9"/>
      <c r="M40" s="2484"/>
      <c r="N40" s="2484"/>
      <c r="O40" s="2484"/>
      <c r="P40" s="3405"/>
      <c r="Q40" s="1261" t="str">
        <f t="shared" si="11"/>
        <v>房型</v>
      </c>
      <c r="R40" s="667" t="s">
        <v>18</v>
      </c>
      <c r="S40" s="668">
        <f t="shared" si="12"/>
        <v>100</v>
      </c>
      <c r="T40" s="667" t="s">
        <v>18</v>
      </c>
      <c r="U40" s="668">
        <f t="shared" si="13"/>
        <v>100</v>
      </c>
      <c r="V40" s="667" t="s">
        <v>18</v>
      </c>
      <c r="W40" s="668">
        <f t="shared" si="14"/>
        <v>100</v>
      </c>
      <c r="X40" s="1263"/>
      <c r="Y40" s="3407"/>
      <c r="Z40" s="1262" t="str">
        <f t="shared" si="18"/>
        <v>房型</v>
      </c>
      <c r="AA40" s="1262">
        <f t="shared" si="15"/>
        <v>1</v>
      </c>
      <c r="AB40" s="1262">
        <f t="shared" si="16"/>
        <v>1</v>
      </c>
      <c r="AC40" s="1262">
        <f t="shared" si="17"/>
        <v>1</v>
      </c>
    </row>
    <row r="41" spans="1:29" s="408" customFormat="1" ht="28.5">
      <c r="A41" s="406"/>
      <c r="B41" s="364" t="s">
        <v>1700</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8"/>
      <c r="M41" s="2490"/>
      <c r="N41" s="2490"/>
      <c r="O41" s="2490"/>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2">
        <f t="shared" si="15"/>
        <v>1</v>
      </c>
      <c r="AB41" s="1262">
        <f t="shared" si="16"/>
        <v>1</v>
      </c>
      <c r="AC41" s="1262">
        <f t="shared" si="17"/>
        <v>1</v>
      </c>
    </row>
    <row r="42" spans="1:29" ht="15">
      <c r="A42" s="409"/>
      <c r="B42" s="364" t="s">
        <v>1701</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9"/>
      <c r="M42" s="2484"/>
      <c r="N42" s="2484"/>
      <c r="O42" s="2484"/>
      <c r="P42" s="3405"/>
      <c r="Q42" s="1261" t="str">
        <f t="shared" si="11"/>
        <v>内部装修</v>
      </c>
      <c r="R42" s="667" t="s">
        <v>18</v>
      </c>
      <c r="S42" s="668">
        <f t="shared" si="12"/>
        <v>100</v>
      </c>
      <c r="T42" s="667" t="s">
        <v>18</v>
      </c>
      <c r="U42" s="668">
        <f t="shared" si="13"/>
        <v>100</v>
      </c>
      <c r="V42" s="667" t="s">
        <v>18</v>
      </c>
      <c r="W42" s="668">
        <f t="shared" si="14"/>
        <v>100</v>
      </c>
      <c r="X42" s="1263"/>
      <c r="Y42" s="3407"/>
      <c r="Z42" s="1262" t="str">
        <f t="shared" si="18"/>
        <v>内部装修</v>
      </c>
      <c r="AA42" s="1262">
        <f t="shared" si="15"/>
        <v>1</v>
      </c>
      <c r="AB42" s="1262">
        <f t="shared" si="16"/>
        <v>1</v>
      </c>
      <c r="AC42" s="1262">
        <f t="shared" si="17"/>
        <v>1</v>
      </c>
    </row>
    <row r="43" spans="1:29" ht="15">
      <c r="A43" s="409"/>
      <c r="B43" s="364" t="s">
        <v>1702</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9"/>
      <c r="M43" s="2484"/>
      <c r="N43" s="2484"/>
      <c r="O43" s="2484"/>
      <c r="P43" s="3405"/>
      <c r="Q43" s="1261" t="str">
        <f t="shared" si="11"/>
        <v>内部装修维护情况</v>
      </c>
      <c r="R43" s="667" t="s">
        <v>18</v>
      </c>
      <c r="S43" s="668">
        <f t="shared" si="12"/>
        <v>100</v>
      </c>
      <c r="T43" s="667" t="s">
        <v>18</v>
      </c>
      <c r="U43" s="668">
        <f t="shared" si="13"/>
        <v>100</v>
      </c>
      <c r="V43" s="667" t="s">
        <v>18</v>
      </c>
      <c r="W43" s="668">
        <f t="shared" si="14"/>
        <v>100</v>
      </c>
      <c r="X43" s="1263"/>
      <c r="Y43" s="3407"/>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5"/>
      <c r="M44" s="2436"/>
      <c r="N44" s="2436"/>
      <c r="O44" s="2436"/>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9"/>
      <c r="M45" s="2484"/>
      <c r="N45" s="2484"/>
      <c r="O45" s="2484"/>
      <c r="P45" s="3405"/>
      <c r="Q45" s="1261">
        <f t="shared" si="11"/>
        <v>111</v>
      </c>
      <c r="R45" s="667" t="s">
        <v>18</v>
      </c>
      <c r="S45" s="668">
        <f t="shared" si="12"/>
        <v>100</v>
      </c>
      <c r="T45" s="667" t="s">
        <v>18</v>
      </c>
      <c r="U45" s="668">
        <f t="shared" si="13"/>
        <v>100</v>
      </c>
      <c r="V45" s="667" t="s">
        <v>18</v>
      </c>
      <c r="W45" s="668">
        <f t="shared" si="14"/>
        <v>100</v>
      </c>
      <c r="X45" s="1263"/>
      <c r="Y45" s="3407"/>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9"/>
      <c r="M46" s="2484"/>
      <c r="N46" s="2484"/>
      <c r="O46" s="2484"/>
      <c r="P46" s="3406"/>
      <c r="Q46" s="1261">
        <f t="shared" si="11"/>
        <v>111</v>
      </c>
      <c r="R46" s="667" t="s">
        <v>17</v>
      </c>
      <c r="S46" s="668">
        <f t="shared" si="12"/>
        <v>100</v>
      </c>
      <c r="T46" s="667" t="s">
        <v>17</v>
      </c>
      <c r="U46" s="668">
        <f t="shared" si="13"/>
        <v>100</v>
      </c>
      <c r="V46" s="667" t="s">
        <v>17</v>
      </c>
      <c r="W46" s="668">
        <f t="shared" si="14"/>
        <v>100</v>
      </c>
      <c r="X46" s="1263"/>
      <c r="Y46" s="3408"/>
      <c r="Z46" s="1262">
        <f t="shared" si="18"/>
        <v>111</v>
      </c>
      <c r="AA46" s="1262">
        <f t="shared" si="15"/>
        <v>1</v>
      </c>
      <c r="AB46" s="1262">
        <f t="shared" si="16"/>
        <v>1</v>
      </c>
      <c r="AC46" s="1262">
        <f t="shared" si="17"/>
        <v>1</v>
      </c>
    </row>
    <row r="47" spans="1:29" ht="15">
      <c r="A47" s="416" t="s">
        <v>1703</v>
      </c>
      <c r="B47" s="417"/>
      <c r="C47" s="1079" t="s">
        <v>16</v>
      </c>
      <c r="D47" s="418"/>
      <c r="E47" s="419"/>
      <c r="F47" s="420"/>
      <c r="G47" s="421"/>
      <c r="H47" s="422"/>
      <c r="I47" s="419"/>
      <c r="J47" s="422"/>
      <c r="K47" s="1765"/>
      <c r="L47" s="2491"/>
      <c r="M47" s="2484"/>
      <c r="N47" s="2484"/>
      <c r="O47" s="2484"/>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75" thickBot="1">
      <c r="A48" s="423" t="s">
        <v>1704</v>
      </c>
      <c r="B48" s="424"/>
      <c r="C48" s="1080" t="e">
        <f>R49</f>
        <v>#DIV/0!</v>
      </c>
      <c r="D48" s="2139" t="s">
        <v>2133</v>
      </c>
      <c r="E48" s="1081" t="e">
        <f>R48</f>
        <v>#DIV/0!</v>
      </c>
      <c r="F48" s="2140"/>
      <c r="G48" s="1080" t="e">
        <f>T48</f>
        <v>#DIV/0!</v>
      </c>
      <c r="H48" s="2140"/>
      <c r="I48" s="1081" t="e">
        <f>V48</f>
        <v>#DIV/0!</v>
      </c>
      <c r="J48" s="2140"/>
      <c r="K48" s="2141">
        <f>F48+H48+J48</f>
        <v>0</v>
      </c>
      <c r="L48" s="2491"/>
      <c r="M48" s="2484"/>
      <c r="N48" s="2484"/>
      <c r="O48" s="2484"/>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75" thickBot="1">
      <c r="A49" s="427" t="s">
        <v>1705</v>
      </c>
      <c r="B49" s="428"/>
      <c r="C49" s="1082" t="e">
        <f>R49</f>
        <v>#DIV/0!</v>
      </c>
      <c r="D49" s="351"/>
      <c r="E49" s="351"/>
      <c r="F49" s="351"/>
      <c r="G49" s="351"/>
      <c r="H49" s="351"/>
      <c r="I49" s="351"/>
      <c r="J49" s="351"/>
      <c r="K49" s="1766"/>
      <c r="L49" s="2491"/>
      <c r="M49" s="2484"/>
      <c r="N49" s="2484"/>
      <c r="O49" s="2484"/>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1706</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1707</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1708</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8"/>
    </row>
    <row r="55" spans="1:29" s="437" customFormat="1">
      <c r="A55" s="2494"/>
      <c r="B55" s="2497"/>
      <c r="C55" s="2498"/>
      <c r="D55" s="2494"/>
      <c r="E55" s="2494"/>
      <c r="F55" s="2494"/>
      <c r="G55" s="2494"/>
      <c r="H55" s="2494"/>
      <c r="I55" s="2494"/>
      <c r="J55" s="2494"/>
      <c r="K55" s="2499"/>
      <c r="L55" s="2493"/>
      <c r="M55" s="2494"/>
      <c r="N55" s="2494"/>
      <c r="O55" s="2494"/>
      <c r="P55" s="1768"/>
    </row>
    <row r="56" spans="1:29">
      <c r="A56" s="2484"/>
      <c r="B56" s="2497"/>
      <c r="C56" s="2498"/>
      <c r="D56" s="2484"/>
      <c r="E56" s="2484"/>
      <c r="F56" s="2484"/>
      <c r="G56" s="2484"/>
      <c r="H56" s="2484"/>
      <c r="I56" s="2484"/>
      <c r="J56" s="2484"/>
      <c r="K56" s="2496"/>
      <c r="L56" s="2492"/>
      <c r="M56" s="2484"/>
      <c r="N56" s="2484"/>
      <c r="O56" s="2484"/>
    </row>
    <row r="57" spans="1:29" ht="21.75" thickBot="1">
      <c r="A57" s="658" t="s">
        <v>1709</v>
      </c>
      <c r="B57" s="385"/>
      <c r="C57" s="659"/>
      <c r="D57" s="659"/>
      <c r="E57" s="659"/>
      <c r="F57" s="660"/>
      <c r="G57" s="660"/>
      <c r="H57" s="659"/>
      <c r="I57" s="659"/>
      <c r="J57" s="659"/>
      <c r="K57" s="885"/>
      <c r="L57" s="886"/>
      <c r="M57" s="884"/>
      <c r="N57" s="884"/>
      <c r="O57" s="884"/>
      <c r="P57" s="1769"/>
      <c r="Q57" s="439"/>
    </row>
    <row r="58" spans="1:29" s="442" customFormat="1" ht="15">
      <c r="A58" s="440" t="s">
        <v>1710</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1711</v>
      </c>
      <c r="B60" s="450"/>
      <c r="C60" s="451"/>
      <c r="D60" s="452"/>
      <c r="E60" s="452"/>
      <c r="F60" s="452"/>
      <c r="G60" s="452"/>
      <c r="H60" s="452"/>
      <c r="I60" s="452"/>
      <c r="J60" s="452"/>
      <c r="K60" s="452"/>
      <c r="L60" s="452"/>
      <c r="M60" s="453"/>
      <c r="N60" s="452"/>
      <c r="O60" s="453"/>
      <c r="P60" s="1771"/>
      <c r="Q60" s="439"/>
    </row>
    <row r="61" spans="1:29" s="102" customFormat="1" ht="15">
      <c r="A61" s="455" t="s">
        <v>1712</v>
      </c>
      <c r="B61" s="444"/>
      <c r="C61" s="456" t="s">
        <v>1713</v>
      </c>
      <c r="D61" s="31"/>
      <c r="E61" s="31"/>
      <c r="F61" s="31"/>
      <c r="G61" s="31"/>
      <c r="H61" s="31"/>
      <c r="I61" s="31"/>
      <c r="J61" s="31"/>
      <c r="K61" s="31"/>
      <c r="L61" s="457"/>
      <c r="M61" s="458"/>
      <c r="N61" s="876"/>
      <c r="O61" s="876"/>
      <c r="P61" s="1772"/>
      <c r="Q61" s="439"/>
    </row>
    <row r="62" spans="1:29" s="102" customFormat="1" ht="15.75" thickBot="1">
      <c r="A62" s="455"/>
      <c r="B62" s="444"/>
      <c r="C62" s="445">
        <v>100</v>
      </c>
      <c r="D62" s="446"/>
      <c r="E62" s="446"/>
      <c r="F62" s="446"/>
      <c r="G62" s="446"/>
      <c r="H62" s="446"/>
      <c r="I62" s="446"/>
      <c r="J62" s="446"/>
      <c r="K62" s="446"/>
      <c r="L62" s="446"/>
      <c r="M62" s="448"/>
      <c r="N62" s="876"/>
      <c r="O62" s="876"/>
      <c r="P62" s="1771"/>
      <c r="Q62" s="439"/>
    </row>
    <row r="63" spans="1:29">
      <c r="A63" s="379" t="s">
        <v>1714</v>
      </c>
      <c r="B63" s="460" t="s">
        <v>1680</v>
      </c>
      <c r="C63" s="461">
        <f>C9</f>
        <v>0</v>
      </c>
      <c r="D63" s="462"/>
      <c r="E63" s="462"/>
      <c r="F63" s="462"/>
      <c r="G63" s="462"/>
      <c r="H63" s="462"/>
      <c r="I63" s="462"/>
      <c r="J63" s="462"/>
      <c r="K63" s="463"/>
      <c r="L63" s="464"/>
      <c r="M63" s="465"/>
      <c r="N63" s="877"/>
      <c r="O63" s="877"/>
      <c r="P63" s="1773"/>
      <c r="Q63" s="439"/>
    </row>
    <row r="64" spans="1:29" ht="15.75" thickBot="1">
      <c r="A64" s="367"/>
      <c r="B64" s="466"/>
      <c r="C64" s="467">
        <v>100</v>
      </c>
      <c r="D64" s="467"/>
      <c r="E64" s="467"/>
      <c r="F64" s="467"/>
      <c r="G64" s="467"/>
      <c r="H64" s="467"/>
      <c r="I64" s="467"/>
      <c r="J64" s="467"/>
      <c r="K64" s="467"/>
      <c r="L64" s="467"/>
      <c r="M64" s="468"/>
      <c r="N64" s="878"/>
      <c r="O64" s="878"/>
      <c r="P64" s="1773"/>
      <c r="Q64" s="439"/>
    </row>
    <row r="65" spans="1:17" ht="27.75" thickTop="1">
      <c r="A65" s="367"/>
      <c r="B65" s="469" t="s">
        <v>1683</v>
      </c>
      <c r="C65" s="513"/>
      <c r="D65" s="513"/>
      <c r="E65" s="513"/>
      <c r="F65" s="513"/>
      <c r="G65" s="513"/>
      <c r="H65" s="513"/>
      <c r="I65" s="513"/>
      <c r="J65" s="513"/>
      <c r="K65" s="513"/>
      <c r="L65" s="513"/>
      <c r="M65" s="513"/>
      <c r="N65" s="878"/>
      <c r="O65" s="878"/>
      <c r="P65" s="1773"/>
      <c r="Q65" s="439"/>
    </row>
    <row r="66" spans="1:17" ht="15.75" thickBot="1">
      <c r="A66" s="367"/>
      <c r="B66" s="474"/>
      <c r="C66" s="467"/>
      <c r="D66" s="467"/>
      <c r="E66" s="467"/>
      <c r="F66" s="467"/>
      <c r="G66" s="467"/>
      <c r="H66" s="467"/>
      <c r="I66" s="467"/>
      <c r="J66" s="467"/>
      <c r="K66" s="467"/>
      <c r="L66" s="467"/>
      <c r="M66" s="468"/>
      <c r="N66" s="878"/>
      <c r="O66" s="878"/>
      <c r="P66" s="1773"/>
      <c r="Q66" s="439"/>
    </row>
    <row r="67" spans="1:17" ht="15.75" thickTop="1">
      <c r="A67" s="367"/>
      <c r="B67" s="477" t="s">
        <v>1684</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ht="15">
      <c r="A68" s="367"/>
      <c r="B68" s="479"/>
      <c r="C68" s="480"/>
      <c r="D68" s="480"/>
      <c r="E68" s="480"/>
      <c r="F68" s="480"/>
      <c r="G68" s="480"/>
      <c r="H68" s="480"/>
      <c r="I68" s="480"/>
      <c r="J68" s="480"/>
      <c r="K68" s="481"/>
      <c r="L68" s="482"/>
      <c r="M68" s="483"/>
      <c r="N68" s="877"/>
      <c r="O68" s="877"/>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5.75" thickTop="1">
      <c r="A70" s="484"/>
      <c r="B70" s="469">
        <f>B12</f>
        <v>111</v>
      </c>
      <c r="C70" s="485"/>
      <c r="D70" s="485"/>
      <c r="E70" s="485"/>
      <c r="F70" s="485"/>
      <c r="G70" s="485"/>
      <c r="H70" s="486"/>
      <c r="I70" s="486"/>
      <c r="J70" s="486"/>
      <c r="K70" s="486"/>
      <c r="L70" s="487"/>
      <c r="M70" s="488"/>
      <c r="N70" s="879"/>
      <c r="O70" s="879"/>
      <c r="P70" s="1774"/>
      <c r="Q70" s="490"/>
    </row>
    <row r="71" spans="1:17" s="408" customFormat="1" ht="15.75" thickBot="1">
      <c r="A71" s="484"/>
      <c r="B71" s="474"/>
      <c r="C71" s="491"/>
      <c r="D71" s="467"/>
      <c r="E71" s="467"/>
      <c r="F71" s="467"/>
      <c r="G71" s="467"/>
      <c r="H71" s="467"/>
      <c r="I71" s="467"/>
      <c r="J71" s="467"/>
      <c r="K71" s="467"/>
      <c r="L71" s="467"/>
      <c r="M71" s="468"/>
      <c r="N71" s="878"/>
      <c r="O71" s="878"/>
      <c r="P71" s="1774"/>
      <c r="Q71" s="490"/>
    </row>
    <row r="72" spans="1:17" s="408" customFormat="1" ht="15.75" thickTop="1">
      <c r="A72" s="484"/>
      <c r="B72" s="469">
        <f>B13</f>
        <v>111</v>
      </c>
      <c r="C72" s="485"/>
      <c r="D72" s="485"/>
      <c r="E72" s="485"/>
      <c r="F72" s="485"/>
      <c r="G72" s="485"/>
      <c r="H72" s="486"/>
      <c r="I72" s="486"/>
      <c r="J72" s="486"/>
      <c r="K72" s="486"/>
      <c r="L72" s="487"/>
      <c r="M72" s="488"/>
      <c r="N72" s="879"/>
      <c r="O72" s="879"/>
      <c r="P72" s="1775"/>
      <c r="Q72" s="492"/>
    </row>
    <row r="73" spans="1:17" s="408" customFormat="1" ht="15.75" thickBot="1">
      <c r="A73" s="484"/>
      <c r="B73" s="474"/>
      <c r="C73" s="491"/>
      <c r="D73" s="491"/>
      <c r="E73" s="491"/>
      <c r="F73" s="491"/>
      <c r="G73" s="491"/>
      <c r="H73" s="493"/>
      <c r="I73" s="493"/>
      <c r="J73" s="493"/>
      <c r="K73" s="493"/>
      <c r="L73" s="493"/>
      <c r="M73" s="494"/>
      <c r="N73" s="879"/>
      <c r="O73" s="879"/>
      <c r="P73" s="1774"/>
      <c r="Q73" s="490"/>
    </row>
    <row r="74" spans="1:17" s="408" customFormat="1" ht="15.75" thickTop="1">
      <c r="A74" s="484"/>
      <c r="B74" s="477">
        <f>B14</f>
        <v>111</v>
      </c>
      <c r="C74" s="485"/>
      <c r="D74" s="485"/>
      <c r="E74" s="485"/>
      <c r="F74" s="485"/>
      <c r="G74" s="31"/>
      <c r="H74" s="495"/>
      <c r="I74" s="495"/>
      <c r="J74" s="495"/>
      <c r="K74" s="495"/>
      <c r="L74" s="496"/>
      <c r="M74" s="497"/>
      <c r="N74" s="879"/>
      <c r="O74" s="879"/>
      <c r="P74" s="1776"/>
      <c r="Q74" s="490"/>
    </row>
    <row r="75" spans="1:17" s="408" customFormat="1" ht="15.75" thickBot="1">
      <c r="A75" s="499"/>
      <c r="B75" s="500"/>
      <c r="C75" s="501"/>
      <c r="D75" s="501"/>
      <c r="E75" s="501"/>
      <c r="F75" s="501"/>
      <c r="G75" s="501"/>
      <c r="H75" s="502"/>
      <c r="I75" s="502"/>
      <c r="J75" s="502"/>
      <c r="K75" s="502"/>
      <c r="L75" s="502"/>
      <c r="M75" s="503"/>
      <c r="N75" s="879"/>
      <c r="O75" s="879"/>
      <c r="P75" s="1774"/>
      <c r="Q75" s="490"/>
    </row>
    <row r="76" spans="1:17">
      <c r="A76" s="379" t="s">
        <v>1685</v>
      </c>
      <c r="B76" s="460" t="s">
        <v>1715</v>
      </c>
      <c r="C76" s="504" t="s">
        <v>1716</v>
      </c>
      <c r="D76" s="504" t="s">
        <v>1717</v>
      </c>
      <c r="E76" s="504" t="s">
        <v>1718</v>
      </c>
      <c r="F76" s="504" t="s">
        <v>1719</v>
      </c>
      <c r="G76" s="504" t="s">
        <v>1720</v>
      </c>
      <c r="H76" s="461"/>
      <c r="I76" s="461"/>
      <c r="J76" s="461"/>
      <c r="K76" s="505"/>
      <c r="L76" s="506"/>
      <c r="M76" s="507"/>
      <c r="N76" s="877"/>
      <c r="O76" s="877"/>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75" thickTop="1">
      <c r="A78" s="367"/>
      <c r="B78" s="469" t="s">
        <v>1721</v>
      </c>
      <c r="C78" s="509" t="s">
        <v>1716</v>
      </c>
      <c r="D78" s="509" t="s">
        <v>1717</v>
      </c>
      <c r="E78" s="509" t="s">
        <v>1718</v>
      </c>
      <c r="F78" s="509" t="s">
        <v>1719</v>
      </c>
      <c r="G78" s="509" t="s">
        <v>1720</v>
      </c>
      <c r="H78" s="470"/>
      <c r="I78" s="470"/>
      <c r="J78" s="470"/>
      <c r="K78" s="471"/>
      <c r="L78" s="472"/>
      <c r="M78" s="473"/>
      <c r="N78" s="877"/>
      <c r="O78" s="877"/>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75" thickTop="1">
      <c r="A80" s="367"/>
      <c r="B80" s="469" t="s">
        <v>1722</v>
      </c>
      <c r="C80" s="509" t="s">
        <v>1716</v>
      </c>
      <c r="D80" s="509" t="s">
        <v>1717</v>
      </c>
      <c r="E80" s="509" t="s">
        <v>1718</v>
      </c>
      <c r="F80" s="509" t="s">
        <v>1719</v>
      </c>
      <c r="G80" s="509" t="s">
        <v>1720</v>
      </c>
      <c r="H80" s="470"/>
      <c r="I80" s="470"/>
      <c r="J80" s="470"/>
      <c r="K80" s="471"/>
      <c r="L80" s="472"/>
      <c r="M80" s="473"/>
      <c r="N80" s="877"/>
      <c r="O80" s="877"/>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75" thickTop="1">
      <c r="A82" s="367"/>
      <c r="B82" s="477" t="s">
        <v>1255</v>
      </c>
      <c r="C82" s="470" t="s">
        <v>1723</v>
      </c>
      <c r="D82" s="470" t="s">
        <v>1724</v>
      </c>
      <c r="E82" s="470" t="s">
        <v>1725</v>
      </c>
      <c r="F82" s="470" t="s">
        <v>1726</v>
      </c>
      <c r="G82" s="470" t="s">
        <v>1727</v>
      </c>
      <c r="H82" s="470"/>
      <c r="I82" s="470"/>
      <c r="J82" s="470"/>
      <c r="K82" s="470"/>
      <c r="L82" s="470"/>
      <c r="M82" s="1061"/>
      <c r="N82" s="878"/>
      <c r="O82" s="878"/>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75" thickTop="1">
      <c r="A84" s="367"/>
      <c r="B84" s="469" t="s">
        <v>1728</v>
      </c>
      <c r="C84" s="509" t="s">
        <v>1716</v>
      </c>
      <c r="D84" s="509" t="s">
        <v>1717</v>
      </c>
      <c r="E84" s="509" t="s">
        <v>1718</v>
      </c>
      <c r="F84" s="509" t="s">
        <v>1719</v>
      </c>
      <c r="G84" s="509" t="s">
        <v>1720</v>
      </c>
      <c r="H84" s="470"/>
      <c r="I84" s="470"/>
      <c r="J84" s="470"/>
      <c r="K84" s="471"/>
      <c r="L84" s="472"/>
      <c r="M84" s="473"/>
      <c r="N84" s="877"/>
      <c r="O84" s="877"/>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75" thickTop="1">
      <c r="A86" s="370"/>
      <c r="B86" s="469" t="s">
        <v>1729</v>
      </c>
      <c r="C86" s="485"/>
      <c r="D86" s="485"/>
      <c r="E86" s="485"/>
      <c r="F86" s="485"/>
      <c r="G86" s="485"/>
      <c r="H86" s="485"/>
      <c r="I86" s="485"/>
      <c r="J86" s="485"/>
      <c r="K86" s="485"/>
      <c r="L86" s="510"/>
      <c r="M86" s="511"/>
      <c r="N86" s="876"/>
      <c r="O86" s="876"/>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75" thickTop="1">
      <c r="A88" s="370"/>
      <c r="B88" s="469" t="s">
        <v>1730</v>
      </c>
      <c r="C88" s="485"/>
      <c r="D88" s="485"/>
      <c r="E88" s="485"/>
      <c r="F88" s="1778"/>
      <c r="G88" s="485"/>
      <c r="H88" s="485"/>
      <c r="I88" s="485"/>
      <c r="J88" s="485"/>
      <c r="K88" s="485"/>
      <c r="L88" s="485"/>
      <c r="M88" s="511"/>
      <c r="N88" s="876"/>
      <c r="O88" s="876"/>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5.75" thickTop="1">
      <c r="A90" s="484"/>
      <c r="B90" s="469">
        <f>B27</f>
        <v>111</v>
      </c>
      <c r="C90" s="485"/>
      <c r="D90" s="485"/>
      <c r="E90" s="485"/>
      <c r="F90" s="485"/>
      <c r="G90" s="485"/>
      <c r="H90" s="486"/>
      <c r="I90" s="486"/>
      <c r="J90" s="486"/>
      <c r="K90" s="486"/>
      <c r="L90" s="487"/>
      <c r="M90" s="488"/>
      <c r="N90" s="879"/>
      <c r="O90" s="879"/>
      <c r="P90" s="1774"/>
      <c r="Q90" s="490"/>
    </row>
    <row r="91" spans="1:17" s="408" customFormat="1" ht="15.75" thickBot="1">
      <c r="A91" s="484"/>
      <c r="B91" s="474"/>
      <c r="C91" s="491"/>
      <c r="D91" s="491"/>
      <c r="E91" s="491"/>
      <c r="F91" s="491"/>
      <c r="G91" s="491"/>
      <c r="H91" s="493"/>
      <c r="I91" s="493"/>
      <c r="J91" s="493"/>
      <c r="K91" s="493"/>
      <c r="L91" s="493"/>
      <c r="M91" s="494"/>
      <c r="N91" s="879"/>
      <c r="O91" s="879"/>
      <c r="P91" s="1774"/>
      <c r="Q91" s="490"/>
    </row>
    <row r="92" spans="1:17" ht="15.75" thickTop="1">
      <c r="A92" s="367"/>
      <c r="B92" s="469">
        <f>B28</f>
        <v>111</v>
      </c>
      <c r="C92" s="485"/>
      <c r="D92" s="485"/>
      <c r="E92" s="485"/>
      <c r="F92" s="485"/>
      <c r="G92" s="513"/>
      <c r="H92" s="513"/>
      <c r="I92" s="513"/>
      <c r="J92" s="513"/>
      <c r="K92" s="514"/>
      <c r="L92" s="515"/>
      <c r="M92" s="516"/>
      <c r="N92" s="877"/>
      <c r="O92" s="877"/>
      <c r="P92" s="1773"/>
      <c r="Q92" s="439"/>
    </row>
    <row r="93" spans="1:17" ht="15.75" thickBot="1">
      <c r="A93" s="367"/>
      <c r="B93" s="474"/>
      <c r="C93" s="491"/>
      <c r="D93" s="467"/>
      <c r="E93" s="467"/>
      <c r="F93" s="467"/>
      <c r="G93" s="467"/>
      <c r="H93" s="467"/>
      <c r="I93" s="467"/>
      <c r="J93" s="467"/>
      <c r="K93" s="467"/>
      <c r="L93" s="467"/>
      <c r="M93" s="468"/>
      <c r="N93" s="878"/>
      <c r="O93" s="878"/>
      <c r="P93" s="1773"/>
      <c r="Q93" s="439"/>
    </row>
    <row r="94" spans="1:17" ht="15.75" thickTop="1">
      <c r="A94" s="367"/>
      <c r="B94" s="469">
        <f>B29</f>
        <v>111</v>
      </c>
      <c r="C94" s="485"/>
      <c r="D94" s="485"/>
      <c r="E94" s="485"/>
      <c r="F94" s="485"/>
      <c r="G94" s="513"/>
      <c r="H94" s="513"/>
      <c r="I94" s="513"/>
      <c r="J94" s="513"/>
      <c r="K94" s="514"/>
      <c r="L94" s="515"/>
      <c r="M94" s="516"/>
      <c r="N94" s="877"/>
      <c r="O94" s="877"/>
      <c r="P94" s="1773"/>
      <c r="Q94" s="439"/>
    </row>
    <row r="95" spans="1:17" ht="15.75" thickBot="1">
      <c r="A95" s="367"/>
      <c r="B95" s="474"/>
      <c r="C95" s="491"/>
      <c r="D95" s="491"/>
      <c r="E95" s="491"/>
      <c r="F95" s="491"/>
      <c r="G95" s="467"/>
      <c r="H95" s="467"/>
      <c r="I95" s="467"/>
      <c r="J95" s="467"/>
      <c r="K95" s="467"/>
      <c r="L95" s="467"/>
      <c r="M95" s="468"/>
      <c r="N95" s="878"/>
      <c r="O95" s="878"/>
      <c r="P95" s="1773"/>
      <c r="Q95" s="439"/>
    </row>
    <row r="96" spans="1:17" ht="15.75" thickTop="1">
      <c r="A96" s="367"/>
      <c r="B96" s="469">
        <f>B30</f>
        <v>111</v>
      </c>
      <c r="C96" s="485"/>
      <c r="D96" s="485"/>
      <c r="E96" s="485"/>
      <c r="F96" s="485"/>
      <c r="G96" s="513"/>
      <c r="H96" s="513"/>
      <c r="I96" s="513"/>
      <c r="J96" s="513"/>
      <c r="K96" s="514"/>
      <c r="L96" s="515"/>
      <c r="M96" s="516"/>
      <c r="N96" s="877"/>
      <c r="O96" s="877"/>
      <c r="P96" s="1773"/>
      <c r="Q96" s="439"/>
    </row>
    <row r="97" spans="1:17" ht="15.75" thickBot="1">
      <c r="A97" s="367"/>
      <c r="B97" s="474"/>
      <c r="C97" s="501"/>
      <c r="D97" s="501"/>
      <c r="E97" s="501"/>
      <c r="F97" s="501"/>
      <c r="G97" s="467"/>
      <c r="H97" s="467"/>
      <c r="I97" s="467"/>
      <c r="J97" s="467"/>
      <c r="K97" s="467"/>
      <c r="L97" s="467"/>
      <c r="M97" s="468"/>
      <c r="N97" s="878"/>
      <c r="O97" s="878"/>
      <c r="P97" s="1773"/>
      <c r="Q97" s="439"/>
    </row>
    <row r="98" spans="1:17" ht="15.75" thickTop="1">
      <c r="A98" s="367"/>
      <c r="B98" s="477">
        <f>B31</f>
        <v>111</v>
      </c>
      <c r="C98" s="517"/>
      <c r="D98" s="517"/>
      <c r="E98" s="517"/>
      <c r="F98" s="517"/>
      <c r="G98" s="517"/>
      <c r="H98" s="517"/>
      <c r="I98" s="517"/>
      <c r="J98" s="517"/>
      <c r="K98" s="518"/>
      <c r="L98" s="519"/>
      <c r="M98" s="520"/>
      <c r="N98" s="877"/>
      <c r="O98" s="877"/>
      <c r="P98" s="1773"/>
      <c r="Q98" s="439"/>
    </row>
    <row r="99" spans="1:17" ht="15.75" thickBot="1">
      <c r="A99" s="375"/>
      <c r="B99" s="500"/>
      <c r="C99" s="521"/>
      <c r="D99" s="521"/>
      <c r="E99" s="521"/>
      <c r="F99" s="521"/>
      <c r="G99" s="521"/>
      <c r="H99" s="521"/>
      <c r="I99" s="521"/>
      <c r="J99" s="521"/>
      <c r="K99" s="521"/>
      <c r="L99" s="521"/>
      <c r="M99" s="522"/>
      <c r="N99" s="878"/>
      <c r="O99" s="878"/>
      <c r="P99" s="1773"/>
      <c r="Q99" s="439"/>
    </row>
    <row r="100" spans="1:17">
      <c r="A100" s="379" t="s">
        <v>1689</v>
      </c>
      <c r="B100" s="460" t="s">
        <v>1731</v>
      </c>
      <c r="C100" s="462"/>
      <c r="D100" s="462"/>
      <c r="E100" s="462"/>
      <c r="F100" s="462"/>
      <c r="G100" s="462"/>
      <c r="H100" s="462"/>
      <c r="I100" s="462"/>
      <c r="J100" s="462"/>
      <c r="K100" s="463"/>
      <c r="L100" s="464"/>
      <c r="M100" s="465"/>
      <c r="N100" s="877"/>
      <c r="O100" s="877"/>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75" thickTop="1">
      <c r="A102" s="367"/>
      <c r="B102" s="469" t="s">
        <v>1732</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5.75"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1733</v>
      </c>
      <c r="C105" s="485"/>
      <c r="D105" s="485"/>
      <c r="E105" s="513"/>
      <c r="F105" s="513"/>
      <c r="G105" s="513"/>
      <c r="H105" s="513"/>
      <c r="I105" s="513"/>
      <c r="J105" s="513"/>
      <c r="K105" s="514"/>
      <c r="L105" s="515"/>
      <c r="M105" s="516"/>
      <c r="N105" s="877"/>
      <c r="O105" s="877"/>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1734</v>
      </c>
      <c r="C107" s="513"/>
      <c r="D107" s="513"/>
      <c r="E107" s="513"/>
      <c r="F107" s="513"/>
      <c r="G107" s="513"/>
      <c r="H107" s="513"/>
      <c r="I107" s="513"/>
      <c r="J107" s="513"/>
      <c r="K107" s="514"/>
      <c r="L107" s="515"/>
      <c r="M107" s="516"/>
      <c r="N107" s="877"/>
      <c r="O107" s="877"/>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1735</v>
      </c>
      <c r="C109" s="485"/>
      <c r="D109" s="485"/>
      <c r="E109" s="485"/>
      <c r="F109" s="513"/>
      <c r="G109" s="513"/>
      <c r="H109" s="513"/>
      <c r="I109" s="513"/>
      <c r="J109" s="513"/>
      <c r="K109" s="514"/>
      <c r="L109" s="515"/>
      <c r="M109" s="516"/>
      <c r="N109" s="877"/>
      <c r="O109" s="877"/>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1185</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1736</v>
      </c>
      <c r="C114" s="485"/>
      <c r="D114" s="485"/>
      <c r="E114" s="513"/>
      <c r="F114" s="513"/>
      <c r="G114" s="513"/>
      <c r="H114" s="513"/>
      <c r="I114" s="513"/>
      <c r="J114" s="513"/>
      <c r="K114" s="514"/>
      <c r="L114" s="515"/>
      <c r="M114" s="516"/>
      <c r="N114" s="877"/>
      <c r="O114" s="877"/>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1737</v>
      </c>
      <c r="C116" s="485"/>
      <c r="D116" s="485"/>
      <c r="E116" s="485"/>
      <c r="F116" s="485"/>
      <c r="G116" s="485"/>
      <c r="H116" s="513"/>
      <c r="I116" s="513"/>
      <c r="J116" s="513"/>
      <c r="K116" s="514"/>
      <c r="L116" s="515"/>
      <c r="M116" s="516"/>
      <c r="N116" s="877"/>
      <c r="O116" s="877"/>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1738</v>
      </c>
      <c r="C118" s="513"/>
      <c r="D118" s="513"/>
      <c r="E118" s="513"/>
      <c r="F118" s="513"/>
      <c r="G118" s="513"/>
      <c r="H118" s="513"/>
      <c r="I118" s="513"/>
      <c r="J118" s="513"/>
      <c r="K118" s="514"/>
      <c r="L118" s="515"/>
      <c r="M118" s="516"/>
      <c r="N118" s="877"/>
      <c r="O118" s="877"/>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8.5" thickTop="1">
      <c r="A120" s="406"/>
      <c r="B120" s="469" t="s">
        <v>1700</v>
      </c>
      <c r="C120" s="485"/>
      <c r="D120" s="485"/>
      <c r="E120" s="485"/>
      <c r="F120" s="485"/>
      <c r="G120" s="485"/>
      <c r="H120" s="485"/>
      <c r="I120" s="485"/>
      <c r="J120" s="485"/>
      <c r="K120" s="485"/>
      <c r="L120" s="510"/>
      <c r="M120" s="511"/>
      <c r="N120" s="879"/>
      <c r="O120" s="879"/>
      <c r="P120" s="1774"/>
      <c r="Q120" s="490"/>
    </row>
    <row r="121" spans="1:17" s="408" customFormat="1" ht="15.75"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1739</v>
      </c>
      <c r="C122" s="485"/>
      <c r="D122" s="485"/>
      <c r="E122" s="485"/>
      <c r="F122" s="513"/>
      <c r="G122" s="513"/>
      <c r="H122" s="513"/>
      <c r="I122" s="513"/>
      <c r="J122" s="513"/>
      <c r="K122" s="514"/>
      <c r="L122" s="515"/>
      <c r="M122" s="516"/>
      <c r="N122" s="877"/>
      <c r="O122" s="877"/>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15" thickTop="1">
      <c r="A124" s="409"/>
      <c r="B124" s="469" t="s">
        <v>1740</v>
      </c>
      <c r="C124" s="509" t="s">
        <v>1716</v>
      </c>
      <c r="D124" s="509" t="s">
        <v>1717</v>
      </c>
      <c r="E124" s="509" t="s">
        <v>1718</v>
      </c>
      <c r="F124" s="509" t="s">
        <v>1719</v>
      </c>
      <c r="G124" s="509" t="s">
        <v>1720</v>
      </c>
      <c r="H124" s="470"/>
      <c r="I124" s="470"/>
      <c r="J124" s="470"/>
      <c r="K124" s="471"/>
      <c r="L124" s="472"/>
      <c r="M124" s="473"/>
      <c r="N124" s="877"/>
      <c r="O124" s="877"/>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5.75" thickBot="1">
      <c r="A127" s="484"/>
      <c r="B127" s="474"/>
      <c r="C127" s="491"/>
      <c r="D127" s="467"/>
      <c r="E127" s="467"/>
      <c r="F127" s="467"/>
      <c r="G127" s="491"/>
      <c r="H127" s="493"/>
      <c r="I127" s="493"/>
      <c r="J127" s="493"/>
      <c r="K127" s="493"/>
      <c r="L127" s="493"/>
      <c r="M127" s="494"/>
      <c r="N127" s="879"/>
      <c r="O127" s="879"/>
      <c r="P127" s="1774"/>
      <c r="Q127" s="490"/>
    </row>
    <row r="128" spans="1:17" ht="15" thickTop="1">
      <c r="A128" s="409"/>
      <c r="B128" s="469">
        <f>B45</f>
        <v>111</v>
      </c>
      <c r="C128" s="485"/>
      <c r="D128" s="485"/>
      <c r="E128" s="485"/>
      <c r="F128" s="485"/>
      <c r="G128" s="513"/>
      <c r="H128" s="513"/>
      <c r="I128" s="513"/>
      <c r="J128" s="513"/>
      <c r="K128" s="514"/>
      <c r="L128" s="515"/>
      <c r="M128" s="516"/>
      <c r="N128" s="877"/>
      <c r="O128" s="877"/>
      <c r="P128" s="1773"/>
      <c r="Q128" s="439"/>
    </row>
    <row r="129" spans="1:17" ht="15.75" thickBot="1">
      <c r="A129" s="367"/>
      <c r="B129" s="474"/>
      <c r="C129" s="491"/>
      <c r="D129" s="491"/>
      <c r="E129" s="491"/>
      <c r="F129" s="491"/>
      <c r="G129" s="467"/>
      <c r="H129" s="467"/>
      <c r="I129" s="467"/>
      <c r="J129" s="467"/>
      <c r="K129" s="467"/>
      <c r="L129" s="467"/>
      <c r="M129" s="468"/>
      <c r="N129" s="878"/>
      <c r="O129" s="878"/>
      <c r="P129" s="1773"/>
      <c r="Q129" s="439"/>
    </row>
    <row r="130" spans="1:17" ht="15" thickTop="1">
      <c r="A130" s="409"/>
      <c r="B130" s="477">
        <f>B46</f>
        <v>111</v>
      </c>
      <c r="C130" s="485"/>
      <c r="D130" s="485"/>
      <c r="E130" s="485"/>
      <c r="F130" s="485"/>
      <c r="G130" s="517"/>
      <c r="H130" s="517"/>
      <c r="I130" s="517"/>
      <c r="J130" s="517"/>
      <c r="K130" s="31"/>
      <c r="L130" s="457"/>
      <c r="M130" s="520"/>
      <c r="N130" s="877"/>
      <c r="O130" s="877"/>
      <c r="P130" s="1773"/>
      <c r="Q130" s="439"/>
    </row>
    <row r="131" spans="1:17" ht="15.75"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1741</v>
      </c>
    </row>
    <row r="137" spans="1:17" ht="15">
      <c r="B137" s="1780" t="s">
        <v>1742</v>
      </c>
      <c r="C137" s="1781"/>
      <c r="D137" s="1781"/>
      <c r="E137" s="1781"/>
      <c r="F137" s="1781"/>
      <c r="G137" s="1782"/>
      <c r="H137" s="1783"/>
      <c r="I137" s="1784" t="s">
        <v>1743</v>
      </c>
      <c r="J137" s="1781"/>
      <c r="K137" s="1785"/>
    </row>
    <row r="138" spans="1:17" ht="15">
      <c r="B138" s="1786"/>
      <c r="C138" s="129" t="s">
        <v>1744</v>
      </c>
      <c r="D138" s="129" t="s">
        <v>1745</v>
      </c>
      <c r="E138" s="1787" t="s">
        <v>1746</v>
      </c>
      <c r="F138" s="1788" t="s">
        <v>1747</v>
      </c>
      <c r="G138" s="129" t="s">
        <v>1745</v>
      </c>
      <c r="H138" s="130" t="s">
        <v>1746</v>
      </c>
      <c r="I138" s="1789"/>
      <c r="J138" s="129" t="s">
        <v>1748</v>
      </c>
      <c r="K138" s="130" t="s">
        <v>1749</v>
      </c>
    </row>
    <row r="139" spans="1:17" ht="15">
      <c r="B139" s="812">
        <v>6</v>
      </c>
      <c r="C139" s="813">
        <v>96</v>
      </c>
      <c r="D139" s="1790" t="s">
        <v>1750</v>
      </c>
      <c r="E139" s="814">
        <v>100</v>
      </c>
      <c r="F139" s="815">
        <v>102.5</v>
      </c>
      <c r="G139" s="1790" t="s">
        <v>1750</v>
      </c>
      <c r="H139" s="816">
        <v>105</v>
      </c>
      <c r="I139" s="1791" t="s">
        <v>1751</v>
      </c>
      <c r="J139" s="813">
        <v>20</v>
      </c>
      <c r="K139" s="817">
        <f>C145/(J139-2)</f>
        <v>4.0555555555555553E-3</v>
      </c>
    </row>
    <row r="140" spans="1:17" ht="15">
      <c r="B140" s="818">
        <v>5</v>
      </c>
      <c r="C140" s="819">
        <v>100</v>
      </c>
      <c r="D140" s="819"/>
      <c r="E140" s="820"/>
      <c r="F140" s="821">
        <v>102</v>
      </c>
      <c r="G140" s="819"/>
      <c r="H140" s="822"/>
      <c r="I140" s="1792" t="s">
        <v>1752</v>
      </c>
      <c r="J140" s="263">
        <f>ROUNDUP((J139-1)/2,0)</f>
        <v>10</v>
      </c>
      <c r="K140" s="823">
        <v>100</v>
      </c>
    </row>
    <row r="141" spans="1:17" ht="15">
      <c r="B141" s="818">
        <v>4</v>
      </c>
      <c r="C141" s="819">
        <v>102</v>
      </c>
      <c r="D141" s="819"/>
      <c r="E141" s="820"/>
      <c r="F141" s="821">
        <v>101.5</v>
      </c>
      <c r="G141" s="819"/>
      <c r="H141" s="822"/>
      <c r="I141" s="1792" t="s">
        <v>1753</v>
      </c>
      <c r="J141" s="263">
        <v>1</v>
      </c>
      <c r="K141" s="824">
        <f>ROUND(100+(J141-J140)*K139*100,1)</f>
        <v>96.4</v>
      </c>
    </row>
    <row r="142" spans="1:17" ht="15">
      <c r="B142" s="818">
        <v>3</v>
      </c>
      <c r="C142" s="819">
        <v>103</v>
      </c>
      <c r="D142" s="819"/>
      <c r="E142" s="820"/>
      <c r="F142" s="821">
        <v>101</v>
      </c>
      <c r="G142" s="819"/>
      <c r="H142" s="822"/>
      <c r="I142" s="1792" t="s">
        <v>1754</v>
      </c>
      <c r="J142" s="263">
        <f>J139</f>
        <v>20</v>
      </c>
      <c r="K142" s="825">
        <v>95</v>
      </c>
    </row>
    <row r="143" spans="1:17" ht="15">
      <c r="B143" s="818">
        <v>2</v>
      </c>
      <c r="C143" s="819">
        <v>100</v>
      </c>
      <c r="D143" s="819"/>
      <c r="E143" s="820"/>
      <c r="F143" s="821">
        <v>100.5</v>
      </c>
      <c r="G143" s="819"/>
      <c r="H143" s="822"/>
      <c r="I143" s="1792" t="s">
        <v>1755</v>
      </c>
      <c r="J143" s="819">
        <v>15</v>
      </c>
      <c r="K143" s="824">
        <f>ROUND(100+(J143-J140)*K139*100,1)</f>
        <v>102</v>
      </c>
    </row>
    <row r="144" spans="1:17" ht="15">
      <c r="B144" s="818">
        <v>1</v>
      </c>
      <c r="C144" s="819">
        <v>98</v>
      </c>
      <c r="D144" s="1793" t="s">
        <v>1756</v>
      </c>
      <c r="E144" s="820">
        <v>102</v>
      </c>
      <c r="F144" s="826">
        <v>100</v>
      </c>
      <c r="G144" s="1793" t="s">
        <v>1756</v>
      </c>
      <c r="H144" s="822">
        <v>105</v>
      </c>
      <c r="I144" s="1792" t="s">
        <v>1755</v>
      </c>
      <c r="J144" s="819">
        <v>18</v>
      </c>
      <c r="K144" s="824">
        <f>ROUND(100+(J144-J140)*K139*100,1)</f>
        <v>103.2</v>
      </c>
    </row>
    <row r="145" spans="2:11" ht="15.75" thickBot="1">
      <c r="B145" s="1794" t="s">
        <v>1757</v>
      </c>
      <c r="C145" s="827">
        <f>ROUND(MAX(C139:C144)/MIN(C139:C144)-1,3)</f>
        <v>7.2999999999999995E-2</v>
      </c>
      <c r="D145" s="828"/>
      <c r="E145" s="828"/>
      <c r="F145" s="1795" t="s">
        <v>1758</v>
      </c>
      <c r="G145" s="1796"/>
      <c r="H145" s="1797"/>
      <c r="I145" s="1798" t="s">
        <v>1755</v>
      </c>
      <c r="J145" s="829">
        <v>8</v>
      </c>
      <c r="K145" s="830">
        <f>ROUND(100+(J145-J140)*K139*100,1)</f>
        <v>99.2</v>
      </c>
    </row>
    <row r="147" spans="2:11">
      <c r="B147" s="1779" t="s">
        <v>1759</v>
      </c>
    </row>
    <row r="148" spans="2:11">
      <c r="B148" s="1779"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55" priority="14" stopIfTrue="1">
      <formula>$F$52="超过30%"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F7:F46 H7:H46 J7:J46">
    <cfRule type="cellIs" dxfId="152" priority="1" operator="notEqual">
      <formula>100</formula>
    </cfRule>
  </conditionalFormatting>
  <conditionalFormatting sqref="F48">
    <cfRule type="expression" dxfId="151" priority="4">
      <formula>$D$48="简单平均"</formula>
    </cfRule>
  </conditionalFormatting>
  <conditionalFormatting sqref="F52:F54 H52:H54 J52:J54">
    <cfRule type="containsText" dxfId="150" priority="15" stopIfTrue="1" operator="containsText" text="超过">
      <formula>NOT(ISERROR(SEARCH("超过",F52)))</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G54">
    <cfRule type="expression" dxfId="147" priority="12" stopIfTrue="1">
      <formula>$H$54="超过30%"</formula>
    </cfRule>
  </conditionalFormatting>
  <conditionalFormatting sqref="H48">
    <cfRule type="expression" dxfId="146" priority="3">
      <formula>$D$48="简单平均"</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J48">
    <cfRule type="expression" dxfId="14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732" t="s">
        <v>1761</v>
      </c>
      <c r="C1" s="1153" t="s">
        <v>1657</v>
      </c>
      <c r="D1" s="1140"/>
      <c r="E1" s="3121"/>
      <c r="F1" s="1733"/>
      <c r="G1" s="1150" t="s">
        <v>1762</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1457</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1458</v>
      </c>
      <c r="F2" s="1737"/>
      <c r="G2" s="853"/>
      <c r="H2" s="853"/>
      <c r="I2" s="853"/>
      <c r="J2" s="853"/>
      <c r="K2" s="853"/>
      <c r="L2" s="2500"/>
      <c r="M2" s="2501"/>
      <c r="N2" s="2501"/>
      <c r="O2" s="2501"/>
      <c r="P2" s="1802"/>
      <c r="Q2" s="857"/>
      <c r="R2" s="857"/>
      <c r="S2" s="857"/>
      <c r="T2" s="857"/>
      <c r="U2" s="857"/>
      <c r="V2" s="857"/>
      <c r="W2" s="857"/>
      <c r="X2" s="857"/>
      <c r="Y2" s="857"/>
      <c r="Z2" s="857"/>
      <c r="AA2" s="857"/>
      <c r="AB2" s="857"/>
      <c r="AC2" s="1803"/>
    </row>
    <row r="3" spans="1:29" s="342" customFormat="1" ht="28.5" customHeight="1" thickBot="1">
      <c r="A3" s="195" t="s">
        <v>1459</v>
      </c>
      <c r="B3" s="536">
        <f>IF(C2="——",C49,ROUND(B2*10000/D3,0))</f>
        <v>0</v>
      </c>
      <c r="C3" s="344" t="s">
        <v>1763</v>
      </c>
      <c r="D3" s="343">
        <f>IF(D1="",'数据-汇总表'!E3,SUMIF('数据-汇总表'!$C19:$C33,D1,'数据-汇总表'!$E19:$E33))</f>
        <v>139616.6</v>
      </c>
      <c r="E3" s="1803"/>
      <c r="F3" s="854"/>
      <c r="G3" s="853"/>
      <c r="H3" s="853"/>
      <c r="I3" s="853"/>
      <c r="J3" s="853"/>
      <c r="K3" s="855"/>
      <c r="L3" s="2500"/>
      <c r="M3" s="2501"/>
      <c r="N3" s="2501"/>
      <c r="O3" s="2501"/>
      <c r="P3" s="1802"/>
      <c r="Q3" s="857"/>
      <c r="R3" s="857"/>
      <c r="S3" s="857"/>
      <c r="T3" s="857"/>
      <c r="U3" s="857"/>
      <c r="V3" s="857"/>
      <c r="W3" s="857"/>
      <c r="X3" s="857"/>
      <c r="Y3" s="857"/>
      <c r="Z3" s="857"/>
      <c r="AA3" s="857"/>
      <c r="AB3" s="857"/>
      <c r="AC3" s="1803"/>
    </row>
    <row r="4" spans="1:29" ht="15">
      <c r="A4" s="345" t="s">
        <v>1764</v>
      </c>
      <c r="B4" s="346"/>
      <c r="C4" s="3415" t="s">
        <v>1765</v>
      </c>
      <c r="D4" s="3416"/>
      <c r="E4" s="3417" t="s">
        <v>1766</v>
      </c>
      <c r="F4" s="3418"/>
      <c r="G4" s="3415" t="s">
        <v>1767</v>
      </c>
      <c r="H4" s="3416"/>
      <c r="I4" s="3415" t="s">
        <v>1768</v>
      </c>
      <c r="J4" s="3416"/>
      <c r="K4" s="537" t="s">
        <v>1769</v>
      </c>
      <c r="L4" s="2483"/>
      <c r="M4" s="2484"/>
      <c r="N4" s="2484"/>
      <c r="O4" s="2484"/>
      <c r="P4" s="3419" t="s">
        <v>1770</v>
      </c>
      <c r="Q4" s="3420"/>
      <c r="R4" s="3425" t="s">
        <v>1766</v>
      </c>
      <c r="S4" s="3426"/>
      <c r="T4" s="3425" t="s">
        <v>1767</v>
      </c>
      <c r="U4" s="3426"/>
      <c r="V4" s="3401" t="s">
        <v>1768</v>
      </c>
      <c r="W4" s="3401"/>
      <c r="X4" s="1263"/>
      <c r="Y4" s="3425" t="s">
        <v>1770</v>
      </c>
      <c r="Z4" s="3426"/>
      <c r="AA4" s="3412" t="s">
        <v>1766</v>
      </c>
      <c r="AB4" s="3401" t="s">
        <v>1767</v>
      </c>
      <c r="AC4" s="3412" t="s">
        <v>1768</v>
      </c>
    </row>
    <row r="5" spans="1:29" ht="15">
      <c r="A5" s="348"/>
      <c r="B5" s="349"/>
      <c r="C5" s="3433" t="s">
        <v>1668</v>
      </c>
      <c r="D5" s="3434"/>
      <c r="E5" s="3440" t="s">
        <v>1669</v>
      </c>
      <c r="F5" s="3441"/>
      <c r="G5" s="3433" t="s">
        <v>1670</v>
      </c>
      <c r="H5" s="3434"/>
      <c r="I5" s="3433" t="s">
        <v>1671</v>
      </c>
      <c r="J5" s="3434"/>
      <c r="K5" s="537"/>
      <c r="L5" s="2483"/>
      <c r="M5" s="2484"/>
      <c r="N5" s="2484"/>
      <c r="O5" s="2484"/>
      <c r="P5" s="3421"/>
      <c r="Q5" s="3422"/>
      <c r="R5" s="3427"/>
      <c r="S5" s="3428"/>
      <c r="T5" s="3427"/>
      <c r="U5" s="3428"/>
      <c r="V5" s="3401"/>
      <c r="W5" s="3401"/>
      <c r="X5" s="1263"/>
      <c r="Y5" s="3427"/>
      <c r="Z5" s="3428"/>
      <c r="AA5" s="3413"/>
      <c r="AB5" s="3401"/>
      <c r="AC5" s="3413"/>
    </row>
    <row r="6" spans="1:29" ht="15.75" thickBot="1">
      <c r="A6" s="350"/>
      <c r="B6" s="351"/>
      <c r="C6" s="3431" t="s">
        <v>1672</v>
      </c>
      <c r="D6" s="3432"/>
      <c r="E6" s="3438" t="s">
        <v>1672</v>
      </c>
      <c r="F6" s="3439"/>
      <c r="G6" s="3431" t="s">
        <v>1672</v>
      </c>
      <c r="H6" s="3432"/>
      <c r="I6" s="3431" t="s">
        <v>1672</v>
      </c>
      <c r="J6" s="3432"/>
      <c r="K6" s="537" t="s">
        <v>1673</v>
      </c>
      <c r="L6" s="2483"/>
      <c r="M6" s="2484"/>
      <c r="N6" s="2484"/>
      <c r="O6" s="2484"/>
      <c r="P6" s="3423"/>
      <c r="Q6" s="3424"/>
      <c r="R6" s="3427"/>
      <c r="S6" s="3428"/>
      <c r="T6" s="3429"/>
      <c r="U6" s="3430"/>
      <c r="V6" s="3401"/>
      <c r="W6" s="3401"/>
      <c r="X6" s="1263"/>
      <c r="Y6" s="3429"/>
      <c r="Z6" s="3430"/>
      <c r="AA6" s="3414"/>
      <c r="AB6" s="3401"/>
      <c r="AC6" s="3414"/>
    </row>
    <row r="7" spans="1:29" s="102" customFormat="1" ht="15.75" thickBot="1">
      <c r="A7" s="352" t="s">
        <v>1674</v>
      </c>
      <c r="B7" s="353"/>
      <c r="C7" s="354">
        <f>'数据-取费表'!B2</f>
        <v>45804</v>
      </c>
      <c r="D7" s="355">
        <v>100</v>
      </c>
      <c r="E7" s="356"/>
      <c r="F7" s="357">
        <f>SUMIF(58:58,YEAR(E7)&amp;"-"&amp;MONTH(E7),59:59)</f>
        <v>0</v>
      </c>
      <c r="G7" s="356"/>
      <c r="H7" s="355">
        <f>SUMIF(58:58,YEAR(G7)&amp;"-"&amp;MONTH(G7),59:59)</f>
        <v>0</v>
      </c>
      <c r="I7" s="356"/>
      <c r="J7" s="355">
        <f>SUMIF(58:58,YEAR(I7)&amp;"-"&amp;MONTH(I7),59:59)</f>
        <v>0</v>
      </c>
      <c r="K7" s="38"/>
      <c r="L7" s="2485"/>
      <c r="M7" s="2436"/>
      <c r="N7" s="2436"/>
      <c r="O7" s="2436"/>
      <c r="P7" s="3435" t="s">
        <v>1675</v>
      </c>
      <c r="Q7" s="3437"/>
      <c r="R7" s="664" t="s">
        <v>14</v>
      </c>
      <c r="S7" s="665">
        <f t="shared" ref="S7:S15" si="0">F7</f>
        <v>0</v>
      </c>
      <c r="T7" s="664" t="s">
        <v>14</v>
      </c>
      <c r="U7" s="665">
        <f t="shared" ref="U7:U15" si="1">H7</f>
        <v>0</v>
      </c>
      <c r="V7" s="664" t="s">
        <v>14</v>
      </c>
      <c r="W7" s="665">
        <f t="shared" ref="W7:W15" si="2">J7</f>
        <v>0</v>
      </c>
      <c r="X7" s="666"/>
      <c r="Y7" s="3435" t="s">
        <v>1675</v>
      </c>
      <c r="Z7" s="3436"/>
      <c r="AA7" s="50" t="e">
        <f>D7/F7</f>
        <v>#DIV/0!</v>
      </c>
      <c r="AB7" s="50" t="e">
        <f>D7/H7</f>
        <v>#DIV/0!</v>
      </c>
      <c r="AC7" s="50" t="e">
        <f>D7/J7</f>
        <v>#DIV/0!</v>
      </c>
    </row>
    <row r="8" spans="1:29" s="102" customFormat="1" ht="15.75" thickBot="1">
      <c r="A8" s="352" t="s">
        <v>1676</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435" t="s">
        <v>1678</v>
      </c>
      <c r="Q8" s="3436"/>
      <c r="R8" s="664" t="s">
        <v>14</v>
      </c>
      <c r="S8" s="665">
        <f t="shared" si="0"/>
        <v>100</v>
      </c>
      <c r="T8" s="664" t="s">
        <v>14</v>
      </c>
      <c r="U8" s="665">
        <f t="shared" si="1"/>
        <v>100</v>
      </c>
      <c r="V8" s="664" t="s">
        <v>14</v>
      </c>
      <c r="W8" s="665">
        <f t="shared" si="2"/>
        <v>100</v>
      </c>
      <c r="X8" s="666"/>
      <c r="Y8" s="3435" t="s">
        <v>1678</v>
      </c>
      <c r="Z8" s="3436"/>
      <c r="AA8" s="50">
        <f t="shared" ref="AA8:AA46" si="3">D8/F8</f>
        <v>1</v>
      </c>
      <c r="AB8" s="50">
        <f t="shared" ref="AB8:AB46" si="4">D8/H8</f>
        <v>1</v>
      </c>
      <c r="AC8" s="50">
        <f t="shared" ref="AC8:AC46" si="5">D8/J8</f>
        <v>1</v>
      </c>
    </row>
    <row r="9" spans="1:29" s="102" customFormat="1">
      <c r="A9" s="359" t="s">
        <v>1679</v>
      </c>
      <c r="B9" s="60" t="s">
        <v>1680</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411" t="s">
        <v>1681</v>
      </c>
      <c r="Q9" s="530" t="str">
        <f t="shared" ref="Q9:Q15" si="6">B9</f>
        <v>用途</v>
      </c>
      <c r="R9" s="664" t="s">
        <v>14</v>
      </c>
      <c r="S9" s="665">
        <f t="shared" si="0"/>
        <v>100</v>
      </c>
      <c r="T9" s="664" t="s">
        <v>14</v>
      </c>
      <c r="U9" s="665">
        <f t="shared" si="1"/>
        <v>100</v>
      </c>
      <c r="V9" s="664" t="s">
        <v>14</v>
      </c>
      <c r="W9" s="665">
        <f t="shared" si="2"/>
        <v>100</v>
      </c>
      <c r="X9" s="666"/>
      <c r="Y9" s="3275"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11"/>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411"/>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11"/>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11"/>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15">
      <c r="A15" s="379" t="s">
        <v>1685</v>
      </c>
      <c r="B15" s="58" t="s">
        <v>1772</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09" t="s">
        <v>1686</v>
      </c>
      <c r="Q15" s="1261" t="str">
        <f t="shared" si="6"/>
        <v>商业繁华度</v>
      </c>
      <c r="R15" s="667" t="s">
        <v>14</v>
      </c>
      <c r="S15" s="668">
        <f t="shared" si="0"/>
        <v>100</v>
      </c>
      <c r="T15" s="667" t="s">
        <v>14</v>
      </c>
      <c r="U15" s="668">
        <f t="shared" si="1"/>
        <v>100</v>
      </c>
      <c r="V15" s="667" t="s">
        <v>14</v>
      </c>
      <c r="W15" s="668">
        <f t="shared" si="2"/>
        <v>100</v>
      </c>
      <c r="X15" s="1263"/>
      <c r="Y15" s="3402" t="s">
        <v>1686</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89"/>
      <c r="M16" s="2484"/>
      <c r="N16" s="2484"/>
      <c r="O16" s="2484"/>
      <c r="P16" s="3410"/>
      <c r="Q16" s="1261"/>
      <c r="R16" s="667"/>
      <c r="S16" s="668"/>
      <c r="T16" s="667"/>
      <c r="U16" s="668"/>
      <c r="V16" s="667"/>
      <c r="W16" s="668"/>
      <c r="X16" s="1263"/>
      <c r="Y16" s="3403"/>
      <c r="Z16" s="1262"/>
      <c r="AA16" s="1262">
        <v>1</v>
      </c>
      <c r="AB16" s="1262">
        <v>1</v>
      </c>
      <c r="AC16" s="1262">
        <v>1</v>
      </c>
    </row>
    <row r="17" spans="1:29" ht="15">
      <c r="A17" s="367"/>
      <c r="B17" s="390" t="s">
        <v>1254</v>
      </c>
      <c r="C17" s="1752">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10"/>
      <c r="Q17" s="1261" t="str">
        <f>B17</f>
        <v>交通便捷度</v>
      </c>
      <c r="R17" s="667" t="s">
        <v>14</v>
      </c>
      <c r="S17" s="668">
        <f>F17</f>
        <v>100</v>
      </c>
      <c r="T17" s="667" t="s">
        <v>14</v>
      </c>
      <c r="U17" s="668">
        <f>H17</f>
        <v>100</v>
      </c>
      <c r="V17" s="667" t="s">
        <v>14</v>
      </c>
      <c r="W17" s="668">
        <f>J17</f>
        <v>100</v>
      </c>
      <c r="X17" s="1263"/>
      <c r="Y17" s="3403"/>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2489"/>
      <c r="M18" s="2484"/>
      <c r="N18" s="2484"/>
      <c r="O18" s="2484"/>
      <c r="P18" s="3410"/>
      <c r="Q18" s="1261"/>
      <c r="R18" s="667"/>
      <c r="S18" s="668"/>
      <c r="T18" s="667"/>
      <c r="U18" s="668"/>
      <c r="V18" s="667"/>
      <c r="W18" s="668"/>
      <c r="X18" s="1263"/>
      <c r="Y18" s="3403"/>
      <c r="Z18" s="1262"/>
      <c r="AA18" s="1262">
        <v>1</v>
      </c>
      <c r="AB18" s="1262">
        <v>1</v>
      </c>
      <c r="AC18" s="1262">
        <v>1</v>
      </c>
    </row>
    <row r="19" spans="1:29" ht="15">
      <c r="A19" s="367"/>
      <c r="B19" s="390" t="s">
        <v>1773</v>
      </c>
      <c r="C19" s="1752">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10"/>
      <c r="Q19" s="1261" t="str">
        <f>B19</f>
        <v>公共配套设施</v>
      </c>
      <c r="R19" s="667" t="s">
        <v>14</v>
      </c>
      <c r="S19" s="668">
        <f>F19</f>
        <v>100</v>
      </c>
      <c r="T19" s="667" t="s">
        <v>14</v>
      </c>
      <c r="U19" s="668">
        <f>H19</f>
        <v>100</v>
      </c>
      <c r="V19" s="667" t="s">
        <v>14</v>
      </c>
      <c r="W19" s="668">
        <f>J19</f>
        <v>100</v>
      </c>
      <c r="X19" s="1263"/>
      <c r="Y19" s="3403"/>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2489"/>
      <c r="M20" s="2484"/>
      <c r="N20" s="2484"/>
      <c r="O20" s="2484"/>
      <c r="P20" s="3410"/>
      <c r="Q20" s="1261"/>
      <c r="R20" s="667"/>
      <c r="S20" s="668"/>
      <c r="T20" s="667"/>
      <c r="U20" s="668"/>
      <c r="V20" s="667"/>
      <c r="W20" s="668"/>
      <c r="X20" s="1263"/>
      <c r="Y20" s="3403"/>
      <c r="Z20" s="1262"/>
      <c r="AA20" s="1262">
        <v>1</v>
      </c>
      <c r="AB20" s="1262">
        <v>1</v>
      </c>
      <c r="AC20" s="1262">
        <v>1</v>
      </c>
    </row>
    <row r="21" spans="1:29" ht="15">
      <c r="A21" s="367"/>
      <c r="B21" s="586" t="s">
        <v>1774</v>
      </c>
      <c r="C21" s="1752">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10"/>
      <c r="Q21" s="1261" t="str">
        <f>B21</f>
        <v>基础设施水平</v>
      </c>
      <c r="R21" s="667" t="s">
        <v>14</v>
      </c>
      <c r="S21" s="668">
        <f>F21</f>
        <v>100</v>
      </c>
      <c r="T21" s="667" t="s">
        <v>14</v>
      </c>
      <c r="U21" s="668">
        <f>H21</f>
        <v>100</v>
      </c>
      <c r="V21" s="667" t="s">
        <v>14</v>
      </c>
      <c r="W21" s="668">
        <f>J21</f>
        <v>100</v>
      </c>
      <c r="X21" s="1263"/>
      <c r="Y21" s="340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2489"/>
      <c r="M22" s="2484"/>
      <c r="N22" s="2484"/>
      <c r="O22" s="2484"/>
      <c r="P22" s="3410"/>
      <c r="Q22" s="1261"/>
      <c r="R22" s="667"/>
      <c r="S22" s="668"/>
      <c r="T22" s="667"/>
      <c r="U22" s="668"/>
      <c r="V22" s="667"/>
      <c r="W22" s="668"/>
      <c r="X22" s="1263"/>
      <c r="Y22" s="3403"/>
      <c r="Z22" s="1262"/>
      <c r="AA22" s="1262">
        <v>1</v>
      </c>
      <c r="AB22" s="1262">
        <v>1</v>
      </c>
      <c r="AC22" s="1262">
        <v>1</v>
      </c>
    </row>
    <row r="23" spans="1:29" ht="15">
      <c r="A23" s="367"/>
      <c r="B23" s="390" t="s">
        <v>1256</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10"/>
      <c r="Q23" s="1261" t="str">
        <f>B23</f>
        <v>自然及人文环境</v>
      </c>
      <c r="R23" s="667" t="s">
        <v>14</v>
      </c>
      <c r="S23" s="668">
        <f>F23</f>
        <v>100</v>
      </c>
      <c r="T23" s="667" t="s">
        <v>14</v>
      </c>
      <c r="U23" s="668">
        <f>H23</f>
        <v>100</v>
      </c>
      <c r="V23" s="667" t="s">
        <v>14</v>
      </c>
      <c r="W23" s="668">
        <f>J23</f>
        <v>100</v>
      </c>
      <c r="X23" s="1263"/>
      <c r="Y23" s="3403"/>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41"/>
      <c r="L24" s="2489"/>
      <c r="M24" s="2484"/>
      <c r="N24" s="2484"/>
      <c r="O24" s="2484"/>
      <c r="P24" s="3410"/>
      <c r="Q24" s="1261"/>
      <c r="R24" s="667"/>
      <c r="S24" s="668"/>
      <c r="T24" s="667"/>
      <c r="U24" s="668"/>
      <c r="V24" s="667"/>
      <c r="W24" s="668"/>
      <c r="X24" s="1263"/>
      <c r="Y24" s="3403"/>
      <c r="Z24" s="1262"/>
      <c r="AA24" s="1262">
        <v>1</v>
      </c>
      <c r="AB24" s="1262">
        <v>1</v>
      </c>
      <c r="AC24" s="1262">
        <v>1</v>
      </c>
    </row>
    <row r="25" spans="1:29" ht="15">
      <c r="A25" s="367"/>
      <c r="B25" s="364" t="s">
        <v>1775</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10"/>
      <c r="Q25" s="1261" t="str">
        <f t="shared" ref="Q25:Q46" si="11">B25</f>
        <v>临街状况</v>
      </c>
      <c r="R25" s="667" t="s">
        <v>14</v>
      </c>
      <c r="S25" s="668">
        <f>F25</f>
        <v>100</v>
      </c>
      <c r="T25" s="667" t="s">
        <v>14</v>
      </c>
      <c r="U25" s="668">
        <f>H25</f>
        <v>100</v>
      </c>
      <c r="V25" s="667" t="s">
        <v>14</v>
      </c>
      <c r="W25" s="668">
        <f>J25</f>
        <v>100</v>
      </c>
      <c r="X25" s="1263"/>
      <c r="Y25" s="3403"/>
      <c r="Z25" s="1262" t="str">
        <f>Q25</f>
        <v>临街状况</v>
      </c>
      <c r="AA25" s="1262">
        <f t="shared" si="3"/>
        <v>1</v>
      </c>
      <c r="AB25" s="1262">
        <f t="shared" si="4"/>
        <v>1</v>
      </c>
      <c r="AC25" s="1262">
        <f t="shared" si="5"/>
        <v>1</v>
      </c>
    </row>
    <row r="26" spans="1:29" ht="15">
      <c r="A26" s="367"/>
      <c r="B26" s="1064" t="s">
        <v>1776</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10"/>
      <c r="Q26" s="1261" t="str">
        <f t="shared" si="11"/>
        <v>平面位置/可视性</v>
      </c>
      <c r="R26" s="667" t="s">
        <v>14</v>
      </c>
      <c r="S26" s="668">
        <f>F26</f>
        <v>100</v>
      </c>
      <c r="T26" s="667" t="s">
        <v>14</v>
      </c>
      <c r="U26" s="668">
        <f>H26</f>
        <v>100</v>
      </c>
      <c r="V26" s="667" t="s">
        <v>14</v>
      </c>
      <c r="W26" s="668">
        <f>J26</f>
        <v>100</v>
      </c>
      <c r="X26" s="1263"/>
      <c r="Y26" s="3403"/>
      <c r="Z26" s="1262" t="str">
        <f>Q26</f>
        <v>平面位置/可视性</v>
      </c>
      <c r="AA26" s="1262">
        <f t="shared" si="3"/>
        <v>1</v>
      </c>
      <c r="AB26" s="1262">
        <f t="shared" si="4"/>
        <v>1</v>
      </c>
      <c r="AC26" s="1262">
        <f t="shared" si="5"/>
        <v>1</v>
      </c>
    </row>
    <row r="27" spans="1:29" s="102" customFormat="1" ht="15">
      <c r="A27" s="370"/>
      <c r="B27" s="390" t="s">
        <v>1777</v>
      </c>
      <c r="C27" s="1805"/>
      <c r="D27" s="401">
        <v>100</v>
      </c>
      <c r="E27" s="1805"/>
      <c r="F27" s="395">
        <f>SUMIF(90:90,E27,91:91)-SUMIF(90:90,C27,91:91)+100</f>
        <v>100</v>
      </c>
      <c r="G27" s="1805"/>
      <c r="H27" s="401">
        <f>SUMIF(90:90,G27,91:91)-SUMIF(90:90,C27,91:91)+100</f>
        <v>100</v>
      </c>
      <c r="I27" s="1805"/>
      <c r="J27" s="401">
        <f>SUMIF(90:90,I27,91:91)-SUMIF(90:90,C27,91:91)+100</f>
        <v>100</v>
      </c>
      <c r="K27" s="538"/>
      <c r="L27" s="2485"/>
      <c r="M27" s="2436"/>
      <c r="N27" s="2436"/>
      <c r="O27" s="2436"/>
      <c r="P27" s="3410"/>
      <c r="Q27" s="530" t="str">
        <f t="shared" si="11"/>
        <v>人流量</v>
      </c>
      <c r="R27" s="664" t="s">
        <v>14</v>
      </c>
      <c r="S27" s="665">
        <f>F27</f>
        <v>100</v>
      </c>
      <c r="T27" s="664" t="s">
        <v>14</v>
      </c>
      <c r="U27" s="665">
        <f>H27</f>
        <v>100</v>
      </c>
      <c r="V27" s="664" t="s">
        <v>14</v>
      </c>
      <c r="W27" s="665">
        <f>J27</f>
        <v>100</v>
      </c>
      <c r="X27" s="666"/>
      <c r="Y27" s="3403"/>
      <c r="Z27" s="50" t="str">
        <f>Q27</f>
        <v>人流量</v>
      </c>
      <c r="AA27" s="1262">
        <f>D27/F27</f>
        <v>1</v>
      </c>
      <c r="AB27" s="1262">
        <f>D27/H27</f>
        <v>1</v>
      </c>
      <c r="AC27" s="1262">
        <f>D27/J27</f>
        <v>1</v>
      </c>
    </row>
    <row r="28" spans="1:29" ht="15">
      <c r="A28" s="367"/>
      <c r="B28" s="364" t="s">
        <v>1778</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10"/>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03"/>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10"/>
      <c r="Q29" s="1261">
        <f t="shared" si="11"/>
        <v>111</v>
      </c>
      <c r="R29" s="667" t="s">
        <v>14</v>
      </c>
      <c r="S29" s="668">
        <f t="shared" si="12"/>
        <v>100</v>
      </c>
      <c r="T29" s="667" t="s">
        <v>14</v>
      </c>
      <c r="U29" s="668">
        <f t="shared" si="13"/>
        <v>100</v>
      </c>
      <c r="V29" s="667" t="s">
        <v>14</v>
      </c>
      <c r="W29" s="668">
        <f t="shared" si="14"/>
        <v>100</v>
      </c>
      <c r="X29" s="1263"/>
      <c r="Y29" s="3403"/>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10"/>
      <c r="Q30" s="1261">
        <f t="shared" si="11"/>
        <v>111</v>
      </c>
      <c r="R30" s="667" t="s">
        <v>14</v>
      </c>
      <c r="S30" s="668">
        <f t="shared" si="12"/>
        <v>100</v>
      </c>
      <c r="T30" s="667" t="s">
        <v>14</v>
      </c>
      <c r="U30" s="668">
        <f t="shared" si="13"/>
        <v>100</v>
      </c>
      <c r="V30" s="667" t="s">
        <v>14</v>
      </c>
      <c r="W30" s="668">
        <f t="shared" si="14"/>
        <v>100</v>
      </c>
      <c r="X30" s="1263"/>
      <c r="Y30" s="3403"/>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10"/>
      <c r="Q31" s="1261">
        <f t="shared" si="11"/>
        <v>111</v>
      </c>
      <c r="R31" s="667" t="s">
        <v>14</v>
      </c>
      <c r="S31" s="668">
        <f t="shared" si="12"/>
        <v>100</v>
      </c>
      <c r="T31" s="667" t="s">
        <v>14</v>
      </c>
      <c r="U31" s="668">
        <f t="shared" si="13"/>
        <v>100</v>
      </c>
      <c r="V31" s="667" t="s">
        <v>14</v>
      </c>
      <c r="W31" s="668">
        <f t="shared" si="14"/>
        <v>100</v>
      </c>
      <c r="X31" s="1263"/>
      <c r="Y31" s="3403"/>
      <c r="Z31" s="1262">
        <f t="shared" si="15"/>
        <v>111</v>
      </c>
      <c r="AA31" s="1262">
        <f t="shared" si="3"/>
        <v>1</v>
      </c>
      <c r="AB31" s="1262">
        <f t="shared" si="4"/>
        <v>1</v>
      </c>
      <c r="AC31" s="1262">
        <f t="shared" si="5"/>
        <v>1</v>
      </c>
    </row>
    <row r="32" spans="1:29" ht="15">
      <c r="A32" s="379" t="s">
        <v>1689</v>
      </c>
      <c r="B32" s="60" t="s">
        <v>1779</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9"/>
      <c r="M32" s="2484"/>
      <c r="N32" s="2484"/>
      <c r="O32" s="2484"/>
      <c r="P32" s="3404" t="s">
        <v>1691</v>
      </c>
      <c r="Q32" s="1261" t="str">
        <f t="shared" si="11"/>
        <v>商业类型</v>
      </c>
      <c r="R32" s="667" t="s">
        <v>14</v>
      </c>
      <c r="S32" s="668">
        <f t="shared" si="12"/>
        <v>100</v>
      </c>
      <c r="T32" s="667" t="s">
        <v>14</v>
      </c>
      <c r="U32" s="668">
        <f t="shared" si="13"/>
        <v>100</v>
      </c>
      <c r="V32" s="667" t="s">
        <v>14</v>
      </c>
      <c r="W32" s="668">
        <f t="shared" si="14"/>
        <v>100</v>
      </c>
      <c r="X32" s="1263"/>
      <c r="Y32" s="3407" t="s">
        <v>1691</v>
      </c>
      <c r="Z32" s="1262" t="str">
        <f t="shared" si="15"/>
        <v>商业类型</v>
      </c>
      <c r="AA32" s="1262">
        <f t="shared" si="3"/>
        <v>1</v>
      </c>
      <c r="AB32" s="1262">
        <f t="shared" si="4"/>
        <v>1</v>
      </c>
      <c r="AC32" s="1262">
        <f t="shared" si="5"/>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2" t="e">
        <f t="shared" si="3"/>
        <v>#N/A</v>
      </c>
      <c r="AB33" s="1262" t="e">
        <f t="shared" si="4"/>
        <v>#N/A</v>
      </c>
      <c r="AC33" s="1262" t="e">
        <f t="shared" si="5"/>
        <v>#N/A</v>
      </c>
    </row>
    <row r="34" spans="1:29" ht="15">
      <c r="A34" s="409"/>
      <c r="B34" s="364" t="s">
        <v>1693</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05"/>
      <c r="Q34" s="1261" t="str">
        <f t="shared" si="11"/>
        <v>建筑结构</v>
      </c>
      <c r="R34" s="667" t="s">
        <v>14</v>
      </c>
      <c r="S34" s="668">
        <f t="shared" si="12"/>
        <v>100</v>
      </c>
      <c r="T34" s="667" t="s">
        <v>14</v>
      </c>
      <c r="U34" s="668">
        <f t="shared" si="13"/>
        <v>100</v>
      </c>
      <c r="V34" s="667" t="s">
        <v>14</v>
      </c>
      <c r="W34" s="668">
        <f t="shared" si="14"/>
        <v>100</v>
      </c>
      <c r="X34" s="1263"/>
      <c r="Y34" s="3407"/>
      <c r="Z34" s="1262" t="str">
        <f t="shared" si="15"/>
        <v>建筑结构</v>
      </c>
      <c r="AA34" s="1262">
        <f t="shared" si="3"/>
        <v>1</v>
      </c>
      <c r="AB34" s="1262">
        <f t="shared" si="4"/>
        <v>1</v>
      </c>
      <c r="AC34" s="1262">
        <f t="shared" si="5"/>
        <v>1</v>
      </c>
    </row>
    <row r="35" spans="1:29" ht="15">
      <c r="A35" s="409"/>
      <c r="B35" s="364" t="s">
        <v>1780</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9"/>
      <c r="M35" s="2484"/>
      <c r="N35" s="2484"/>
      <c r="O35" s="2484"/>
      <c r="P35" s="3405"/>
      <c r="Q35" s="1261" t="str">
        <f t="shared" si="11"/>
        <v>公共部分装修</v>
      </c>
      <c r="R35" s="667" t="s">
        <v>14</v>
      </c>
      <c r="S35" s="668">
        <f t="shared" si="12"/>
        <v>100</v>
      </c>
      <c r="T35" s="667" t="s">
        <v>14</v>
      </c>
      <c r="U35" s="668">
        <f t="shared" si="13"/>
        <v>100</v>
      </c>
      <c r="V35" s="667" t="s">
        <v>14</v>
      </c>
      <c r="W35" s="668">
        <f t="shared" si="14"/>
        <v>100</v>
      </c>
      <c r="X35" s="1263"/>
      <c r="Y35" s="3407"/>
      <c r="Z35" s="1262" t="str">
        <f t="shared" si="15"/>
        <v>公共部分装修</v>
      </c>
      <c r="AA35" s="1262">
        <f t="shared" si="3"/>
        <v>1</v>
      </c>
      <c r="AB35" s="1262">
        <f t="shared" si="4"/>
        <v>1</v>
      </c>
      <c r="AC35" s="1262">
        <f t="shared" si="5"/>
        <v>1</v>
      </c>
    </row>
    <row r="36" spans="1:29" ht="15">
      <c r="A36" s="409"/>
      <c r="B36" s="364" t="s">
        <v>1781</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05"/>
      <c r="Q36" s="1261" t="str">
        <f t="shared" si="11"/>
        <v>成新度</v>
      </c>
      <c r="R36" s="667" t="s">
        <v>14</v>
      </c>
      <c r="S36" s="668" t="e">
        <f t="shared" si="12"/>
        <v>#N/A</v>
      </c>
      <c r="T36" s="667" t="s">
        <v>14</v>
      </c>
      <c r="U36" s="668" t="e">
        <f t="shared" si="13"/>
        <v>#N/A</v>
      </c>
      <c r="V36" s="667" t="s">
        <v>14</v>
      </c>
      <c r="W36" s="668" t="e">
        <f t="shared" si="14"/>
        <v>#N/A</v>
      </c>
      <c r="X36" s="1263"/>
      <c r="Y36" s="3407"/>
      <c r="Z36" s="1262" t="str">
        <f t="shared" si="15"/>
        <v>成新度</v>
      </c>
      <c r="AA36" s="1262" t="e">
        <f t="shared" si="3"/>
        <v>#N/A</v>
      </c>
      <c r="AB36" s="1262" t="e">
        <f t="shared" si="4"/>
        <v>#N/A</v>
      </c>
      <c r="AC36" s="1262" t="e">
        <f t="shared" si="5"/>
        <v>#N/A</v>
      </c>
    </row>
    <row r="37" spans="1:29" s="102" customFormat="1" ht="15">
      <c r="A37" s="410"/>
      <c r="B37" s="364" t="s">
        <v>1782</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5"/>
      <c r="M37" s="2436"/>
      <c r="N37" s="2436"/>
      <c r="O37" s="2436"/>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1783</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9"/>
      <c r="M38" s="2484"/>
      <c r="N38" s="2484"/>
      <c r="O38" s="2484"/>
      <c r="P38" s="3405" t="s">
        <v>1691</v>
      </c>
      <c r="Q38" s="1261" t="str">
        <f t="shared" si="11"/>
        <v>业态</v>
      </c>
      <c r="R38" s="667" t="s">
        <v>14</v>
      </c>
      <c r="S38" s="668">
        <f t="shared" si="12"/>
        <v>100</v>
      </c>
      <c r="T38" s="667" t="s">
        <v>14</v>
      </c>
      <c r="U38" s="668">
        <f t="shared" si="13"/>
        <v>100</v>
      </c>
      <c r="V38" s="667" t="s">
        <v>14</v>
      </c>
      <c r="W38" s="668">
        <f t="shared" si="14"/>
        <v>100</v>
      </c>
      <c r="X38" s="1263"/>
      <c r="Y38" s="3407" t="s">
        <v>1691</v>
      </c>
      <c r="Z38" s="1262" t="str">
        <f t="shared" si="15"/>
        <v>业态</v>
      </c>
      <c r="AA38" s="1262">
        <f t="shared" si="3"/>
        <v>1</v>
      </c>
      <c r="AB38" s="1262">
        <f t="shared" si="4"/>
        <v>1</v>
      </c>
      <c r="AC38" s="1262">
        <f t="shared" si="5"/>
        <v>1</v>
      </c>
    </row>
    <row r="39" spans="1:29" ht="15">
      <c r="A39" s="409"/>
      <c r="B39" s="364" t="s">
        <v>1784</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9"/>
      <c r="M39" s="2484"/>
      <c r="N39" s="2484"/>
      <c r="O39" s="2484"/>
      <c r="P39" s="3405"/>
      <c r="Q39" s="1261" t="str">
        <f t="shared" si="11"/>
        <v>层高</v>
      </c>
      <c r="R39" s="667" t="s">
        <v>14</v>
      </c>
      <c r="S39" s="668">
        <f t="shared" si="12"/>
        <v>100</v>
      </c>
      <c r="T39" s="667" t="s">
        <v>14</v>
      </c>
      <c r="U39" s="668">
        <f t="shared" si="13"/>
        <v>100</v>
      </c>
      <c r="V39" s="667" t="s">
        <v>14</v>
      </c>
      <c r="W39" s="668">
        <f t="shared" si="14"/>
        <v>100</v>
      </c>
      <c r="X39" s="1263"/>
      <c r="Y39" s="3407"/>
      <c r="Z39" s="1262" t="str">
        <f t="shared" si="15"/>
        <v>层高</v>
      </c>
      <c r="AA39" s="1262">
        <f t="shared" si="3"/>
        <v>1</v>
      </c>
      <c r="AB39" s="1262">
        <f t="shared" si="4"/>
        <v>1</v>
      </c>
      <c r="AC39" s="1262">
        <f t="shared" si="5"/>
        <v>1</v>
      </c>
    </row>
    <row r="40" spans="1:29" ht="15">
      <c r="A40" s="409"/>
      <c r="B40" s="364" t="s">
        <v>1785</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05"/>
      <c r="Q40" s="1261" t="str">
        <f t="shared" si="11"/>
        <v>单套建筑面积</v>
      </c>
      <c r="R40" s="667" t="s">
        <v>14</v>
      </c>
      <c r="S40" s="668">
        <f t="shared" si="12"/>
        <v>100</v>
      </c>
      <c r="T40" s="667" t="s">
        <v>14</v>
      </c>
      <c r="U40" s="668">
        <f t="shared" si="13"/>
        <v>100</v>
      </c>
      <c r="V40" s="667" t="s">
        <v>14</v>
      </c>
      <c r="W40" s="668">
        <f t="shared" si="14"/>
        <v>100</v>
      </c>
      <c r="X40" s="1263"/>
      <c r="Y40" s="3407"/>
      <c r="Z40" s="1262" t="str">
        <f t="shared" si="15"/>
        <v>单套建筑面积</v>
      </c>
      <c r="AA40" s="1262">
        <f t="shared" si="3"/>
        <v>1</v>
      </c>
      <c r="AB40" s="1262">
        <f t="shared" si="4"/>
        <v>1</v>
      </c>
      <c r="AC40" s="1262">
        <f t="shared" si="5"/>
        <v>1</v>
      </c>
    </row>
    <row r="41" spans="1:29" s="408" customFormat="1" ht="15">
      <c r="A41" s="406"/>
      <c r="B41" s="400" t="s">
        <v>1786</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2">
        <f t="shared" si="3"/>
        <v>1</v>
      </c>
      <c r="AB41" s="1262">
        <f t="shared" si="4"/>
        <v>1</v>
      </c>
      <c r="AC41" s="1262">
        <f t="shared" si="5"/>
        <v>1</v>
      </c>
    </row>
    <row r="42" spans="1:29" ht="15">
      <c r="A42" s="409"/>
      <c r="B42" s="364" t="s">
        <v>1787</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9"/>
      <c r="M42" s="2484"/>
      <c r="N42" s="2484"/>
      <c r="O42" s="2484"/>
      <c r="P42" s="3405"/>
      <c r="Q42" s="1261" t="str">
        <f t="shared" si="11"/>
        <v>内部装修</v>
      </c>
      <c r="R42" s="667" t="s">
        <v>14</v>
      </c>
      <c r="S42" s="668">
        <f t="shared" si="12"/>
        <v>100</v>
      </c>
      <c r="T42" s="667" t="s">
        <v>14</v>
      </c>
      <c r="U42" s="668">
        <f t="shared" si="13"/>
        <v>100</v>
      </c>
      <c r="V42" s="667" t="s">
        <v>14</v>
      </c>
      <c r="W42" s="668">
        <f t="shared" si="14"/>
        <v>100</v>
      </c>
      <c r="X42" s="1263"/>
      <c r="Y42" s="3407"/>
      <c r="Z42" s="1262" t="str">
        <f t="shared" si="15"/>
        <v>内部装修</v>
      </c>
      <c r="AA42" s="1262">
        <f t="shared" si="3"/>
        <v>1</v>
      </c>
      <c r="AB42" s="1262">
        <f t="shared" si="4"/>
        <v>1</v>
      </c>
      <c r="AC42" s="1262">
        <f t="shared" si="5"/>
        <v>1</v>
      </c>
    </row>
    <row r="43" spans="1:29" ht="15">
      <c r="A43" s="409"/>
      <c r="B43" s="364" t="s">
        <v>1702</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9"/>
      <c r="M43" s="2484"/>
      <c r="N43" s="2484"/>
      <c r="O43" s="2484"/>
      <c r="P43" s="3405"/>
      <c r="Q43" s="1261" t="str">
        <f t="shared" si="11"/>
        <v>内部装修维护情况</v>
      </c>
      <c r="R43" s="667" t="s">
        <v>14</v>
      </c>
      <c r="S43" s="668">
        <f t="shared" si="12"/>
        <v>100</v>
      </c>
      <c r="T43" s="667" t="s">
        <v>14</v>
      </c>
      <c r="U43" s="668">
        <f t="shared" si="13"/>
        <v>100</v>
      </c>
      <c r="V43" s="667" t="s">
        <v>14</v>
      </c>
      <c r="W43" s="668">
        <f t="shared" si="14"/>
        <v>100</v>
      </c>
      <c r="X43" s="1263"/>
      <c r="Y43" s="3407"/>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05"/>
      <c r="Q45" s="1261">
        <f t="shared" si="11"/>
        <v>111</v>
      </c>
      <c r="R45" s="667" t="s">
        <v>14</v>
      </c>
      <c r="S45" s="668">
        <f t="shared" si="12"/>
        <v>100</v>
      </c>
      <c r="T45" s="667" t="s">
        <v>14</v>
      </c>
      <c r="U45" s="668">
        <f t="shared" si="13"/>
        <v>100</v>
      </c>
      <c r="V45" s="667" t="s">
        <v>14</v>
      </c>
      <c r="W45" s="668">
        <f t="shared" si="14"/>
        <v>100</v>
      </c>
      <c r="X45" s="1263"/>
      <c r="Y45" s="3407"/>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06"/>
      <c r="Q46" s="1261">
        <f t="shared" si="11"/>
        <v>111</v>
      </c>
      <c r="R46" s="667" t="s">
        <v>14</v>
      </c>
      <c r="S46" s="668">
        <f t="shared" si="12"/>
        <v>100</v>
      </c>
      <c r="T46" s="667" t="s">
        <v>14</v>
      </c>
      <c r="U46" s="668">
        <f t="shared" si="13"/>
        <v>100</v>
      </c>
      <c r="V46" s="667" t="s">
        <v>14</v>
      </c>
      <c r="W46" s="668">
        <f t="shared" si="14"/>
        <v>100</v>
      </c>
      <c r="X46" s="1263"/>
      <c r="Y46" s="3408"/>
      <c r="Z46" s="1262">
        <f t="shared" si="15"/>
        <v>111</v>
      </c>
      <c r="AA46" s="1262">
        <f t="shared" si="3"/>
        <v>1</v>
      </c>
      <c r="AB46" s="1262">
        <f t="shared" si="4"/>
        <v>1</v>
      </c>
      <c r="AC46" s="1262">
        <f t="shared" si="5"/>
        <v>1</v>
      </c>
    </row>
    <row r="47" spans="1:29" ht="15">
      <c r="A47" s="416" t="s">
        <v>1703</v>
      </c>
      <c r="B47" s="417"/>
      <c r="C47" s="1079" t="s">
        <v>0</v>
      </c>
      <c r="D47" s="418"/>
      <c r="E47" s="419"/>
      <c r="F47" s="420"/>
      <c r="G47" s="421"/>
      <c r="H47" s="422"/>
      <c r="I47" s="419"/>
      <c r="J47" s="422"/>
      <c r="K47" s="674"/>
      <c r="L47" s="2491"/>
      <c r="M47" s="2484"/>
      <c r="N47" s="2484"/>
      <c r="O47" s="2484"/>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75" thickBot="1">
      <c r="A48" s="423" t="s">
        <v>1788</v>
      </c>
      <c r="B48" s="424"/>
      <c r="C48" s="1080" t="e">
        <f>R49</f>
        <v>#DIV/0!</v>
      </c>
      <c r="D48" s="2139" t="s">
        <v>2133</v>
      </c>
      <c r="E48" s="1081" t="e">
        <f>R48</f>
        <v>#DIV/0!</v>
      </c>
      <c r="F48" s="2140"/>
      <c r="G48" s="1080" t="e">
        <f>T48</f>
        <v>#DIV/0!</v>
      </c>
      <c r="H48" s="2140"/>
      <c r="I48" s="1081" t="e">
        <f>V48</f>
        <v>#DIV/0!</v>
      </c>
      <c r="J48" s="2140"/>
      <c r="K48" s="2142">
        <f>F48+H48+J48</f>
        <v>0</v>
      </c>
      <c r="L48" s="2491"/>
      <c r="M48" s="2484"/>
      <c r="N48" s="2484"/>
      <c r="O48" s="2484"/>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75" thickBot="1">
      <c r="A49" s="427" t="s">
        <v>1789</v>
      </c>
      <c r="B49" s="428"/>
      <c r="C49" s="351" t="e">
        <f>R49</f>
        <v>#DIV/0!</v>
      </c>
      <c r="D49" s="351"/>
      <c r="E49" s="351"/>
      <c r="F49" s="351"/>
      <c r="G49" s="351"/>
      <c r="H49" s="351"/>
      <c r="I49" s="351"/>
      <c r="J49" s="351"/>
      <c r="K49" s="675"/>
      <c r="L49" s="2491"/>
      <c r="M49" s="2484"/>
      <c r="N49" s="2484"/>
      <c r="O49" s="2484"/>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1793</v>
      </c>
      <c r="B57" s="385"/>
      <c r="C57" s="659"/>
      <c r="D57" s="659"/>
      <c r="E57" s="659"/>
      <c r="F57" s="660"/>
      <c r="G57" s="660"/>
      <c r="H57" s="659"/>
      <c r="I57" s="659"/>
      <c r="J57" s="659"/>
      <c r="K57" s="661"/>
      <c r="L57" s="886"/>
      <c r="M57" s="884"/>
      <c r="N57" s="884"/>
      <c r="O57" s="884"/>
      <c r="P57" s="2504"/>
      <c r="Q57" s="2505"/>
      <c r="R57" s="2484"/>
      <c r="S57" s="2484"/>
      <c r="T57" s="2484"/>
      <c r="U57" s="2484"/>
      <c r="V57" s="2484"/>
      <c r="W57" s="2484"/>
      <c r="X57" s="2484"/>
      <c r="Y57" s="2484"/>
      <c r="Z57" s="2484"/>
      <c r="AA57" s="2484"/>
      <c r="AB57" s="2484"/>
      <c r="AC57" s="2484"/>
    </row>
    <row r="58" spans="1:29" s="442" customFormat="1" ht="15">
      <c r="A58" s="440" t="s">
        <v>1674</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6"/>
      <c r="Q58" s="2507"/>
      <c r="R58" s="2507"/>
      <c r="S58" s="2507"/>
      <c r="T58" s="2507"/>
      <c r="U58" s="2507"/>
      <c r="V58" s="2507"/>
      <c r="W58" s="2507"/>
      <c r="X58" s="2507"/>
      <c r="Y58" s="2507"/>
      <c r="Z58" s="2507"/>
      <c r="AA58" s="2507"/>
      <c r="AB58" s="2507"/>
      <c r="AC58" s="2507"/>
    </row>
    <row r="59" spans="1:29" s="102" customFormat="1" ht="15">
      <c r="A59" s="443"/>
      <c r="B59" s="444"/>
      <c r="C59" s="1100">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1711</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1676</v>
      </c>
      <c r="B61" s="444"/>
      <c r="C61" s="456" t="s">
        <v>1771</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1714</v>
      </c>
      <c r="B63" s="460" t="s">
        <v>1680</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1683</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1684</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1685</v>
      </c>
      <c r="B76" s="460" t="s">
        <v>1715</v>
      </c>
      <c r="C76" s="504" t="s">
        <v>1716</v>
      </c>
      <c r="D76" s="504" t="s">
        <v>1717</v>
      </c>
      <c r="E76" s="504" t="s">
        <v>1718</v>
      </c>
      <c r="F76" s="504" t="s">
        <v>1719</v>
      </c>
      <c r="G76" s="504" t="s">
        <v>1720</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1721</v>
      </c>
      <c r="C78" s="509" t="s">
        <v>1716</v>
      </c>
      <c r="D78" s="509" t="s">
        <v>1717</v>
      </c>
      <c r="E78" s="509" t="s">
        <v>1718</v>
      </c>
      <c r="F78" s="509" t="s">
        <v>1719</v>
      </c>
      <c r="G78" s="509" t="s">
        <v>1720</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1722</v>
      </c>
      <c r="C80" s="509" t="s">
        <v>1716</v>
      </c>
      <c r="D80" s="509" t="s">
        <v>1717</v>
      </c>
      <c r="E80" s="509" t="s">
        <v>1718</v>
      </c>
      <c r="F80" s="509" t="s">
        <v>1719</v>
      </c>
      <c r="G80" s="509" t="s">
        <v>1720</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1774</v>
      </c>
      <c r="C82" s="581" t="s">
        <v>1794</v>
      </c>
      <c r="D82" s="581" t="s">
        <v>1795</v>
      </c>
      <c r="E82" s="581" t="s">
        <v>1796</v>
      </c>
      <c r="F82" s="581" t="s">
        <v>1797</v>
      </c>
      <c r="G82" s="581" t="s">
        <v>1798</v>
      </c>
      <c r="H82" s="470"/>
      <c r="I82" s="470"/>
      <c r="J82" s="470"/>
      <c r="K82" s="470"/>
      <c r="L82" s="470"/>
      <c r="M82" s="1061"/>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1728</v>
      </c>
      <c r="C84" s="509" t="s">
        <v>1716</v>
      </c>
      <c r="D84" s="509" t="s">
        <v>1717</v>
      </c>
      <c r="E84" s="509" t="s">
        <v>1718</v>
      </c>
      <c r="F84" s="509" t="s">
        <v>1719</v>
      </c>
      <c r="G84" s="509" t="s">
        <v>1720</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1799</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8"/>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1689</v>
      </c>
      <c r="B100" s="460" t="s">
        <v>1800</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1732</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1733</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1735</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1185</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1737</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1801</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1802</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1803</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1804</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1739</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1740</v>
      </c>
      <c r="C124" s="509" t="s">
        <v>1716</v>
      </c>
      <c r="D124" s="509" t="s">
        <v>1717</v>
      </c>
      <c r="E124" s="509" t="s">
        <v>1718</v>
      </c>
      <c r="F124" s="509" t="s">
        <v>1719</v>
      </c>
      <c r="G124" s="509" t="s">
        <v>1720</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806" t="s">
        <v>1805</v>
      </c>
      <c r="C1" s="1139" t="s">
        <v>1657</v>
      </c>
      <c r="D1" s="1140"/>
      <c r="E1" s="3128"/>
      <c r="F1" s="1733"/>
      <c r="G1" s="1150" t="s">
        <v>1762</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1457</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1458</v>
      </c>
      <c r="F2" s="1737"/>
      <c r="G2" s="853"/>
      <c r="H2" s="853"/>
      <c r="I2" s="853"/>
      <c r="J2" s="853"/>
      <c r="K2" s="853"/>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f>IF(C2="——",C50,ROUND(B2*10000/D3,0))</f>
        <v>0</v>
      </c>
      <c r="C3" s="344" t="s">
        <v>1763</v>
      </c>
      <c r="D3" s="343">
        <f>IF(D1="",'数据-汇总表'!E3,SUMIF('数据-汇总表'!$C19:$C33,D1,'数据-汇总表'!$E19:$E33))</f>
        <v>139616.6</v>
      </c>
      <c r="E3" s="1803"/>
      <c r="F3" s="854"/>
      <c r="G3" s="853"/>
      <c r="H3" s="853"/>
      <c r="I3" s="853"/>
      <c r="J3" s="853"/>
      <c r="K3" s="855"/>
      <c r="L3" s="2500"/>
      <c r="M3" s="2501"/>
      <c r="N3" s="2501"/>
      <c r="O3" s="2501"/>
      <c r="P3" s="341"/>
      <c r="Q3" s="341"/>
      <c r="R3" s="341"/>
      <c r="S3" s="341"/>
      <c r="T3" s="341"/>
      <c r="U3" s="341"/>
      <c r="V3" s="341"/>
      <c r="W3" s="341"/>
      <c r="X3" s="341"/>
      <c r="Y3" s="341"/>
      <c r="Z3" s="341"/>
      <c r="AA3" s="341"/>
      <c r="AB3" s="341"/>
      <c r="AC3" s="663"/>
    </row>
    <row r="4" spans="1:29" ht="15">
      <c r="A4" s="345" t="s">
        <v>1764</v>
      </c>
      <c r="B4" s="346"/>
      <c r="C4" s="3415" t="s">
        <v>1765</v>
      </c>
      <c r="D4" s="3416"/>
      <c r="E4" s="3417" t="s">
        <v>1766</v>
      </c>
      <c r="F4" s="3418"/>
      <c r="G4" s="3415" t="s">
        <v>1767</v>
      </c>
      <c r="H4" s="3416"/>
      <c r="I4" s="3415" t="s">
        <v>1768</v>
      </c>
      <c r="J4" s="3416"/>
      <c r="K4" s="537" t="s">
        <v>1769</v>
      </c>
      <c r="L4" s="2483"/>
      <c r="M4" s="2484"/>
      <c r="N4" s="2484"/>
      <c r="O4" s="2484"/>
      <c r="P4" s="3448" t="s">
        <v>1770</v>
      </c>
      <c r="Q4" s="3449"/>
      <c r="R4" s="3452" t="s">
        <v>1766</v>
      </c>
      <c r="S4" s="3453"/>
      <c r="T4" s="3452" t="s">
        <v>1767</v>
      </c>
      <c r="U4" s="3453"/>
      <c r="V4" s="3454" t="s">
        <v>1768</v>
      </c>
      <c r="W4" s="3454"/>
      <c r="X4" s="1807"/>
      <c r="Y4" s="3452" t="s">
        <v>1770</v>
      </c>
      <c r="Z4" s="3453"/>
      <c r="AA4" s="3456" t="s">
        <v>1766</v>
      </c>
      <c r="AB4" s="3456" t="s">
        <v>1767</v>
      </c>
      <c r="AC4" s="3445" t="s">
        <v>1768</v>
      </c>
    </row>
    <row r="5" spans="1:29" ht="15">
      <c r="A5" s="348"/>
      <c r="B5" s="349"/>
      <c r="C5" s="3433" t="s">
        <v>1668</v>
      </c>
      <c r="D5" s="3434"/>
      <c r="E5" s="3440" t="s">
        <v>1669</v>
      </c>
      <c r="F5" s="3441"/>
      <c r="G5" s="3433" t="s">
        <v>1670</v>
      </c>
      <c r="H5" s="3434"/>
      <c r="I5" s="3433" t="s">
        <v>1671</v>
      </c>
      <c r="J5" s="3434"/>
      <c r="K5" s="537"/>
      <c r="L5" s="2483"/>
      <c r="M5" s="2484"/>
      <c r="N5" s="2484"/>
      <c r="O5" s="2484"/>
      <c r="P5" s="3450"/>
      <c r="Q5" s="3422"/>
      <c r="R5" s="3427"/>
      <c r="S5" s="3428"/>
      <c r="T5" s="3427"/>
      <c r="U5" s="3428"/>
      <c r="V5" s="3401"/>
      <c r="W5" s="3401"/>
      <c r="X5" s="1263"/>
      <c r="Y5" s="3427"/>
      <c r="Z5" s="3428"/>
      <c r="AA5" s="3413"/>
      <c r="AB5" s="3413"/>
      <c r="AC5" s="3446"/>
    </row>
    <row r="6" spans="1:29" ht="15.75" thickBot="1">
      <c r="A6" s="350"/>
      <c r="B6" s="351"/>
      <c r="C6" s="3431" t="s">
        <v>1672</v>
      </c>
      <c r="D6" s="3432"/>
      <c r="E6" s="3438" t="s">
        <v>1672</v>
      </c>
      <c r="F6" s="3439"/>
      <c r="G6" s="3431" t="s">
        <v>1672</v>
      </c>
      <c r="H6" s="3432"/>
      <c r="I6" s="3431" t="s">
        <v>1672</v>
      </c>
      <c r="J6" s="3432"/>
      <c r="K6" s="537" t="s">
        <v>1673</v>
      </c>
      <c r="L6" s="2483"/>
      <c r="M6" s="2484"/>
      <c r="N6" s="2484"/>
      <c r="O6" s="2484"/>
      <c r="P6" s="3451"/>
      <c r="Q6" s="3424"/>
      <c r="R6" s="3427"/>
      <c r="S6" s="3428"/>
      <c r="T6" s="3429"/>
      <c r="U6" s="3430"/>
      <c r="V6" s="3401"/>
      <c r="W6" s="3401"/>
      <c r="X6" s="1263"/>
      <c r="Y6" s="3429"/>
      <c r="Z6" s="3430"/>
      <c r="AA6" s="3414"/>
      <c r="AB6" s="3414"/>
      <c r="AC6" s="3447"/>
    </row>
    <row r="7" spans="1:29" s="102" customFormat="1" ht="15.75" thickBot="1">
      <c r="A7" s="352" t="s">
        <v>1674</v>
      </c>
      <c r="B7" s="353"/>
      <c r="C7" s="354">
        <f>'数据-取费表'!B2</f>
        <v>45804</v>
      </c>
      <c r="D7" s="355">
        <v>100</v>
      </c>
      <c r="E7" s="356"/>
      <c r="F7" s="357">
        <f>SUMIF(59:59,YEAR(E7)&amp;"-"&amp;MONTH(E7),60:60)</f>
        <v>0</v>
      </c>
      <c r="G7" s="356"/>
      <c r="H7" s="355">
        <f>SUMIF(59:59,YEAR(G7)&amp;"-"&amp;MONTH(G7),60:60)</f>
        <v>0</v>
      </c>
      <c r="I7" s="356"/>
      <c r="J7" s="355">
        <f>SUMIF(59:59,YEAR(I7)&amp;"-"&amp;MONTH(I7),60:60)</f>
        <v>0</v>
      </c>
      <c r="K7" s="38"/>
      <c r="L7" s="2485"/>
      <c r="M7" s="2436"/>
      <c r="N7" s="2436"/>
      <c r="O7" s="2436"/>
      <c r="P7" s="3455" t="s">
        <v>1675</v>
      </c>
      <c r="Q7" s="3437"/>
      <c r="R7" s="664" t="s">
        <v>14</v>
      </c>
      <c r="S7" s="665">
        <f t="shared" ref="S7:S15" si="0">F7</f>
        <v>0</v>
      </c>
      <c r="T7" s="664" t="s">
        <v>14</v>
      </c>
      <c r="U7" s="665">
        <f t="shared" ref="U7:U15" si="1">H7</f>
        <v>0</v>
      </c>
      <c r="V7" s="664" t="s">
        <v>14</v>
      </c>
      <c r="W7" s="665">
        <f t="shared" ref="W7:W15" si="2">J7</f>
        <v>0</v>
      </c>
      <c r="X7" s="666"/>
      <c r="Y7" s="3435" t="s">
        <v>1675</v>
      </c>
      <c r="Z7" s="3436"/>
      <c r="AA7" s="50" t="e">
        <f>D7/F7</f>
        <v>#DIV/0!</v>
      </c>
      <c r="AB7" s="50" t="e">
        <f>D7/H7</f>
        <v>#DIV/0!</v>
      </c>
      <c r="AC7" s="800" t="e">
        <f>D7/J7</f>
        <v>#DIV/0!</v>
      </c>
    </row>
    <row r="8" spans="1:29" s="102" customFormat="1" ht="15.75" thickBot="1">
      <c r="A8" s="352" t="s">
        <v>1676</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55" t="s">
        <v>1678</v>
      </c>
      <c r="Q8" s="3436"/>
      <c r="R8" s="664" t="s">
        <v>14</v>
      </c>
      <c r="S8" s="665">
        <f t="shared" si="0"/>
        <v>100</v>
      </c>
      <c r="T8" s="664" t="s">
        <v>14</v>
      </c>
      <c r="U8" s="665">
        <f t="shared" si="1"/>
        <v>100</v>
      </c>
      <c r="V8" s="664" t="s">
        <v>14</v>
      </c>
      <c r="W8" s="665">
        <f t="shared" si="2"/>
        <v>100</v>
      </c>
      <c r="X8" s="666"/>
      <c r="Y8" s="3435" t="s">
        <v>1678</v>
      </c>
      <c r="Z8" s="3436"/>
      <c r="AA8" s="50">
        <f t="shared" ref="AA8:AA47" si="3">D8/F8</f>
        <v>1</v>
      </c>
      <c r="AB8" s="50">
        <f t="shared" ref="AB8:AB47" si="4">D8/H8</f>
        <v>1</v>
      </c>
      <c r="AC8" s="800">
        <f t="shared" ref="AC8:AC47" si="5">D8/J8</f>
        <v>1</v>
      </c>
    </row>
    <row r="9" spans="1:29" s="102" customFormat="1">
      <c r="A9" s="359" t="s">
        <v>1679</v>
      </c>
      <c r="B9" s="60" t="s">
        <v>1680</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411" t="s">
        <v>1681</v>
      </c>
      <c r="Q9" s="530" t="str">
        <f t="shared" ref="Q9:Q15" si="6">B9</f>
        <v>用途</v>
      </c>
      <c r="R9" s="664" t="s">
        <v>14</v>
      </c>
      <c r="S9" s="665">
        <f t="shared" si="0"/>
        <v>100</v>
      </c>
      <c r="T9" s="664" t="s">
        <v>14</v>
      </c>
      <c r="U9" s="665">
        <f t="shared" si="1"/>
        <v>100</v>
      </c>
      <c r="V9" s="664" t="s">
        <v>14</v>
      </c>
      <c r="W9" s="665">
        <f t="shared" si="2"/>
        <v>100</v>
      </c>
      <c r="X9" s="666"/>
      <c r="Y9" s="3275" t="s">
        <v>1682</v>
      </c>
      <c r="Z9" s="50" t="str">
        <f t="shared" ref="Z9:Z15" si="7">Q9</f>
        <v>用途</v>
      </c>
      <c r="AA9" s="50">
        <f t="shared" si="3"/>
        <v>1</v>
      </c>
      <c r="AB9" s="50">
        <f t="shared" si="4"/>
        <v>1</v>
      </c>
      <c r="AC9" s="800">
        <f t="shared" si="5"/>
        <v>1</v>
      </c>
    </row>
    <row r="10" spans="1:29" s="366" customFormat="1" ht="27">
      <c r="A10" s="363"/>
      <c r="B10" s="364" t="s">
        <v>1683</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800">
        <f t="shared" si="5"/>
        <v>1</v>
      </c>
    </row>
    <row r="11" spans="1:29" ht="15">
      <c r="A11" s="367"/>
      <c r="B11" s="364" t="s">
        <v>1684</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11"/>
      <c r="Q11" s="530" t="str">
        <f t="shared" si="6"/>
        <v>容积率</v>
      </c>
      <c r="R11" s="664" t="s">
        <v>14</v>
      </c>
      <c r="S11" s="665">
        <f t="shared" si="0"/>
        <v>100</v>
      </c>
      <c r="T11" s="664" t="s">
        <v>14</v>
      </c>
      <c r="U11" s="665">
        <f t="shared" si="1"/>
        <v>100</v>
      </c>
      <c r="V11" s="664" t="s">
        <v>14</v>
      </c>
      <c r="W11" s="665">
        <f t="shared" si="2"/>
        <v>100</v>
      </c>
      <c r="X11" s="666"/>
      <c r="Y11" s="3275"/>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5"/>
      <c r="M12" s="2436"/>
      <c r="N12" s="2436"/>
      <c r="O12" s="2436"/>
      <c r="P12" s="3411"/>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9"/>
      <c r="M13" s="2484"/>
      <c r="N13" s="2484"/>
      <c r="O13" s="2484"/>
      <c r="P13" s="3411"/>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800">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9"/>
      <c r="M14" s="2484"/>
      <c r="N14" s="2484"/>
      <c r="O14" s="2484"/>
      <c r="P14" s="3411"/>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800">
        <f t="shared" si="5"/>
        <v>1</v>
      </c>
    </row>
    <row r="15" spans="1:29" ht="15">
      <c r="A15" s="379" t="s">
        <v>1685</v>
      </c>
      <c r="B15" s="554" t="s">
        <v>1806</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09" t="s">
        <v>1686</v>
      </c>
      <c r="Q15" s="1261" t="str">
        <f t="shared" si="6"/>
        <v>办公集聚程度</v>
      </c>
      <c r="R15" s="667" t="s">
        <v>14</v>
      </c>
      <c r="S15" s="668">
        <f t="shared" si="0"/>
        <v>100</v>
      </c>
      <c r="T15" s="667" t="s">
        <v>14</v>
      </c>
      <c r="U15" s="668">
        <f t="shared" si="1"/>
        <v>100</v>
      </c>
      <c r="V15" s="667" t="s">
        <v>14</v>
      </c>
      <c r="W15" s="668">
        <f t="shared" si="2"/>
        <v>100</v>
      </c>
      <c r="X15" s="1263"/>
      <c r="Y15" s="3402" t="s">
        <v>1686</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9"/>
      <c r="M16" s="2484"/>
      <c r="N16" s="2484"/>
      <c r="O16" s="2484"/>
      <c r="P16" s="3410"/>
      <c r="Q16" s="1261"/>
      <c r="R16" s="667"/>
      <c r="S16" s="668"/>
      <c r="T16" s="667"/>
      <c r="U16" s="668"/>
      <c r="V16" s="667"/>
      <c r="W16" s="668"/>
      <c r="X16" s="1263"/>
      <c r="Y16" s="3403"/>
      <c r="Z16" s="1262"/>
      <c r="AA16" s="1262">
        <v>1</v>
      </c>
      <c r="AB16" s="1262">
        <v>1</v>
      </c>
      <c r="AC16" s="1810">
        <v>1</v>
      </c>
    </row>
    <row r="17" spans="1:29" ht="15">
      <c r="A17" s="367"/>
      <c r="B17" s="556" t="s">
        <v>1254</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10"/>
      <c r="Q17" s="1261" t="str">
        <f>B17</f>
        <v>交通便捷度</v>
      </c>
      <c r="R17" s="667" t="s">
        <v>14</v>
      </c>
      <c r="S17" s="668">
        <f>F17</f>
        <v>100</v>
      </c>
      <c r="T17" s="667" t="s">
        <v>14</v>
      </c>
      <c r="U17" s="668">
        <f>H17</f>
        <v>100</v>
      </c>
      <c r="V17" s="667" t="s">
        <v>14</v>
      </c>
      <c r="W17" s="668">
        <f>J17</f>
        <v>100</v>
      </c>
      <c r="X17" s="1263"/>
      <c r="Y17" s="3403"/>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9"/>
      <c r="M18" s="2484"/>
      <c r="N18" s="2484"/>
      <c r="O18" s="2484"/>
      <c r="P18" s="3410"/>
      <c r="Q18" s="1261"/>
      <c r="R18" s="667"/>
      <c r="S18" s="668"/>
      <c r="T18" s="667"/>
      <c r="U18" s="668"/>
      <c r="V18" s="667"/>
      <c r="W18" s="668"/>
      <c r="X18" s="1263"/>
      <c r="Y18" s="3403"/>
      <c r="Z18" s="1262"/>
      <c r="AA18" s="1262">
        <v>1</v>
      </c>
      <c r="AB18" s="1262">
        <v>1</v>
      </c>
      <c r="AC18" s="1810">
        <v>1</v>
      </c>
    </row>
    <row r="19" spans="1:29" ht="15">
      <c r="A19" s="367"/>
      <c r="B19" s="556" t="s">
        <v>1807</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10"/>
      <c r="Q19" s="1261" t="str">
        <f>B19</f>
        <v>公共配套设施</v>
      </c>
      <c r="R19" s="667" t="s">
        <v>14</v>
      </c>
      <c r="S19" s="668">
        <f>F19</f>
        <v>100</v>
      </c>
      <c r="T19" s="667" t="s">
        <v>14</v>
      </c>
      <c r="U19" s="668">
        <f>H19</f>
        <v>100</v>
      </c>
      <c r="V19" s="667" t="s">
        <v>14</v>
      </c>
      <c r="W19" s="668">
        <f>J19</f>
        <v>100</v>
      </c>
      <c r="X19" s="1263"/>
      <c r="Y19" s="3403"/>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9"/>
      <c r="M20" s="2484"/>
      <c r="N20" s="2484"/>
      <c r="O20" s="2484"/>
      <c r="P20" s="3410"/>
      <c r="Q20" s="1261"/>
      <c r="R20" s="667"/>
      <c r="S20" s="668"/>
      <c r="T20" s="667"/>
      <c r="U20" s="668"/>
      <c r="V20" s="667"/>
      <c r="W20" s="668"/>
      <c r="X20" s="1263"/>
      <c r="Y20" s="3403"/>
      <c r="Z20" s="1262"/>
      <c r="AA20" s="1262">
        <v>1</v>
      </c>
      <c r="AB20" s="1262">
        <v>1</v>
      </c>
      <c r="AC20" s="1810">
        <v>1</v>
      </c>
    </row>
    <row r="21" spans="1:29" ht="15">
      <c r="A21" s="367"/>
      <c r="B21" s="557" t="s">
        <v>1808</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10"/>
      <c r="Q21" s="1261" t="str">
        <f>B21</f>
        <v>基础设施水平</v>
      </c>
      <c r="R21" s="667" t="s">
        <v>14</v>
      </c>
      <c r="S21" s="668">
        <f>F21</f>
        <v>100</v>
      </c>
      <c r="T21" s="667" t="s">
        <v>14</v>
      </c>
      <c r="U21" s="668">
        <f>H21</f>
        <v>100</v>
      </c>
      <c r="V21" s="667" t="s">
        <v>14</v>
      </c>
      <c r="W21" s="668">
        <f>J21</f>
        <v>100</v>
      </c>
      <c r="X21" s="1263"/>
      <c r="Y21" s="3403"/>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9"/>
      <c r="M22" s="2484"/>
      <c r="N22" s="2484"/>
      <c r="O22" s="2484"/>
      <c r="P22" s="3410"/>
      <c r="Q22" s="1261"/>
      <c r="R22" s="667"/>
      <c r="S22" s="668"/>
      <c r="T22" s="667"/>
      <c r="U22" s="668"/>
      <c r="V22" s="667"/>
      <c r="W22" s="668"/>
      <c r="X22" s="1263"/>
      <c r="Y22" s="3403"/>
      <c r="Z22" s="1262"/>
      <c r="AA22" s="1262">
        <v>1</v>
      </c>
      <c r="AB22" s="1262">
        <v>1</v>
      </c>
      <c r="AC22" s="1810">
        <v>1</v>
      </c>
    </row>
    <row r="23" spans="1:29" ht="15">
      <c r="A23" s="367"/>
      <c r="B23" s="556" t="s">
        <v>1809</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10"/>
      <c r="Q23" s="1261" t="str">
        <f>B23</f>
        <v>环境质量</v>
      </c>
      <c r="R23" s="667" t="s">
        <v>14</v>
      </c>
      <c r="S23" s="668">
        <f>F23</f>
        <v>100</v>
      </c>
      <c r="T23" s="667" t="s">
        <v>14</v>
      </c>
      <c r="U23" s="668">
        <f>H23</f>
        <v>100</v>
      </c>
      <c r="V23" s="667" t="s">
        <v>14</v>
      </c>
      <c r="W23" s="668">
        <f>J23</f>
        <v>100</v>
      </c>
      <c r="X23" s="1263"/>
      <c r="Y23" s="3403"/>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9"/>
      <c r="M24" s="2484"/>
      <c r="N24" s="2484"/>
      <c r="O24" s="2484"/>
      <c r="P24" s="3410"/>
      <c r="Q24" s="1261"/>
      <c r="R24" s="667"/>
      <c r="S24" s="668"/>
      <c r="T24" s="667"/>
      <c r="U24" s="668"/>
      <c r="V24" s="667"/>
      <c r="W24" s="668"/>
      <c r="X24" s="1263"/>
      <c r="Y24" s="3403"/>
      <c r="Z24" s="1262"/>
      <c r="AA24" s="1262">
        <v>1</v>
      </c>
      <c r="AB24" s="1262">
        <v>1</v>
      </c>
      <c r="AC24" s="1810">
        <v>1</v>
      </c>
    </row>
    <row r="25" spans="1:29" ht="27">
      <c r="A25" s="348"/>
      <c r="B25" s="556" t="s">
        <v>1810</v>
      </c>
      <c r="C25" s="1760"/>
      <c r="D25" s="374">
        <v>100</v>
      </c>
      <c r="E25" s="373"/>
      <c r="F25" s="374">
        <f>SUMIF(87:87,E26,88:88)-SUMIF(87:87,C26,88:88)+100</f>
        <v>100</v>
      </c>
      <c r="G25" s="1760"/>
      <c r="H25" s="374">
        <f>SUMIF(87:87,G26,88:88)-SUMIF(87:87,C26,88:88)+100</f>
        <v>100</v>
      </c>
      <c r="I25" s="373"/>
      <c r="J25" s="374">
        <f>SUMIF(87:87,I26,88:88)-SUMIF(87:87,C26,88:88)+100</f>
        <v>100</v>
      </c>
      <c r="K25" s="540"/>
      <c r="L25" s="2489"/>
      <c r="M25" s="2484"/>
      <c r="N25" s="2484"/>
      <c r="O25" s="2484"/>
      <c r="P25" s="3410"/>
      <c r="Q25" s="1261" t="str">
        <f>B25</f>
        <v>毗邻道路的类型与等级</v>
      </c>
      <c r="R25" s="667" t="s">
        <v>14</v>
      </c>
      <c r="S25" s="668">
        <f>F25</f>
        <v>100</v>
      </c>
      <c r="T25" s="667" t="s">
        <v>14</v>
      </c>
      <c r="U25" s="668">
        <f>H25</f>
        <v>100</v>
      </c>
      <c r="V25" s="667" t="s">
        <v>14</v>
      </c>
      <c r="W25" s="668">
        <f>J25</f>
        <v>100</v>
      </c>
      <c r="X25" s="1263"/>
      <c r="Y25" s="3403"/>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9"/>
      <c r="M26" s="2484"/>
      <c r="N26" s="2484"/>
      <c r="O26" s="2484"/>
      <c r="P26" s="3410"/>
      <c r="Q26" s="1261"/>
      <c r="R26" s="667"/>
      <c r="S26" s="668"/>
      <c r="T26" s="667"/>
      <c r="U26" s="668"/>
      <c r="V26" s="667"/>
      <c r="W26" s="668"/>
      <c r="X26" s="1263"/>
      <c r="Y26" s="3403"/>
      <c r="Z26" s="1262"/>
      <c r="AA26" s="1262">
        <v>1</v>
      </c>
      <c r="AB26" s="1262">
        <v>1</v>
      </c>
      <c r="AC26" s="1810">
        <v>1</v>
      </c>
    </row>
    <row r="27" spans="1:29" ht="15">
      <c r="A27" s="367"/>
      <c r="B27" s="401" t="s">
        <v>1778</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10"/>
      <c r="Q27" s="1261" t="str">
        <f t="shared" ref="Q27:Q47" si="11">B27</f>
        <v>楼层</v>
      </c>
      <c r="R27" s="667" t="s">
        <v>14</v>
      </c>
      <c r="S27" s="668">
        <f>F27</f>
        <v>100</v>
      </c>
      <c r="T27" s="667" t="s">
        <v>14</v>
      </c>
      <c r="U27" s="668">
        <f>H27</f>
        <v>100</v>
      </c>
      <c r="V27" s="667" t="s">
        <v>14</v>
      </c>
      <c r="W27" s="668">
        <f>J27</f>
        <v>100</v>
      </c>
      <c r="X27" s="1263"/>
      <c r="Y27" s="3403"/>
      <c r="Z27" s="1262" t="str">
        <f>Q27</f>
        <v>楼层</v>
      </c>
      <c r="AA27" s="1262">
        <f t="shared" si="3"/>
        <v>1</v>
      </c>
      <c r="AB27" s="1262">
        <f t="shared" si="4"/>
        <v>1</v>
      </c>
      <c r="AC27" s="1810">
        <f t="shared" si="5"/>
        <v>1</v>
      </c>
    </row>
    <row r="28" spans="1:29" s="102" customFormat="1" ht="15">
      <c r="A28" s="370"/>
      <c r="B28" s="556" t="s">
        <v>1811</v>
      </c>
      <c r="C28" s="1813"/>
      <c r="D28" s="401">
        <v>100</v>
      </c>
      <c r="E28" s="1805"/>
      <c r="F28" s="401">
        <f>SUMIF(91:91,E28,92:92)-SUMIF(91:91,C28,92:92)+100</f>
        <v>100</v>
      </c>
      <c r="G28" s="1813"/>
      <c r="H28" s="401">
        <f>SUMIF(91:91,G28,92:92)-SUMIF(91:91,C28,92:92)+100</f>
        <v>100</v>
      </c>
      <c r="I28" s="1805"/>
      <c r="J28" s="401">
        <f>SUMIF(91:91,I28,92:92)-SUMIF(91:91,C28,92:92)+100</f>
        <v>100</v>
      </c>
      <c r="K28" s="538"/>
      <c r="L28" s="2485"/>
      <c r="M28" s="2436"/>
      <c r="N28" s="2436"/>
      <c r="O28" s="2436"/>
      <c r="P28" s="3410"/>
      <c r="Q28" s="530" t="str">
        <f t="shared" si="11"/>
        <v>朝向</v>
      </c>
      <c r="R28" s="664" t="s">
        <v>14</v>
      </c>
      <c r="S28" s="665">
        <f>F28</f>
        <v>100</v>
      </c>
      <c r="T28" s="664" t="s">
        <v>14</v>
      </c>
      <c r="U28" s="665">
        <f>H28</f>
        <v>100</v>
      </c>
      <c r="V28" s="664" t="s">
        <v>14</v>
      </c>
      <c r="W28" s="665">
        <f>J28</f>
        <v>100</v>
      </c>
      <c r="X28" s="666"/>
      <c r="Y28" s="3403"/>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9"/>
      <c r="M29" s="2484"/>
      <c r="N29" s="2484"/>
      <c r="O29" s="2484"/>
      <c r="P29" s="3410"/>
      <c r="Q29" s="1261">
        <f t="shared" si="11"/>
        <v>111</v>
      </c>
      <c r="R29" s="667" t="s">
        <v>14</v>
      </c>
      <c r="S29" s="668">
        <f t="shared" ref="S29:S47" si="12">F29</f>
        <v>100</v>
      </c>
      <c r="T29" s="667" t="s">
        <v>14</v>
      </c>
      <c r="U29" s="668">
        <f t="shared" ref="U29:U47" si="13">H29</f>
        <v>100</v>
      </c>
      <c r="V29" s="667" t="s">
        <v>14</v>
      </c>
      <c r="W29" s="668">
        <f t="shared" ref="W29:W47" si="14">J29</f>
        <v>100</v>
      </c>
      <c r="X29" s="1263"/>
      <c r="Y29" s="3403"/>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9"/>
      <c r="M30" s="2484"/>
      <c r="N30" s="2484"/>
      <c r="O30" s="2484"/>
      <c r="P30" s="3410"/>
      <c r="Q30" s="1261">
        <f t="shared" si="11"/>
        <v>111</v>
      </c>
      <c r="R30" s="667" t="s">
        <v>14</v>
      </c>
      <c r="S30" s="668">
        <f t="shared" si="12"/>
        <v>100</v>
      </c>
      <c r="T30" s="667" t="s">
        <v>14</v>
      </c>
      <c r="U30" s="668">
        <f t="shared" si="13"/>
        <v>100</v>
      </c>
      <c r="V30" s="667" t="s">
        <v>14</v>
      </c>
      <c r="W30" s="668">
        <f t="shared" si="14"/>
        <v>100</v>
      </c>
      <c r="X30" s="1263"/>
      <c r="Y30" s="3403"/>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9"/>
      <c r="M31" s="2484"/>
      <c r="N31" s="2484"/>
      <c r="O31" s="2484"/>
      <c r="P31" s="3410"/>
      <c r="Q31" s="1261">
        <f t="shared" si="11"/>
        <v>111</v>
      </c>
      <c r="R31" s="667" t="s">
        <v>14</v>
      </c>
      <c r="S31" s="668">
        <f t="shared" si="12"/>
        <v>100</v>
      </c>
      <c r="T31" s="667" t="s">
        <v>14</v>
      </c>
      <c r="U31" s="668">
        <f t="shared" si="13"/>
        <v>100</v>
      </c>
      <c r="V31" s="667" t="s">
        <v>14</v>
      </c>
      <c r="W31" s="668">
        <f t="shared" si="14"/>
        <v>100</v>
      </c>
      <c r="X31" s="1263"/>
      <c r="Y31" s="3403"/>
      <c r="Z31" s="1262">
        <f t="shared" si="15"/>
        <v>111</v>
      </c>
      <c r="AA31" s="1262">
        <f t="shared" si="3"/>
        <v>1</v>
      </c>
      <c r="AB31" s="1262">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9"/>
      <c r="M32" s="2484"/>
      <c r="N32" s="2484"/>
      <c r="O32" s="2484"/>
      <c r="P32" s="3410"/>
      <c r="Q32" s="1261">
        <f t="shared" si="11"/>
        <v>111</v>
      </c>
      <c r="R32" s="667" t="s">
        <v>14</v>
      </c>
      <c r="S32" s="668">
        <f t="shared" si="12"/>
        <v>100</v>
      </c>
      <c r="T32" s="667" t="s">
        <v>14</v>
      </c>
      <c r="U32" s="668">
        <f t="shared" si="13"/>
        <v>100</v>
      </c>
      <c r="V32" s="667" t="s">
        <v>14</v>
      </c>
      <c r="W32" s="668">
        <f t="shared" si="14"/>
        <v>100</v>
      </c>
      <c r="X32" s="1263"/>
      <c r="Y32" s="3403"/>
      <c r="Z32" s="1262">
        <f t="shared" si="15"/>
        <v>111</v>
      </c>
      <c r="AA32" s="1262">
        <f t="shared" si="3"/>
        <v>1</v>
      </c>
      <c r="AB32" s="1262">
        <f t="shared" si="4"/>
        <v>1</v>
      </c>
      <c r="AC32" s="1810">
        <f t="shared" si="5"/>
        <v>1</v>
      </c>
    </row>
    <row r="33" spans="1:29" ht="15">
      <c r="A33" s="379" t="s">
        <v>1689</v>
      </c>
      <c r="B33" s="60" t="s">
        <v>1812</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9"/>
      <c r="M33" s="2484"/>
      <c r="N33" s="2484"/>
      <c r="O33" s="2484"/>
      <c r="P33" s="3404" t="s">
        <v>1691</v>
      </c>
      <c r="Q33" s="1261" t="str">
        <f t="shared" si="11"/>
        <v>建筑类型</v>
      </c>
      <c r="R33" s="667" t="s">
        <v>14</v>
      </c>
      <c r="S33" s="668">
        <f t="shared" si="12"/>
        <v>100</v>
      </c>
      <c r="T33" s="667" t="s">
        <v>14</v>
      </c>
      <c r="U33" s="668">
        <f t="shared" si="13"/>
        <v>100</v>
      </c>
      <c r="V33" s="667" t="s">
        <v>14</v>
      </c>
      <c r="W33" s="668">
        <f t="shared" si="14"/>
        <v>100</v>
      </c>
      <c r="X33" s="1263"/>
      <c r="Y33" s="3407" t="s">
        <v>1691</v>
      </c>
      <c r="Z33" s="1262" t="str">
        <f t="shared" si="15"/>
        <v>建筑类型</v>
      </c>
      <c r="AA33" s="1262">
        <f t="shared" si="3"/>
        <v>1</v>
      </c>
      <c r="AB33" s="1262">
        <f t="shared" si="4"/>
        <v>1</v>
      </c>
      <c r="AC33" s="1810">
        <f t="shared" si="5"/>
        <v>1</v>
      </c>
    </row>
    <row r="34" spans="1:29" s="408" customFormat="1" ht="15">
      <c r="A34" s="406"/>
      <c r="B34" s="364" t="s">
        <v>1692</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2" t="e">
        <f t="shared" si="3"/>
        <v>#N/A</v>
      </c>
      <c r="AB34" s="1262" t="e">
        <f t="shared" si="4"/>
        <v>#N/A</v>
      </c>
      <c r="AC34" s="1810" t="e">
        <f t="shared" si="5"/>
        <v>#N/A</v>
      </c>
    </row>
    <row r="35" spans="1:29" ht="15">
      <c r="A35" s="409"/>
      <c r="B35" s="364" t="s">
        <v>1693</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05"/>
      <c r="Q35" s="1261" t="str">
        <f t="shared" si="11"/>
        <v>建筑结构</v>
      </c>
      <c r="R35" s="667" t="s">
        <v>14</v>
      </c>
      <c r="S35" s="668">
        <f t="shared" si="12"/>
        <v>100</v>
      </c>
      <c r="T35" s="667" t="s">
        <v>14</v>
      </c>
      <c r="U35" s="668">
        <f t="shared" si="13"/>
        <v>100</v>
      </c>
      <c r="V35" s="667" t="s">
        <v>14</v>
      </c>
      <c r="W35" s="668">
        <f t="shared" si="14"/>
        <v>100</v>
      </c>
      <c r="X35" s="1263"/>
      <c r="Y35" s="3407"/>
      <c r="Z35" s="1262" t="str">
        <f t="shared" si="15"/>
        <v>建筑结构</v>
      </c>
      <c r="AA35" s="1262">
        <f t="shared" si="3"/>
        <v>1</v>
      </c>
      <c r="AB35" s="1262">
        <f t="shared" si="4"/>
        <v>1</v>
      </c>
      <c r="AC35" s="1810">
        <f t="shared" si="5"/>
        <v>1</v>
      </c>
    </row>
    <row r="36" spans="1:29" ht="15">
      <c r="A36" s="409"/>
      <c r="B36" s="364" t="s">
        <v>1780</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05"/>
      <c r="Q36" s="1261" t="str">
        <f t="shared" si="11"/>
        <v>公共部分装修</v>
      </c>
      <c r="R36" s="667" t="s">
        <v>14</v>
      </c>
      <c r="S36" s="668">
        <f t="shared" si="12"/>
        <v>100</v>
      </c>
      <c r="T36" s="667" t="s">
        <v>14</v>
      </c>
      <c r="U36" s="668">
        <f t="shared" si="13"/>
        <v>100</v>
      </c>
      <c r="V36" s="667" t="s">
        <v>14</v>
      </c>
      <c r="W36" s="668">
        <f t="shared" si="14"/>
        <v>100</v>
      </c>
      <c r="X36" s="1263"/>
      <c r="Y36" s="3407"/>
      <c r="Z36" s="1262" t="str">
        <f t="shared" si="15"/>
        <v>公共部分装修</v>
      </c>
      <c r="AA36" s="1262">
        <f t="shared" si="3"/>
        <v>1</v>
      </c>
      <c r="AB36" s="1262">
        <f t="shared" si="4"/>
        <v>1</v>
      </c>
      <c r="AC36" s="1810">
        <f t="shared" si="5"/>
        <v>1</v>
      </c>
    </row>
    <row r="37" spans="1:29" ht="15">
      <c r="A37" s="409"/>
      <c r="B37" s="364" t="s">
        <v>1781</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05"/>
      <c r="Q37" s="1261" t="str">
        <f t="shared" si="11"/>
        <v>成新度</v>
      </c>
      <c r="R37" s="667" t="s">
        <v>14</v>
      </c>
      <c r="S37" s="668" t="e">
        <f t="shared" si="12"/>
        <v>#N/A</v>
      </c>
      <c r="T37" s="667" t="s">
        <v>14</v>
      </c>
      <c r="U37" s="668" t="e">
        <f t="shared" si="13"/>
        <v>#N/A</v>
      </c>
      <c r="V37" s="667" t="s">
        <v>14</v>
      </c>
      <c r="W37" s="668" t="e">
        <f t="shared" si="14"/>
        <v>#N/A</v>
      </c>
      <c r="X37" s="1263"/>
      <c r="Y37" s="3407"/>
      <c r="Z37" s="1262" t="str">
        <f t="shared" si="15"/>
        <v>成新度</v>
      </c>
      <c r="AA37" s="1262" t="e">
        <f t="shared" si="3"/>
        <v>#N/A</v>
      </c>
      <c r="AB37" s="1262" t="e">
        <f t="shared" si="4"/>
        <v>#N/A</v>
      </c>
      <c r="AC37" s="1810" t="e">
        <f t="shared" si="5"/>
        <v>#N/A</v>
      </c>
    </row>
    <row r="38" spans="1:29" s="102" customFormat="1" ht="15">
      <c r="A38" s="410"/>
      <c r="B38" s="364" t="s">
        <v>1813</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0">
        <f t="shared" si="5"/>
        <v>1</v>
      </c>
    </row>
    <row r="39" spans="1:29" ht="15">
      <c r="A39" s="409"/>
      <c r="B39" s="364" t="s">
        <v>1814</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05" t="s">
        <v>1691</v>
      </c>
      <c r="Q39" s="1261" t="str">
        <f t="shared" si="11"/>
        <v>物业管理</v>
      </c>
      <c r="R39" s="667" t="s">
        <v>14</v>
      </c>
      <c r="S39" s="668">
        <f t="shared" si="12"/>
        <v>100</v>
      </c>
      <c r="T39" s="667" t="s">
        <v>14</v>
      </c>
      <c r="U39" s="668">
        <f t="shared" si="13"/>
        <v>100</v>
      </c>
      <c r="V39" s="667" t="s">
        <v>14</v>
      </c>
      <c r="W39" s="668">
        <f t="shared" si="14"/>
        <v>100</v>
      </c>
      <c r="X39" s="1263"/>
      <c r="Y39" s="3407" t="s">
        <v>1691</v>
      </c>
      <c r="Z39" s="1262" t="str">
        <f t="shared" si="15"/>
        <v>物业管理</v>
      </c>
      <c r="AA39" s="1262">
        <f t="shared" si="3"/>
        <v>1</v>
      </c>
      <c r="AB39" s="1262">
        <f t="shared" si="4"/>
        <v>1</v>
      </c>
      <c r="AC39" s="1810">
        <f t="shared" si="5"/>
        <v>1</v>
      </c>
    </row>
    <row r="40" spans="1:29" ht="15">
      <c r="A40" s="409"/>
      <c r="B40" s="364" t="s">
        <v>1782</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05"/>
      <c r="Q40" s="1261" t="str">
        <f t="shared" si="11"/>
        <v>市政基础设施</v>
      </c>
      <c r="R40" s="667" t="s">
        <v>14</v>
      </c>
      <c r="S40" s="668">
        <f t="shared" si="12"/>
        <v>100</v>
      </c>
      <c r="T40" s="667" t="s">
        <v>14</v>
      </c>
      <c r="U40" s="668">
        <f t="shared" si="13"/>
        <v>100</v>
      </c>
      <c r="V40" s="667" t="s">
        <v>14</v>
      </c>
      <c r="W40" s="668">
        <f t="shared" si="14"/>
        <v>100</v>
      </c>
      <c r="X40" s="1263"/>
      <c r="Y40" s="3407"/>
      <c r="Z40" s="1262" t="str">
        <f t="shared" si="15"/>
        <v>市政基础设施</v>
      </c>
      <c r="AA40" s="1262">
        <f t="shared" si="3"/>
        <v>1</v>
      </c>
      <c r="AB40" s="1262">
        <f t="shared" si="4"/>
        <v>1</v>
      </c>
      <c r="AC40" s="1810">
        <f t="shared" si="5"/>
        <v>1</v>
      </c>
    </row>
    <row r="41" spans="1:29" ht="15">
      <c r="A41" s="409"/>
      <c r="B41" s="364" t="s">
        <v>1784</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05"/>
      <c r="Q41" s="1261" t="str">
        <f t="shared" si="11"/>
        <v>层高</v>
      </c>
      <c r="R41" s="667" t="s">
        <v>14</v>
      </c>
      <c r="S41" s="668">
        <f t="shared" si="12"/>
        <v>100</v>
      </c>
      <c r="T41" s="667" t="s">
        <v>14</v>
      </c>
      <c r="U41" s="668">
        <f t="shared" si="13"/>
        <v>100</v>
      </c>
      <c r="V41" s="667" t="s">
        <v>14</v>
      </c>
      <c r="W41" s="668">
        <f t="shared" si="14"/>
        <v>100</v>
      </c>
      <c r="X41" s="1263"/>
      <c r="Y41" s="3407"/>
      <c r="Z41" s="1262" t="str">
        <f t="shared" si="15"/>
        <v>层高</v>
      </c>
      <c r="AA41" s="1262">
        <f t="shared" si="3"/>
        <v>1</v>
      </c>
      <c r="AB41" s="1262">
        <f t="shared" si="4"/>
        <v>1</v>
      </c>
      <c r="AC41" s="1810">
        <f t="shared" si="5"/>
        <v>1</v>
      </c>
    </row>
    <row r="42" spans="1:29" s="408" customFormat="1" ht="15">
      <c r="A42" s="406"/>
      <c r="B42" s="400" t="s">
        <v>1815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2">
        <f t="shared" si="3"/>
        <v>1</v>
      </c>
      <c r="AB42" s="1262">
        <f t="shared" si="4"/>
        <v>1</v>
      </c>
      <c r="AC42" s="1810">
        <f t="shared" si="5"/>
        <v>1</v>
      </c>
    </row>
    <row r="43" spans="1:29" ht="15">
      <c r="A43" s="409"/>
      <c r="B43" s="364" t="s">
        <v>1787</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05"/>
      <c r="Q43" s="1261" t="str">
        <f t="shared" si="11"/>
        <v>内部装修</v>
      </c>
      <c r="R43" s="667" t="s">
        <v>14</v>
      </c>
      <c r="S43" s="668">
        <f t="shared" si="12"/>
        <v>100</v>
      </c>
      <c r="T43" s="667" t="s">
        <v>14</v>
      </c>
      <c r="U43" s="668">
        <f t="shared" si="13"/>
        <v>100</v>
      </c>
      <c r="V43" s="667" t="s">
        <v>14</v>
      </c>
      <c r="W43" s="668">
        <f t="shared" si="14"/>
        <v>100</v>
      </c>
      <c r="X43" s="1263"/>
      <c r="Y43" s="3407"/>
      <c r="Z43" s="1262" t="str">
        <f t="shared" si="15"/>
        <v>内部装修</v>
      </c>
      <c r="AA43" s="1262">
        <f t="shared" si="3"/>
        <v>1</v>
      </c>
      <c r="AB43" s="1262">
        <f t="shared" si="4"/>
        <v>1</v>
      </c>
      <c r="AC43" s="1810">
        <f t="shared" si="5"/>
        <v>1</v>
      </c>
    </row>
    <row r="44" spans="1:29" ht="15">
      <c r="A44" s="409"/>
      <c r="B44" s="364" t="s">
        <v>1702</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9"/>
      <c r="M44" s="2484"/>
      <c r="N44" s="2484"/>
      <c r="O44" s="2484"/>
      <c r="P44" s="3405"/>
      <c r="Q44" s="1261" t="str">
        <f t="shared" si="11"/>
        <v>内部装修维护情况</v>
      </c>
      <c r="R44" s="667" t="s">
        <v>14</v>
      </c>
      <c r="S44" s="668">
        <f t="shared" si="12"/>
        <v>100</v>
      </c>
      <c r="T44" s="667" t="s">
        <v>14</v>
      </c>
      <c r="U44" s="668">
        <f t="shared" si="13"/>
        <v>100</v>
      </c>
      <c r="V44" s="667" t="s">
        <v>14</v>
      </c>
      <c r="W44" s="668">
        <f t="shared" si="14"/>
        <v>100</v>
      </c>
      <c r="X44" s="1263"/>
      <c r="Y44" s="3407"/>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05"/>
      <c r="Q46" s="1261">
        <f t="shared" si="11"/>
        <v>111</v>
      </c>
      <c r="R46" s="667" t="s">
        <v>14</v>
      </c>
      <c r="S46" s="668">
        <f t="shared" si="12"/>
        <v>100</v>
      </c>
      <c r="T46" s="667" t="s">
        <v>14</v>
      </c>
      <c r="U46" s="668">
        <f t="shared" si="13"/>
        <v>100</v>
      </c>
      <c r="V46" s="667" t="s">
        <v>14</v>
      </c>
      <c r="W46" s="668">
        <f t="shared" si="14"/>
        <v>100</v>
      </c>
      <c r="X46" s="1263"/>
      <c r="Y46" s="3407"/>
      <c r="Z46" s="1262">
        <f t="shared" si="15"/>
        <v>111</v>
      </c>
      <c r="AA46" s="1262">
        <f t="shared" si="3"/>
        <v>1</v>
      </c>
      <c r="AB46" s="1262">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06"/>
      <c r="Q47" s="1261">
        <f t="shared" si="11"/>
        <v>111</v>
      </c>
      <c r="R47" s="667" t="s">
        <v>14</v>
      </c>
      <c r="S47" s="668">
        <f t="shared" si="12"/>
        <v>100</v>
      </c>
      <c r="T47" s="667" t="s">
        <v>14</v>
      </c>
      <c r="U47" s="668">
        <f t="shared" si="13"/>
        <v>100</v>
      </c>
      <c r="V47" s="667" t="s">
        <v>14</v>
      </c>
      <c r="W47" s="668">
        <f t="shared" si="14"/>
        <v>100</v>
      </c>
      <c r="X47" s="1263"/>
      <c r="Y47" s="3408"/>
      <c r="Z47" s="1262">
        <f t="shared" si="15"/>
        <v>111</v>
      </c>
      <c r="AA47" s="1262">
        <f t="shared" si="3"/>
        <v>1</v>
      </c>
      <c r="AB47" s="1262">
        <f t="shared" si="4"/>
        <v>1</v>
      </c>
      <c r="AC47" s="1810">
        <f t="shared" si="5"/>
        <v>1</v>
      </c>
    </row>
    <row r="48" spans="1:29" ht="15">
      <c r="A48" s="416" t="s">
        <v>1703</v>
      </c>
      <c r="B48" s="417"/>
      <c r="C48" s="1079" t="s">
        <v>0</v>
      </c>
      <c r="D48" s="418"/>
      <c r="E48" s="419"/>
      <c r="F48" s="420"/>
      <c r="G48" s="421"/>
      <c r="H48" s="422"/>
      <c r="I48" s="419"/>
      <c r="J48" s="422"/>
      <c r="K48" s="674"/>
      <c r="L48" s="2491"/>
      <c r="M48" s="2484"/>
      <c r="N48" s="2484"/>
      <c r="O48" s="2484"/>
      <c r="P48" s="3411" t="str">
        <f>A48</f>
        <v>成交单价（元/平方米）</v>
      </c>
      <c r="Q48" s="3400"/>
      <c r="R48" s="3401">
        <f>E48</f>
        <v>0</v>
      </c>
      <c r="S48" s="3401"/>
      <c r="T48" s="3401">
        <f>G48</f>
        <v>0</v>
      </c>
      <c r="U48" s="3401"/>
      <c r="V48" s="3401">
        <f>I48</f>
        <v>0</v>
      </c>
      <c r="W48" s="3401"/>
      <c r="X48" s="385"/>
      <c r="Y48" s="673"/>
      <c r="Z48" s="385"/>
      <c r="AA48" s="385"/>
      <c r="AB48" s="385"/>
      <c r="AC48" s="555"/>
    </row>
    <row r="49" spans="1:29" ht="15.75" thickBot="1">
      <c r="A49" s="423" t="s">
        <v>1788</v>
      </c>
      <c r="B49" s="424"/>
      <c r="C49" s="1080" t="e">
        <f>R50</f>
        <v>#DIV/0!</v>
      </c>
      <c r="D49" s="2139" t="s">
        <v>2133</v>
      </c>
      <c r="E49" s="1081" t="e">
        <f>R49</f>
        <v>#DIV/0!</v>
      </c>
      <c r="F49" s="2140"/>
      <c r="G49" s="1080" t="e">
        <f>T49</f>
        <v>#DIV/0!</v>
      </c>
      <c r="H49" s="2140"/>
      <c r="I49" s="1081" t="e">
        <f>V49</f>
        <v>#DIV/0!</v>
      </c>
      <c r="J49" s="2140"/>
      <c r="K49" s="2142">
        <f>F49+H49+J49</f>
        <v>0</v>
      </c>
      <c r="L49" s="2491"/>
      <c r="M49" s="2484"/>
      <c r="N49" s="2484"/>
      <c r="O49" s="2484"/>
      <c r="P49" s="3411" t="str">
        <f>A49</f>
        <v>比较价值（元/平方米）</v>
      </c>
      <c r="Q49" s="3400"/>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385"/>
      <c r="Y49" s="385"/>
      <c r="Z49" s="385"/>
      <c r="AA49" s="385"/>
      <c r="AB49" s="385"/>
      <c r="AC49" s="555"/>
    </row>
    <row r="50" spans="1:29" ht="15.75" thickBot="1">
      <c r="A50" s="427" t="s">
        <v>1789</v>
      </c>
      <c r="B50" s="428"/>
      <c r="C50" s="351" t="e">
        <f>R50</f>
        <v>#DIV/0!</v>
      </c>
      <c r="D50" s="351"/>
      <c r="E50" s="351"/>
      <c r="F50" s="351"/>
      <c r="G50" s="351"/>
      <c r="H50" s="351"/>
      <c r="I50" s="351"/>
      <c r="J50" s="429"/>
      <c r="K50" s="675"/>
      <c r="L50" s="2491"/>
      <c r="M50" s="2484"/>
      <c r="N50" s="2484"/>
      <c r="O50" s="2484"/>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6"/>
      <c r="Y50" s="1796"/>
      <c r="Z50" s="1796"/>
      <c r="AA50" s="1796"/>
      <c r="AB50" s="1796"/>
      <c r="AC50" s="1797"/>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1790</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1791</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1792</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1793</v>
      </c>
      <c r="B58" s="385"/>
      <c r="C58" s="659"/>
      <c r="D58" s="659"/>
      <c r="E58" s="659"/>
      <c r="F58" s="660"/>
      <c r="G58" s="660"/>
      <c r="H58" s="659"/>
      <c r="I58" s="659"/>
      <c r="J58" s="659"/>
      <c r="K58" s="661"/>
      <c r="L58" s="886"/>
      <c r="M58" s="884"/>
      <c r="N58" s="2534"/>
      <c r="O58" s="2534"/>
      <c r="P58" s="2523"/>
      <c r="Q58" s="2505"/>
      <c r="R58" s="2484"/>
      <c r="S58" s="2484"/>
      <c r="T58" s="2484"/>
      <c r="U58" s="2484"/>
      <c r="V58" s="2484"/>
      <c r="W58" s="2484"/>
      <c r="X58" s="2484"/>
      <c r="Y58" s="2484"/>
      <c r="Z58" s="2484"/>
      <c r="AA58" s="2484"/>
      <c r="AB58" s="2484"/>
      <c r="AC58" s="2484"/>
    </row>
    <row r="59" spans="1:29" s="442" customFormat="1" ht="15">
      <c r="A59" s="440" t="s">
        <v>1674</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4"/>
      <c r="Q59" s="2507"/>
      <c r="R59" s="2507"/>
      <c r="S59" s="2507"/>
      <c r="T59" s="2507"/>
      <c r="U59" s="2507"/>
      <c r="V59" s="2507"/>
      <c r="W59" s="2507"/>
      <c r="X59" s="2507"/>
      <c r="Y59" s="2507"/>
      <c r="Z59" s="2507"/>
      <c r="AA59" s="2507"/>
      <c r="AB59" s="2507"/>
      <c r="AC59" s="2507"/>
    </row>
    <row r="60" spans="1:29" s="102" customFormat="1" ht="15">
      <c r="A60" s="443"/>
      <c r="B60" s="444"/>
      <c r="C60" s="1100">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1711</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1676</v>
      </c>
      <c r="B62" s="444"/>
      <c r="C62" s="456" t="s">
        <v>1771</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1714</v>
      </c>
      <c r="B64" s="460" t="s">
        <v>1680</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1683</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1685</v>
      </c>
      <c r="B77" s="460" t="s">
        <v>1816</v>
      </c>
      <c r="C77" s="504" t="s">
        <v>1716</v>
      </c>
      <c r="D77" s="504" t="s">
        <v>1717</v>
      </c>
      <c r="E77" s="504" t="s">
        <v>1718</v>
      </c>
      <c r="F77" s="504" t="s">
        <v>1719</v>
      </c>
      <c r="G77" s="504" t="s">
        <v>1720</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1721</v>
      </c>
      <c r="C79" s="509" t="s">
        <v>1716</v>
      </c>
      <c r="D79" s="509" t="s">
        <v>1717</v>
      </c>
      <c r="E79" s="509" t="s">
        <v>1718</v>
      </c>
      <c r="F79" s="509" t="s">
        <v>1719</v>
      </c>
      <c r="G79" s="509" t="s">
        <v>1720</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1722</v>
      </c>
      <c r="C81" s="509" t="s">
        <v>1716</v>
      </c>
      <c r="D81" s="509" t="s">
        <v>1717</v>
      </c>
      <c r="E81" s="509" t="s">
        <v>1718</v>
      </c>
      <c r="F81" s="509" t="s">
        <v>1719</v>
      </c>
      <c r="G81" s="509" t="s">
        <v>1720</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1808</v>
      </c>
      <c r="C83" s="581" t="s">
        <v>1794</v>
      </c>
      <c r="D83" s="581" t="s">
        <v>1795</v>
      </c>
      <c r="E83" s="581" t="s">
        <v>1796</v>
      </c>
      <c r="F83" s="581" t="s">
        <v>1797</v>
      </c>
      <c r="G83" s="581" t="s">
        <v>1798</v>
      </c>
      <c r="H83" s="470"/>
      <c r="I83" s="470"/>
      <c r="J83" s="470"/>
      <c r="K83" s="470"/>
      <c r="L83" s="470"/>
      <c r="M83" s="1061"/>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1817</v>
      </c>
      <c r="C85" s="509" t="s">
        <v>1716</v>
      </c>
      <c r="D85" s="509" t="s">
        <v>1717</v>
      </c>
      <c r="E85" s="509" t="s">
        <v>1718</v>
      </c>
      <c r="F85" s="509" t="s">
        <v>1719</v>
      </c>
      <c r="G85" s="509" t="s">
        <v>1720</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1818</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8"/>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1689</v>
      </c>
      <c r="B101" s="460" t="s">
        <v>1731</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1732</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1733</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1735</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1185</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1819</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1736</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1737</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1820</v>
      </c>
      <c r="C119" s="513"/>
      <c r="D119" s="513"/>
      <c r="E119" s="513"/>
      <c r="F119" s="513"/>
      <c r="G119" s="513"/>
      <c r="H119" s="513"/>
      <c r="I119" s="513"/>
      <c r="J119" s="513"/>
      <c r="K119" s="513"/>
      <c r="L119" s="1814"/>
      <c r="M119" s="1815"/>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1803</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1739</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1740</v>
      </c>
      <c r="C125" s="509" t="s">
        <v>1716</v>
      </c>
      <c r="D125" s="509" t="s">
        <v>1717</v>
      </c>
      <c r="E125" s="509" t="s">
        <v>1718</v>
      </c>
      <c r="F125" s="509" t="s">
        <v>1719</v>
      </c>
      <c r="G125" s="509" t="s">
        <v>1720</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8" t="s">
        <v>893</v>
      </c>
    </row>
    <row r="3" spans="1:1" ht="18">
      <c r="A3" s="1379" t="str">
        <f>项目基本情况!B5&amp;"："</f>
        <v>：</v>
      </c>
    </row>
    <row r="4" spans="1:1" ht="18">
      <c r="A4" s="1380" t="str">
        <f>"受贵公司委托，我公司对"&amp;项目基本情况!S1&amp;"进行了预评估。"</f>
        <v>受贵公司委托，我公司对北京市房地产抵押价值进行了预评估。</v>
      </c>
    </row>
    <row r="5" spans="1:1" ht="18.75">
      <c r="A5" s="1381" t="s">
        <v>894</v>
      </c>
    </row>
    <row r="6" spans="1:1" ht="18.75">
      <c r="A6" s="1382" t="s">
        <v>895</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估价对象为北京市房地产，为所有。根据《国有土地使用证》[]，估价对象（分摊）出让国有建设用地使用权面积为13767.47平方米，建筑面积为139616.6平方米。</v>
      </c>
    </row>
    <row r="8" spans="1:1" ht="57.75">
      <c r="A8" s="1383" t="s">
        <v>896</v>
      </c>
    </row>
    <row r="9" spans="1:1" ht="18.75">
      <c r="A9" s="1382" t="s">
        <v>897</v>
      </c>
    </row>
    <row r="10" spans="1:1" ht="54">
      <c r="A10" s="1380" t="str">
        <f>"估价对象为"&amp;项目基本情况!S2&amp;IF(商业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估价对象为北京市房地产,属开发建设的，该项目尚在开发建设中。根据《国有土地使用证》[]，估价对象（分摊）出让国有建设用地使用权面积为13767.47平方米，规划建筑面积为139616.6平方米。</v>
      </c>
    </row>
    <row r="11" spans="1:1" ht="76.5">
      <c r="A11" s="1383" t="s">
        <v>898</v>
      </c>
    </row>
    <row r="12" spans="1:1" ht="18.75">
      <c r="A12" s="1381" t="s">
        <v>899</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900</v>
      </c>
    </row>
    <row r="15" spans="1:1" ht="18">
      <c r="A15" s="1384" t="str">
        <f>TEXT(项目基本情况!D3,"yyyy年m月d日;;")&amp;IF(项目基本情况!D3=项目基本情况!B3,"（评估专业人员实地查勘之日）","")</f>
        <v>2025年5月27日（评估专业人员实地查勘之日）</v>
      </c>
    </row>
    <row r="16" spans="1:1" ht="18.75">
      <c r="A16" s="1379" t="s">
        <v>901</v>
      </c>
    </row>
    <row r="17" spans="1:1" ht="75">
      <c r="A17" s="1380" t="s">
        <v>902</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27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891</v>
      </c>
    </row>
    <row r="24" spans="1:1" ht="18">
      <c r="A24" s="1385" t="str">
        <f>"本次评估采用的主估价方法为"&amp;商业结果表!K4&amp;"和"&amp;商业结果表!L4&amp;"。"</f>
        <v>本次评估采用的主估价方法为成本法和收益法。</v>
      </c>
    </row>
    <row r="25" spans="1:1" ht="18">
      <c r="A25" s="1385"/>
    </row>
    <row r="26" spans="1:1" ht="18.75">
      <c r="A26" s="1386" t="s">
        <v>892</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806" t="s">
        <v>1821</v>
      </c>
      <c r="C1" s="1139" t="s">
        <v>1657</v>
      </c>
      <c r="D1" s="1140"/>
      <c r="E1" s="3128"/>
      <c r="F1" s="1733"/>
      <c r="G1" s="1150" t="s">
        <v>1762</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1457</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1458</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1459</v>
      </c>
      <c r="B3" s="536">
        <f>IF(C2="——",C43,ROUND(B2*10000/D3,0))</f>
        <v>0</v>
      </c>
      <c r="C3" s="344" t="s">
        <v>1763</v>
      </c>
      <c r="D3" s="343">
        <f>IF(D1="",'数据-汇总表'!E3,SUMIF('数据-汇总表'!$C19:$C33,D1,'数据-汇总表'!$E19:$E33))</f>
        <v>139616.6</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1764</v>
      </c>
      <c r="B4" s="346"/>
      <c r="C4" s="3415" t="s">
        <v>1765</v>
      </c>
      <c r="D4" s="3416"/>
      <c r="E4" s="3417" t="s">
        <v>1766</v>
      </c>
      <c r="F4" s="3418"/>
      <c r="G4" s="3415" t="s">
        <v>1767</v>
      </c>
      <c r="H4" s="3416"/>
      <c r="I4" s="3415" t="s">
        <v>1768</v>
      </c>
      <c r="J4" s="3416"/>
      <c r="K4" s="537" t="s">
        <v>1769</v>
      </c>
      <c r="L4" s="858"/>
      <c r="M4" s="859"/>
      <c r="N4" s="859"/>
      <c r="O4" s="859"/>
      <c r="P4" s="3419" t="s">
        <v>1770</v>
      </c>
      <c r="Q4" s="3420"/>
      <c r="R4" s="3425" t="s">
        <v>1766</v>
      </c>
      <c r="S4" s="3426"/>
      <c r="T4" s="3425" t="s">
        <v>1767</v>
      </c>
      <c r="U4" s="3426"/>
      <c r="V4" s="3401" t="s">
        <v>1768</v>
      </c>
      <c r="W4" s="3401"/>
      <c r="X4" s="1263"/>
      <c r="Y4" s="3425" t="s">
        <v>1770</v>
      </c>
      <c r="Z4" s="3426"/>
      <c r="AA4" s="3412" t="s">
        <v>1766</v>
      </c>
      <c r="AB4" s="3413" t="s">
        <v>1767</v>
      </c>
      <c r="AC4" s="3412" t="s">
        <v>1768</v>
      </c>
    </row>
    <row r="5" spans="1:29" ht="15">
      <c r="A5" s="348"/>
      <c r="B5" s="349"/>
      <c r="C5" s="3433" t="s">
        <v>1668</v>
      </c>
      <c r="D5" s="3434"/>
      <c r="E5" s="3440" t="s">
        <v>1669</v>
      </c>
      <c r="F5" s="3441"/>
      <c r="G5" s="3433" t="s">
        <v>1670</v>
      </c>
      <c r="H5" s="3434"/>
      <c r="I5" s="3433" t="s">
        <v>1671</v>
      </c>
      <c r="J5" s="3434"/>
      <c r="K5" s="537"/>
      <c r="L5" s="858"/>
      <c r="M5" s="859"/>
      <c r="N5" s="859"/>
      <c r="O5" s="859"/>
      <c r="P5" s="3421"/>
      <c r="Q5" s="3422"/>
      <c r="R5" s="3427"/>
      <c r="S5" s="3428"/>
      <c r="T5" s="3427"/>
      <c r="U5" s="3428"/>
      <c r="V5" s="3401"/>
      <c r="W5" s="3401"/>
      <c r="X5" s="1263"/>
      <c r="Y5" s="3427"/>
      <c r="Z5" s="3428"/>
      <c r="AA5" s="3413"/>
      <c r="AB5" s="3413"/>
      <c r="AC5" s="3413"/>
    </row>
    <row r="6" spans="1:29" ht="15.75" thickBot="1">
      <c r="A6" s="350"/>
      <c r="B6" s="351"/>
      <c r="C6" s="3431" t="s">
        <v>1672</v>
      </c>
      <c r="D6" s="3432"/>
      <c r="E6" s="3438" t="s">
        <v>1672</v>
      </c>
      <c r="F6" s="3439"/>
      <c r="G6" s="3431" t="s">
        <v>1672</v>
      </c>
      <c r="H6" s="3432"/>
      <c r="I6" s="3431" t="s">
        <v>1672</v>
      </c>
      <c r="J6" s="3432"/>
      <c r="K6" s="537" t="s">
        <v>1673</v>
      </c>
      <c r="L6" s="858"/>
      <c r="M6" s="859"/>
      <c r="N6" s="859"/>
      <c r="O6" s="859"/>
      <c r="P6" s="3423"/>
      <c r="Q6" s="3424"/>
      <c r="R6" s="3427"/>
      <c r="S6" s="3428"/>
      <c r="T6" s="3429"/>
      <c r="U6" s="3430"/>
      <c r="V6" s="3401"/>
      <c r="W6" s="3401"/>
      <c r="X6" s="1263"/>
      <c r="Y6" s="3429"/>
      <c r="Z6" s="3430"/>
      <c r="AA6" s="3414"/>
      <c r="AB6" s="3414"/>
      <c r="AC6" s="3414"/>
    </row>
    <row r="7" spans="1:29" s="102" customFormat="1" ht="15.75" thickBot="1">
      <c r="A7" s="352" t="s">
        <v>1674</v>
      </c>
      <c r="B7" s="353"/>
      <c r="C7" s="354">
        <f>'数据-取费表'!B2</f>
        <v>45804</v>
      </c>
      <c r="D7" s="355">
        <v>100</v>
      </c>
      <c r="E7" s="356"/>
      <c r="F7" s="357">
        <f>SUMIF(52:52,YEAR(E7)&amp;"-"&amp;MONTH(E7),53:53)</f>
        <v>0</v>
      </c>
      <c r="G7" s="356"/>
      <c r="H7" s="355">
        <f>SUMIF(52:52,YEAR(G7)&amp;"-"&amp;MONTH(G7),53:53)</f>
        <v>0</v>
      </c>
      <c r="I7" s="356"/>
      <c r="J7" s="355">
        <f>SUMIF(52:52,YEAR(I7)&amp;"-"&amp;MONTH(I7),53:53)</f>
        <v>0</v>
      </c>
      <c r="K7" s="38"/>
      <c r="L7" s="860"/>
      <c r="M7" s="861"/>
      <c r="N7" s="861"/>
      <c r="O7" s="861"/>
      <c r="P7" s="3435" t="s">
        <v>1675</v>
      </c>
      <c r="Q7" s="3437"/>
      <c r="R7" s="664" t="s">
        <v>14</v>
      </c>
      <c r="S7" s="665">
        <f t="shared" ref="S7:S15" si="0">F7</f>
        <v>0</v>
      </c>
      <c r="T7" s="664" t="s">
        <v>14</v>
      </c>
      <c r="U7" s="665">
        <f t="shared" ref="U7:U15" si="1">H7</f>
        <v>0</v>
      </c>
      <c r="V7" s="664" t="s">
        <v>14</v>
      </c>
      <c r="W7" s="665">
        <f t="shared" ref="W7:W15" si="2">J7</f>
        <v>0</v>
      </c>
      <c r="X7" s="666"/>
      <c r="Y7" s="3435" t="s">
        <v>1675</v>
      </c>
      <c r="Z7" s="3436"/>
      <c r="AA7" s="50" t="e">
        <f>D7/F7</f>
        <v>#DIV/0!</v>
      </c>
      <c r="AB7" s="50" t="e">
        <f>D7/H7</f>
        <v>#DIV/0!</v>
      </c>
      <c r="AC7" s="50" t="e">
        <f>D7/J7</f>
        <v>#DIV/0!</v>
      </c>
    </row>
    <row r="8" spans="1:29" s="102" customFormat="1" ht="15.75" thickBot="1">
      <c r="A8" s="352" t="s">
        <v>1676</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35" t="s">
        <v>1678</v>
      </c>
      <c r="Q8" s="3436"/>
      <c r="R8" s="664" t="s">
        <v>14</v>
      </c>
      <c r="S8" s="665">
        <f t="shared" si="0"/>
        <v>100</v>
      </c>
      <c r="T8" s="664" t="s">
        <v>14</v>
      </c>
      <c r="U8" s="665">
        <f t="shared" si="1"/>
        <v>100</v>
      </c>
      <c r="V8" s="664" t="s">
        <v>14</v>
      </c>
      <c r="W8" s="665">
        <f t="shared" si="2"/>
        <v>100</v>
      </c>
      <c r="X8" s="666"/>
      <c r="Y8" s="3435" t="s">
        <v>1678</v>
      </c>
      <c r="Z8" s="3436"/>
      <c r="AA8" s="50">
        <f t="shared" ref="AA8:AA40" si="3">D8/F8</f>
        <v>1</v>
      </c>
      <c r="AB8" s="50">
        <f t="shared" ref="AB8:AB40" si="4">D8/H8</f>
        <v>1</v>
      </c>
      <c r="AC8" s="50">
        <f t="shared" ref="AC8:AC40" si="5">D8/J8</f>
        <v>1</v>
      </c>
    </row>
    <row r="9" spans="1:29" s="102" customFormat="1">
      <c r="A9" s="359" t="s">
        <v>1679</v>
      </c>
      <c r="B9" s="60" t="s">
        <v>1680</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00" t="s">
        <v>1681</v>
      </c>
      <c r="Q9" s="530" t="str">
        <f t="shared" ref="Q9:Q15" si="6">B9</f>
        <v>用途</v>
      </c>
      <c r="R9" s="664" t="s">
        <v>14</v>
      </c>
      <c r="S9" s="665">
        <f t="shared" si="0"/>
        <v>100</v>
      </c>
      <c r="T9" s="664" t="s">
        <v>14</v>
      </c>
      <c r="U9" s="665">
        <f t="shared" si="1"/>
        <v>100</v>
      </c>
      <c r="V9" s="664" t="s">
        <v>14</v>
      </c>
      <c r="W9" s="665">
        <f t="shared" si="2"/>
        <v>100</v>
      </c>
      <c r="X9" s="666"/>
      <c r="Y9" s="3275"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29"/>
      <c r="F10" s="119">
        <f>SUMIF(59:59,E10,60:60)-SUMIF(59:59,C10,60:60)+100</f>
        <v>100</v>
      </c>
      <c r="G10" s="3130"/>
      <c r="H10" s="119">
        <f>SUMIF(59:59,G10,60:60)-SUMIF(59:59,C10,60:60)+100</f>
        <v>100</v>
      </c>
      <c r="I10" s="3129"/>
      <c r="J10" s="119">
        <f>SUMIF(59:59,I10,60:60)-SUMIF(59:59,C10,60:60)+100</f>
        <v>100</v>
      </c>
      <c r="K10" s="38"/>
      <c r="L10" s="863"/>
      <c r="M10" s="864"/>
      <c r="N10" s="864"/>
      <c r="O10" s="865"/>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1684</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00"/>
      <c r="Q11" s="530" t="str">
        <f t="shared" si="6"/>
        <v>容积率</v>
      </c>
      <c r="R11" s="664" t="s">
        <v>14</v>
      </c>
      <c r="S11" s="665">
        <f t="shared" si="0"/>
        <v>100</v>
      </c>
      <c r="T11" s="664" t="s">
        <v>14</v>
      </c>
      <c r="U11" s="665">
        <f t="shared" si="1"/>
        <v>100</v>
      </c>
      <c r="V11" s="664" t="s">
        <v>14</v>
      </c>
      <c r="W11" s="665">
        <f t="shared" si="2"/>
        <v>100</v>
      </c>
      <c r="X11" s="666"/>
      <c r="Y11" s="327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15">
      <c r="A15" s="379" t="s">
        <v>1685</v>
      </c>
      <c r="B15" s="58" t="s">
        <v>1822</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02" t="s">
        <v>1686</v>
      </c>
      <c r="Q15" s="1261" t="str">
        <f t="shared" si="6"/>
        <v>产业集聚程度</v>
      </c>
      <c r="R15" s="667" t="s">
        <v>14</v>
      </c>
      <c r="S15" s="668">
        <f t="shared" si="0"/>
        <v>100</v>
      </c>
      <c r="T15" s="667" t="s">
        <v>14</v>
      </c>
      <c r="U15" s="668">
        <f t="shared" si="1"/>
        <v>100</v>
      </c>
      <c r="V15" s="667" t="s">
        <v>14</v>
      </c>
      <c r="W15" s="668">
        <f t="shared" si="2"/>
        <v>100</v>
      </c>
      <c r="X15" s="1263"/>
      <c r="Y15" s="3402" t="s">
        <v>1686</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03"/>
      <c r="Q16" s="1261"/>
      <c r="R16" s="667"/>
      <c r="S16" s="668"/>
      <c r="T16" s="667"/>
      <c r="U16" s="668"/>
      <c r="V16" s="667"/>
      <c r="W16" s="668"/>
      <c r="X16" s="1263"/>
      <c r="Y16" s="3403"/>
      <c r="Z16" s="1262"/>
      <c r="AA16" s="1262">
        <v>1</v>
      </c>
      <c r="AB16" s="1262">
        <v>1</v>
      </c>
      <c r="AC16" s="1262">
        <v>1</v>
      </c>
    </row>
    <row r="17" spans="1:29" ht="15">
      <c r="A17" s="367"/>
      <c r="B17" s="390" t="s">
        <v>1254</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03"/>
      <c r="Q17" s="1261" t="str">
        <f>B17</f>
        <v>交通便捷度</v>
      </c>
      <c r="R17" s="667" t="s">
        <v>14</v>
      </c>
      <c r="S17" s="668">
        <f>F17</f>
        <v>100</v>
      </c>
      <c r="T17" s="667" t="s">
        <v>14</v>
      </c>
      <c r="U17" s="668">
        <f>H17</f>
        <v>100</v>
      </c>
      <c r="V17" s="667" t="s">
        <v>14</v>
      </c>
      <c r="W17" s="668">
        <f>J17</f>
        <v>100</v>
      </c>
      <c r="X17" s="1263"/>
      <c r="Y17" s="3403"/>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403"/>
      <c r="Q18" s="1261"/>
      <c r="R18" s="667"/>
      <c r="S18" s="668"/>
      <c r="T18" s="667"/>
      <c r="U18" s="668"/>
      <c r="V18" s="667"/>
      <c r="W18" s="668"/>
      <c r="X18" s="1263"/>
      <c r="Y18" s="3403"/>
      <c r="Z18" s="1262"/>
      <c r="AA18" s="1262">
        <v>1</v>
      </c>
      <c r="AB18" s="1262">
        <v>1</v>
      </c>
      <c r="AC18" s="1262">
        <v>1</v>
      </c>
    </row>
    <row r="19" spans="1:29" ht="15">
      <c r="A19" s="367"/>
      <c r="B19" s="390" t="s">
        <v>1807</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03"/>
      <c r="Q19" s="1261" t="str">
        <f>B19</f>
        <v>公共配套设施</v>
      </c>
      <c r="R19" s="667" t="s">
        <v>14</v>
      </c>
      <c r="S19" s="668">
        <f>F19</f>
        <v>100</v>
      </c>
      <c r="T19" s="667" t="s">
        <v>14</v>
      </c>
      <c r="U19" s="668">
        <f>H19</f>
        <v>100</v>
      </c>
      <c r="V19" s="667" t="s">
        <v>14</v>
      </c>
      <c r="W19" s="668">
        <f>J19</f>
        <v>100</v>
      </c>
      <c r="X19" s="1263"/>
      <c r="Y19" s="3403"/>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403"/>
      <c r="Q20" s="1261"/>
      <c r="R20" s="667"/>
      <c r="S20" s="668"/>
      <c r="T20" s="667"/>
      <c r="U20" s="668"/>
      <c r="V20" s="667"/>
      <c r="W20" s="668"/>
      <c r="X20" s="1263"/>
      <c r="Y20" s="3403"/>
      <c r="Z20" s="1262"/>
      <c r="AA20" s="1262">
        <v>1</v>
      </c>
      <c r="AB20" s="1262">
        <v>1</v>
      </c>
      <c r="AC20" s="1262">
        <v>1</v>
      </c>
    </row>
    <row r="21" spans="1:29" ht="15">
      <c r="A21" s="367"/>
      <c r="B21" s="586" t="s">
        <v>1808</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03"/>
      <c r="Q21" s="1261" t="str">
        <f>B21</f>
        <v>基础设施水平</v>
      </c>
      <c r="R21" s="667" t="s">
        <v>14</v>
      </c>
      <c r="S21" s="668">
        <f>F21</f>
        <v>100</v>
      </c>
      <c r="T21" s="667" t="s">
        <v>14</v>
      </c>
      <c r="U21" s="668">
        <f>H21</f>
        <v>100</v>
      </c>
      <c r="V21" s="667" t="s">
        <v>14</v>
      </c>
      <c r="W21" s="668">
        <f>J21</f>
        <v>100</v>
      </c>
      <c r="X21" s="1263"/>
      <c r="Y21" s="340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403"/>
      <c r="Q22" s="1261"/>
      <c r="R22" s="667"/>
      <c r="S22" s="668"/>
      <c r="T22" s="667"/>
      <c r="U22" s="668"/>
      <c r="V22" s="667"/>
      <c r="W22" s="668"/>
      <c r="X22" s="1263"/>
      <c r="Y22" s="3403"/>
      <c r="Z22" s="1262"/>
      <c r="AA22" s="1262">
        <v>1</v>
      </c>
      <c r="AB22" s="1262">
        <v>1</v>
      </c>
      <c r="AC22" s="1262">
        <v>1</v>
      </c>
    </row>
    <row r="23" spans="1:29" ht="15">
      <c r="A23" s="367"/>
      <c r="B23" s="390" t="s">
        <v>1809</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03"/>
      <c r="Q23" s="1261" t="str">
        <f>B23</f>
        <v>环境质量</v>
      </c>
      <c r="R23" s="667" t="s">
        <v>14</v>
      </c>
      <c r="S23" s="668">
        <f>F23</f>
        <v>100</v>
      </c>
      <c r="T23" s="667" t="s">
        <v>14</v>
      </c>
      <c r="U23" s="668">
        <f>H23</f>
        <v>100</v>
      </c>
      <c r="V23" s="667" t="s">
        <v>14</v>
      </c>
      <c r="W23" s="668">
        <f>J23</f>
        <v>100</v>
      </c>
      <c r="X23" s="1263"/>
      <c r="Y23" s="3403"/>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403"/>
      <c r="Q24" s="1261"/>
      <c r="R24" s="667"/>
      <c r="S24" s="668"/>
      <c r="T24" s="667"/>
      <c r="U24" s="668"/>
      <c r="V24" s="667"/>
      <c r="W24" s="668"/>
      <c r="X24" s="1263"/>
      <c r="Y24" s="3403"/>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03"/>
      <c r="Q25" s="1261">
        <f>B25</f>
        <v>111</v>
      </c>
      <c r="R25" s="667" t="s">
        <v>14</v>
      </c>
      <c r="S25" s="668">
        <f>F25</f>
        <v>100</v>
      </c>
      <c r="T25" s="667" t="s">
        <v>14</v>
      </c>
      <c r="U25" s="668">
        <f>H25</f>
        <v>100</v>
      </c>
      <c r="V25" s="667" t="s">
        <v>14</v>
      </c>
      <c r="W25" s="668">
        <f>J25</f>
        <v>100</v>
      </c>
      <c r="X25" s="1263"/>
      <c r="Y25" s="3403"/>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03"/>
      <c r="Q26" s="1261">
        <f t="shared" ref="Q26:Q40" si="11">B26</f>
        <v>111</v>
      </c>
      <c r="R26" s="667" t="s">
        <v>14</v>
      </c>
      <c r="S26" s="668">
        <f>F26</f>
        <v>100</v>
      </c>
      <c r="T26" s="667" t="s">
        <v>14</v>
      </c>
      <c r="U26" s="668">
        <f>H26</f>
        <v>100</v>
      </c>
      <c r="V26" s="667" t="s">
        <v>14</v>
      </c>
      <c r="W26" s="668">
        <f>J26</f>
        <v>100</v>
      </c>
      <c r="X26" s="1263"/>
      <c r="Y26" s="3403"/>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03"/>
      <c r="Q27" s="530">
        <f t="shared" si="11"/>
        <v>111</v>
      </c>
      <c r="R27" s="664" t="s">
        <v>14</v>
      </c>
      <c r="S27" s="665">
        <f>F27</f>
        <v>100</v>
      </c>
      <c r="T27" s="664" t="s">
        <v>14</v>
      </c>
      <c r="U27" s="665">
        <f>H27</f>
        <v>100</v>
      </c>
      <c r="V27" s="664" t="s">
        <v>14</v>
      </c>
      <c r="W27" s="665">
        <f>J27</f>
        <v>100</v>
      </c>
      <c r="X27" s="666"/>
      <c r="Y27" s="3403"/>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03"/>
      <c r="Q28" s="1261">
        <f t="shared" si="11"/>
        <v>111</v>
      </c>
      <c r="R28" s="667" t="s">
        <v>14</v>
      </c>
      <c r="S28" s="668">
        <f t="shared" ref="S28:S40" si="12">F28</f>
        <v>100</v>
      </c>
      <c r="T28" s="667" t="s">
        <v>14</v>
      </c>
      <c r="U28" s="668">
        <f t="shared" ref="U28:U40" si="13">H28</f>
        <v>100</v>
      </c>
      <c r="V28" s="667" t="s">
        <v>14</v>
      </c>
      <c r="W28" s="668">
        <f t="shared" ref="W28:W40" si="14">J28</f>
        <v>100</v>
      </c>
      <c r="X28" s="1263"/>
      <c r="Y28" s="3403"/>
      <c r="Z28" s="1262">
        <f t="shared" ref="Z28:Z40" si="15">Q28</f>
        <v>111</v>
      </c>
      <c r="AA28" s="1262">
        <f t="shared" si="3"/>
        <v>1</v>
      </c>
      <c r="AB28" s="1262">
        <f t="shared" si="4"/>
        <v>1</v>
      </c>
      <c r="AC28" s="1262">
        <f t="shared" si="5"/>
        <v>1</v>
      </c>
    </row>
    <row r="29" spans="1:29" ht="28.5">
      <c r="A29" s="404" t="s">
        <v>1689</v>
      </c>
      <c r="B29" s="60" t="s">
        <v>1812</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57" t="s">
        <v>1691</v>
      </c>
      <c r="Q29" s="1261" t="str">
        <f t="shared" si="11"/>
        <v>建筑类型</v>
      </c>
      <c r="R29" s="667" t="s">
        <v>14</v>
      </c>
      <c r="S29" s="668">
        <f t="shared" si="12"/>
        <v>100</v>
      </c>
      <c r="T29" s="667" t="s">
        <v>14</v>
      </c>
      <c r="U29" s="668">
        <f t="shared" si="13"/>
        <v>100</v>
      </c>
      <c r="V29" s="667" t="s">
        <v>14</v>
      </c>
      <c r="W29" s="668">
        <f t="shared" si="14"/>
        <v>100</v>
      </c>
      <c r="X29" s="1263"/>
      <c r="Y29" s="3407" t="s">
        <v>1691</v>
      </c>
      <c r="Z29" s="1262" t="str">
        <f t="shared" si="15"/>
        <v>建筑类型</v>
      </c>
      <c r="AA29" s="1262">
        <f t="shared" si="3"/>
        <v>1</v>
      </c>
      <c r="AB29" s="1262">
        <f t="shared" si="4"/>
        <v>1</v>
      </c>
      <c r="AC29" s="1262">
        <f t="shared" si="5"/>
        <v>1</v>
      </c>
    </row>
    <row r="30" spans="1:29" s="408" customFormat="1" ht="15">
      <c r="A30" s="406"/>
      <c r="B30" s="364" t="s">
        <v>1692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2" t="e">
        <f t="shared" si="3"/>
        <v>#N/A</v>
      </c>
      <c r="AB30" s="1262" t="e">
        <f t="shared" si="4"/>
        <v>#N/A</v>
      </c>
      <c r="AC30" s="1262" t="e">
        <f t="shared" si="5"/>
        <v>#N/A</v>
      </c>
    </row>
    <row r="31" spans="1:29" ht="15">
      <c r="A31" s="409"/>
      <c r="B31" s="364" t="s">
        <v>1693</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07"/>
      <c r="Q31" s="1261" t="str">
        <f t="shared" si="11"/>
        <v>建筑结构</v>
      </c>
      <c r="R31" s="667" t="s">
        <v>14</v>
      </c>
      <c r="S31" s="668">
        <f t="shared" si="12"/>
        <v>100</v>
      </c>
      <c r="T31" s="667" t="s">
        <v>14</v>
      </c>
      <c r="U31" s="668">
        <f t="shared" si="13"/>
        <v>100</v>
      </c>
      <c r="V31" s="667" t="s">
        <v>14</v>
      </c>
      <c r="W31" s="668">
        <f t="shared" si="14"/>
        <v>100</v>
      </c>
      <c r="X31" s="1263"/>
      <c r="Y31" s="3407"/>
      <c r="Z31" s="1262" t="str">
        <f t="shared" si="15"/>
        <v>建筑结构</v>
      </c>
      <c r="AA31" s="1262">
        <f t="shared" si="3"/>
        <v>1</v>
      </c>
      <c r="AB31" s="1262">
        <f t="shared" si="4"/>
        <v>1</v>
      </c>
      <c r="AC31" s="1262">
        <f t="shared" si="5"/>
        <v>1</v>
      </c>
    </row>
    <row r="32" spans="1:29" ht="15">
      <c r="A32" s="409"/>
      <c r="B32" s="364" t="s">
        <v>1780</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07"/>
      <c r="Q32" s="1261" t="str">
        <f t="shared" si="11"/>
        <v>公共部分装修</v>
      </c>
      <c r="R32" s="667" t="s">
        <v>14</v>
      </c>
      <c r="S32" s="668">
        <f t="shared" si="12"/>
        <v>100</v>
      </c>
      <c r="T32" s="667" t="s">
        <v>14</v>
      </c>
      <c r="U32" s="668">
        <f t="shared" si="13"/>
        <v>100</v>
      </c>
      <c r="V32" s="667" t="s">
        <v>14</v>
      </c>
      <c r="W32" s="668">
        <f t="shared" si="14"/>
        <v>100</v>
      </c>
      <c r="X32" s="1263"/>
      <c r="Y32" s="3407"/>
      <c r="Z32" s="1262" t="str">
        <f t="shared" si="15"/>
        <v>公共部分装修</v>
      </c>
      <c r="AA32" s="1262">
        <f t="shared" si="3"/>
        <v>1</v>
      </c>
      <c r="AB32" s="1262">
        <f t="shared" si="4"/>
        <v>1</v>
      </c>
      <c r="AC32" s="1262">
        <f t="shared" si="5"/>
        <v>1</v>
      </c>
    </row>
    <row r="33" spans="1:29" ht="15">
      <c r="A33" s="409"/>
      <c r="B33" s="364" t="s">
        <v>1781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07"/>
      <c r="Q33" s="1261" t="str">
        <f t="shared" si="11"/>
        <v>成新度</v>
      </c>
      <c r="R33" s="667" t="s">
        <v>14</v>
      </c>
      <c r="S33" s="668" t="e">
        <f t="shared" si="12"/>
        <v>#N/A</v>
      </c>
      <c r="T33" s="667" t="s">
        <v>14</v>
      </c>
      <c r="U33" s="668" t="e">
        <f t="shared" si="13"/>
        <v>#N/A</v>
      </c>
      <c r="V33" s="667" t="s">
        <v>14</v>
      </c>
      <c r="W33" s="668" t="e">
        <f t="shared" si="14"/>
        <v>#N/A</v>
      </c>
      <c r="X33" s="1263"/>
      <c r="Y33" s="3407"/>
      <c r="Z33" s="1262" t="str">
        <f t="shared" si="15"/>
        <v>成新度</v>
      </c>
      <c r="AA33" s="1262" t="e">
        <f t="shared" si="3"/>
        <v>#N/A</v>
      </c>
      <c r="AB33" s="1262" t="e">
        <f t="shared" si="4"/>
        <v>#N/A</v>
      </c>
      <c r="AC33" s="1262" t="e">
        <f t="shared" si="5"/>
        <v>#N/A</v>
      </c>
    </row>
    <row r="34" spans="1:29" s="102" customFormat="1" ht="15">
      <c r="A34" s="410"/>
      <c r="B34" s="364" t="s">
        <v>1814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07" t="s">
        <v>1691</v>
      </c>
      <c r="Q35" s="1261" t="str">
        <f t="shared" si="11"/>
        <v>市政基础设施</v>
      </c>
      <c r="R35" s="667" t="s">
        <v>14</v>
      </c>
      <c r="S35" s="668">
        <f t="shared" si="12"/>
        <v>100</v>
      </c>
      <c r="T35" s="667" t="s">
        <v>14</v>
      </c>
      <c r="U35" s="668">
        <f t="shared" si="13"/>
        <v>100</v>
      </c>
      <c r="V35" s="667" t="s">
        <v>14</v>
      </c>
      <c r="W35" s="668">
        <f t="shared" si="14"/>
        <v>100</v>
      </c>
      <c r="X35" s="1263"/>
      <c r="Y35" s="3407" t="s">
        <v>1691</v>
      </c>
      <c r="Z35" s="1262" t="str">
        <f t="shared" si="15"/>
        <v>市政基础设施</v>
      </c>
      <c r="AA35" s="1262">
        <f t="shared" si="3"/>
        <v>1</v>
      </c>
      <c r="AB35" s="1262">
        <f t="shared" si="4"/>
        <v>1</v>
      </c>
      <c r="AC35" s="1262">
        <f t="shared" si="5"/>
        <v>1</v>
      </c>
    </row>
    <row r="36" spans="1:29" ht="15">
      <c r="A36" s="409"/>
      <c r="B36" s="364" t="s">
        <v>1787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07"/>
      <c r="Q36" s="1261" t="str">
        <f t="shared" si="11"/>
        <v>内部装修</v>
      </c>
      <c r="R36" s="667" t="s">
        <v>14</v>
      </c>
      <c r="S36" s="668">
        <f t="shared" si="12"/>
        <v>100</v>
      </c>
      <c r="T36" s="667" t="s">
        <v>14</v>
      </c>
      <c r="U36" s="668">
        <f t="shared" si="13"/>
        <v>100</v>
      </c>
      <c r="V36" s="667" t="s">
        <v>14</v>
      </c>
      <c r="W36" s="668">
        <f t="shared" si="14"/>
        <v>100</v>
      </c>
      <c r="X36" s="1263"/>
      <c r="Y36" s="3407"/>
      <c r="Z36" s="1262" t="str">
        <f t="shared" si="15"/>
        <v>内部装修</v>
      </c>
      <c r="AA36" s="1262">
        <f t="shared" si="3"/>
        <v>1</v>
      </c>
      <c r="AB36" s="1262">
        <f t="shared" si="4"/>
        <v>1</v>
      </c>
      <c r="AC36" s="1262">
        <f t="shared" si="5"/>
        <v>1</v>
      </c>
    </row>
    <row r="37" spans="1:29" ht="15">
      <c r="A37" s="409"/>
      <c r="B37" s="364" t="s">
        <v>1823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07"/>
      <c r="Q37" s="1261" t="str">
        <f t="shared" si="11"/>
        <v>内部装修状况</v>
      </c>
      <c r="R37" s="667" t="s">
        <v>14</v>
      </c>
      <c r="S37" s="668">
        <f t="shared" si="12"/>
        <v>100</v>
      </c>
      <c r="T37" s="667" t="s">
        <v>14</v>
      </c>
      <c r="U37" s="668">
        <f t="shared" si="13"/>
        <v>100</v>
      </c>
      <c r="V37" s="667" t="s">
        <v>14</v>
      </c>
      <c r="W37" s="668">
        <f t="shared" si="14"/>
        <v>100</v>
      </c>
      <c r="X37" s="1263"/>
      <c r="Y37" s="3407"/>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07"/>
      <c r="Q39" s="1261">
        <f t="shared" si="11"/>
        <v>111</v>
      </c>
      <c r="R39" s="667" t="s">
        <v>14</v>
      </c>
      <c r="S39" s="668">
        <f t="shared" si="12"/>
        <v>100</v>
      </c>
      <c r="T39" s="667" t="s">
        <v>14</v>
      </c>
      <c r="U39" s="668">
        <f t="shared" si="13"/>
        <v>100</v>
      </c>
      <c r="V39" s="667" t="s">
        <v>14</v>
      </c>
      <c r="W39" s="668">
        <f t="shared" si="14"/>
        <v>100</v>
      </c>
      <c r="X39" s="1263"/>
      <c r="Y39" s="3407"/>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08"/>
      <c r="Q40" s="1261">
        <f t="shared" si="11"/>
        <v>111</v>
      </c>
      <c r="R40" s="667" t="s">
        <v>14</v>
      </c>
      <c r="S40" s="668">
        <f t="shared" si="12"/>
        <v>100</v>
      </c>
      <c r="T40" s="667" t="s">
        <v>14</v>
      </c>
      <c r="U40" s="668">
        <f t="shared" si="13"/>
        <v>100</v>
      </c>
      <c r="V40" s="667" t="s">
        <v>14</v>
      </c>
      <c r="W40" s="668">
        <f t="shared" si="14"/>
        <v>100</v>
      </c>
      <c r="X40" s="1263"/>
      <c r="Y40" s="3408"/>
      <c r="Z40" s="1262">
        <f t="shared" si="15"/>
        <v>111</v>
      </c>
      <c r="AA40" s="1262">
        <f t="shared" si="3"/>
        <v>1</v>
      </c>
      <c r="AB40" s="1262">
        <f t="shared" si="4"/>
        <v>1</v>
      </c>
      <c r="AC40" s="1262">
        <f t="shared" si="5"/>
        <v>1</v>
      </c>
    </row>
    <row r="41" spans="1:29" ht="15">
      <c r="A41" s="416" t="s">
        <v>1703</v>
      </c>
      <c r="B41" s="417"/>
      <c r="C41" s="1079" t="s">
        <v>0</v>
      </c>
      <c r="D41" s="418"/>
      <c r="E41" s="419"/>
      <c r="F41" s="420"/>
      <c r="G41" s="421"/>
      <c r="H41" s="422"/>
      <c r="I41" s="419"/>
      <c r="J41" s="422"/>
      <c r="K41" s="674"/>
      <c r="L41" s="871"/>
      <c r="M41" s="859"/>
      <c r="N41" s="859"/>
      <c r="O41" s="859"/>
      <c r="P41" s="3400" t="str">
        <f>A41</f>
        <v>成交单价（元/平方米）</v>
      </c>
      <c r="Q41" s="3400"/>
      <c r="R41" s="3401">
        <f>E41</f>
        <v>0</v>
      </c>
      <c r="S41" s="3401"/>
      <c r="T41" s="3401">
        <f>G41</f>
        <v>0</v>
      </c>
      <c r="U41" s="3401"/>
      <c r="V41" s="3401">
        <f>I41</f>
        <v>0</v>
      </c>
      <c r="W41" s="3401"/>
      <c r="X41" s="385"/>
      <c r="Y41" s="673"/>
      <c r="Z41" s="385"/>
      <c r="AA41" s="385"/>
      <c r="AB41" s="385"/>
      <c r="AC41" s="385"/>
    </row>
    <row r="42" spans="1:29" ht="15.75" thickBot="1">
      <c r="A42" s="423" t="s">
        <v>1788</v>
      </c>
      <c r="B42" s="424"/>
      <c r="C42" s="1080" t="e">
        <f>R43</f>
        <v>#DIV/0!</v>
      </c>
      <c r="D42" s="2139" t="s">
        <v>2133</v>
      </c>
      <c r="E42" s="1081" t="e">
        <f>R42</f>
        <v>#DIV/0!</v>
      </c>
      <c r="F42" s="2140"/>
      <c r="G42" s="1080" t="e">
        <f>T42</f>
        <v>#DIV/0!</v>
      </c>
      <c r="H42" s="2140"/>
      <c r="I42" s="1081" t="e">
        <f>V42</f>
        <v>#DIV/0!</v>
      </c>
      <c r="J42" s="2140"/>
      <c r="K42" s="2142">
        <f>F42+H42+J42</f>
        <v>0</v>
      </c>
      <c r="L42" s="871"/>
      <c r="M42" s="859"/>
      <c r="N42" s="859"/>
      <c r="O42" s="859"/>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75" thickBot="1">
      <c r="A43" s="427" t="s">
        <v>1789</v>
      </c>
      <c r="B43" s="428"/>
      <c r="C43" s="351" t="e">
        <f>R43</f>
        <v>#DIV/0!</v>
      </c>
      <c r="D43" s="351"/>
      <c r="E43" s="351"/>
      <c r="F43" s="351"/>
      <c r="G43" s="351"/>
      <c r="H43" s="351"/>
      <c r="I43" s="351"/>
      <c r="J43" s="351"/>
      <c r="K43" s="675"/>
      <c r="L43" s="871"/>
      <c r="M43" s="859"/>
      <c r="N43" s="859"/>
      <c r="O43" s="859"/>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5"/>
      <c r="Y43" s="385"/>
      <c r="Z43" s="385"/>
      <c r="AA43" s="385"/>
      <c r="AB43" s="385"/>
      <c r="AC43" s="385"/>
    </row>
    <row r="44" spans="1:29">
      <c r="A44" s="2484"/>
      <c r="B44" s="2484"/>
      <c r="C44" s="2484"/>
      <c r="D44" s="2484"/>
      <c r="E44" s="2484"/>
      <c r="F44" s="2484"/>
      <c r="G44" s="2495"/>
      <c r="H44" s="2484"/>
      <c r="I44" s="2484"/>
      <c r="J44" s="2484"/>
      <c r="K44" s="2496"/>
      <c r="L44" s="834"/>
      <c r="M44" s="859"/>
      <c r="N44" s="859"/>
      <c r="O44" s="859"/>
    </row>
    <row r="45" spans="1:29">
      <c r="A45" s="2484"/>
      <c r="B45" s="2484"/>
      <c r="C45" s="2484"/>
      <c r="D45" s="2484"/>
      <c r="E45" s="2484"/>
      <c r="F45" s="2484"/>
      <c r="G45" s="2484"/>
      <c r="H45" s="2484"/>
      <c r="I45" s="2484"/>
      <c r="J45" s="2484"/>
      <c r="K45" s="2496"/>
      <c r="L45" s="834"/>
      <c r="M45" s="859"/>
      <c r="N45" s="859"/>
      <c r="O45" s="859"/>
    </row>
    <row r="46" spans="1:29" ht="13.5" customHeight="1">
      <c r="A46" s="2484"/>
      <c r="B46" s="2484"/>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4"/>
      <c r="M46" s="859"/>
      <c r="N46" s="859"/>
      <c r="O46" s="859"/>
    </row>
    <row r="47" spans="1:29" ht="13.5" customHeight="1">
      <c r="A47" s="2484"/>
      <c r="B47" s="2484"/>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4"/>
      <c r="M47" s="859"/>
      <c r="N47" s="859"/>
      <c r="O47" s="859"/>
    </row>
    <row r="48" spans="1:29" s="437" customFormat="1" ht="13.5" customHeight="1">
      <c r="A48" s="2494"/>
      <c r="B48" s="2494"/>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4"/>
      <c r="M48" s="872"/>
      <c r="N48" s="872"/>
      <c r="O48" s="872"/>
    </row>
    <row r="49" spans="1:17" s="437" customFormat="1">
      <c r="A49" s="2494"/>
      <c r="B49" s="2497"/>
      <c r="C49" s="2498"/>
      <c r="D49" s="2494"/>
      <c r="E49" s="2494"/>
      <c r="F49" s="2494"/>
      <c r="G49" s="2494"/>
      <c r="H49" s="2494"/>
      <c r="I49" s="2494"/>
      <c r="J49" s="2494"/>
      <c r="K49" s="2499"/>
      <c r="L49" s="874"/>
      <c r="M49" s="872"/>
      <c r="N49" s="872"/>
      <c r="O49" s="872"/>
    </row>
    <row r="50" spans="1:17">
      <c r="A50" s="2484"/>
      <c r="B50" s="2497"/>
      <c r="C50" s="2498"/>
      <c r="D50" s="2484"/>
      <c r="E50" s="2484"/>
      <c r="F50" s="2484"/>
      <c r="G50" s="2484"/>
      <c r="H50" s="2484"/>
      <c r="I50" s="2484"/>
      <c r="J50" s="2484"/>
      <c r="K50" s="2496"/>
      <c r="L50" s="834"/>
      <c r="M50" s="859"/>
      <c r="N50" s="859"/>
      <c r="O50" s="859"/>
    </row>
    <row r="51" spans="1:17" ht="21.75" thickBot="1">
      <c r="A51" s="658" t="s">
        <v>1793</v>
      </c>
      <c r="B51" s="385"/>
      <c r="C51" s="659"/>
      <c r="D51" s="659"/>
      <c r="E51" s="659"/>
      <c r="F51" s="660"/>
      <c r="G51" s="660"/>
      <c r="H51" s="659"/>
      <c r="I51" s="659"/>
      <c r="J51" s="659"/>
      <c r="K51" s="885"/>
      <c r="L51" s="886"/>
      <c r="M51" s="884"/>
      <c r="N51" s="884"/>
      <c r="O51" s="884"/>
      <c r="P51" s="438"/>
      <c r="Q51" s="439"/>
    </row>
    <row r="52" spans="1:17" s="442" customFormat="1" ht="15">
      <c r="A52" s="440" t="s">
        <v>1674</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1711</v>
      </c>
      <c r="B54" s="450"/>
      <c r="C54" s="451"/>
      <c r="D54" s="452"/>
      <c r="E54" s="452"/>
      <c r="F54" s="452"/>
      <c r="G54" s="452"/>
      <c r="H54" s="452"/>
      <c r="I54" s="452"/>
      <c r="J54" s="452"/>
      <c r="K54" s="452"/>
      <c r="L54" s="452"/>
      <c r="M54" s="453"/>
      <c r="N54" s="2535"/>
      <c r="O54" s="2536"/>
      <c r="P54" s="439"/>
      <c r="Q54" s="439"/>
    </row>
    <row r="55" spans="1:17" s="102" customFormat="1" ht="15">
      <c r="A55" s="455" t="s">
        <v>1676</v>
      </c>
      <c r="B55" s="444"/>
      <c r="C55" s="456" t="s">
        <v>1771</v>
      </c>
      <c r="D55" s="31"/>
      <c r="E55" s="31"/>
      <c r="F55" s="31"/>
      <c r="G55" s="31"/>
      <c r="H55" s="31"/>
      <c r="I55" s="31"/>
      <c r="J55" s="31"/>
      <c r="K55" s="31"/>
      <c r="L55" s="457"/>
      <c r="M55" s="458"/>
      <c r="N55" s="876"/>
      <c r="O55" s="876"/>
      <c r="P55" s="459"/>
      <c r="Q55" s="439"/>
    </row>
    <row r="56" spans="1:17" s="102" customFormat="1" ht="15.75" thickBot="1">
      <c r="A56" s="455"/>
      <c r="B56" s="444"/>
      <c r="C56" s="563">
        <v>100</v>
      </c>
      <c r="D56" s="446"/>
      <c r="E56" s="446"/>
      <c r="F56" s="446"/>
      <c r="G56" s="446"/>
      <c r="H56" s="446"/>
      <c r="I56" s="446"/>
      <c r="J56" s="446"/>
      <c r="K56" s="446"/>
      <c r="L56" s="446"/>
      <c r="M56" s="448"/>
      <c r="N56" s="876"/>
      <c r="O56" s="876"/>
      <c r="P56" s="439"/>
      <c r="Q56" s="439"/>
    </row>
    <row r="57" spans="1:17">
      <c r="A57" s="379" t="s">
        <v>1714</v>
      </c>
      <c r="B57" s="460" t="s">
        <v>1680</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1683</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1685</v>
      </c>
      <c r="B70" s="460" t="s">
        <v>1824</v>
      </c>
      <c r="C70" s="504" t="s">
        <v>1716</v>
      </c>
      <c r="D70" s="504" t="s">
        <v>1717</v>
      </c>
      <c r="E70" s="504" t="s">
        <v>1718</v>
      </c>
      <c r="F70" s="504" t="s">
        <v>1719</v>
      </c>
      <c r="G70" s="504" t="s">
        <v>1720</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1721</v>
      </c>
      <c r="C72" s="509" t="s">
        <v>1716</v>
      </c>
      <c r="D72" s="509" t="s">
        <v>1717</v>
      </c>
      <c r="E72" s="509" t="s">
        <v>1718</v>
      </c>
      <c r="F72" s="509" t="s">
        <v>1719</v>
      </c>
      <c r="G72" s="509" t="s">
        <v>1720</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1722</v>
      </c>
      <c r="C74" s="509" t="s">
        <v>1716</v>
      </c>
      <c r="D74" s="509" t="s">
        <v>1717</v>
      </c>
      <c r="E74" s="509" t="s">
        <v>1718</v>
      </c>
      <c r="F74" s="509" t="s">
        <v>1719</v>
      </c>
      <c r="G74" s="509" t="s">
        <v>1720</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1808</v>
      </c>
      <c r="C76" s="581" t="s">
        <v>1794</v>
      </c>
      <c r="D76" s="581" t="s">
        <v>1795</v>
      </c>
      <c r="E76" s="581" t="s">
        <v>1796</v>
      </c>
      <c r="F76" s="581" t="s">
        <v>1797</v>
      </c>
      <c r="G76" s="581" t="s">
        <v>1798</v>
      </c>
      <c r="H76" s="470"/>
      <c r="I76" s="470"/>
      <c r="J76" s="470"/>
      <c r="K76" s="470"/>
      <c r="L76" s="470"/>
      <c r="M76" s="1061"/>
      <c r="N76" s="878"/>
      <c r="O76" s="878"/>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75" thickTop="1">
      <c r="A78" s="367"/>
      <c r="B78" s="469" t="s">
        <v>1817</v>
      </c>
      <c r="C78" s="509" t="s">
        <v>1716</v>
      </c>
      <c r="D78" s="509" t="s">
        <v>1717</v>
      </c>
      <c r="E78" s="509" t="s">
        <v>1718</v>
      </c>
      <c r="F78" s="509" t="s">
        <v>1719</v>
      </c>
      <c r="G78" s="509" t="s">
        <v>1720</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1689</v>
      </c>
      <c r="B88" s="460" t="s">
        <v>1731</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1733</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1735</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1185</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1736</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1737</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1739</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60" t="s">
        <v>1825</v>
      </c>
      <c r="C106" s="509" t="s">
        <v>1716</v>
      </c>
      <c r="D106" s="509" t="s">
        <v>1717</v>
      </c>
      <c r="E106" s="509" t="s">
        <v>1718</v>
      </c>
      <c r="F106" s="509" t="s">
        <v>1719</v>
      </c>
      <c r="G106" s="509" t="s">
        <v>1720</v>
      </c>
      <c r="H106" s="470"/>
      <c r="I106" s="470"/>
      <c r="J106" s="470"/>
      <c r="K106" s="471"/>
      <c r="L106" s="472"/>
      <c r="M106" s="473"/>
      <c r="N106" s="878"/>
      <c r="O106" s="878"/>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F7:F40 H7:H40 J7:J40">
    <cfRule type="cellIs" dxfId="108" priority="1" operator="notEqual">
      <formula>100</formula>
    </cfRule>
  </conditionalFormatting>
  <conditionalFormatting sqref="F42">
    <cfRule type="expression" dxfId="107" priority="4">
      <formula>$D$42="简单平均"</formula>
    </cfRule>
  </conditionalFormatting>
  <conditionalFormatting sqref="F46:F48 H46:H48">
    <cfRule type="containsText" dxfId="106" priority="17" stopIfTrue="1" operator="containsText" text="超过">
      <formula>NOT(ISERROR(SEARCH("超过",F46)))</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G48">
    <cfRule type="expression" dxfId="103" priority="13" stopIfTrue="1">
      <formula>$H$48="超过30%"</formula>
    </cfRule>
  </conditionalFormatting>
  <conditionalFormatting sqref="H42">
    <cfRule type="expression" dxfId="102" priority="3">
      <formula>$D$42="简单平均"</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J42">
    <cfRule type="expression" dxfId="98" priority="2">
      <formula>$D$42="简单平均"</formula>
    </cfRule>
  </conditionalFormatting>
  <conditionalFormatting sqref="J46:J48">
    <cfRule type="containsText" dxfId="9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1826</v>
      </c>
      <c r="B1" s="1138" t="s">
        <v>3319</v>
      </c>
      <c r="C1" s="1139" t="s">
        <v>1657</v>
      </c>
      <c r="D1" s="1140"/>
      <c r="E1" s="3128"/>
      <c r="F1" s="1733"/>
      <c r="G1" s="1142" t="s">
        <v>1762</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1457</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1458</v>
      </c>
      <c r="F2" s="1737"/>
      <c r="G2" s="853"/>
      <c r="H2" s="853"/>
      <c r="I2" s="853"/>
      <c r="J2" s="853"/>
      <c r="K2" s="855"/>
      <c r="L2" s="2500"/>
      <c r="M2" s="2501"/>
      <c r="N2" s="2501"/>
      <c r="O2" s="2501"/>
      <c r="P2" s="1084"/>
      <c r="Q2" s="341"/>
      <c r="R2" s="341"/>
      <c r="S2" s="341"/>
      <c r="T2" s="341"/>
      <c r="U2" s="341"/>
      <c r="V2" s="341"/>
      <c r="W2" s="341"/>
      <c r="X2" s="341"/>
      <c r="Y2" s="341"/>
      <c r="Z2" s="341"/>
      <c r="AA2" s="341"/>
      <c r="AB2" s="341"/>
      <c r="AC2" s="663"/>
    </row>
    <row r="3" spans="1:29" s="342" customFormat="1" ht="28.5" customHeight="1" thickBot="1">
      <c r="A3" s="195" t="s">
        <v>1459</v>
      </c>
      <c r="B3" s="536" t="e">
        <f>IF(AND(C2="——",B37="元/平方米"),C39,ROUND(B2*10000/D3,0))</f>
        <v>#DIV/0!</v>
      </c>
      <c r="C3" s="344" t="s">
        <v>1763</v>
      </c>
      <c r="D3" s="343">
        <f>SUMIF('数据-汇总表'!$C19:$C33,D1,'数据-汇总表'!$E19:$E33)</f>
        <v>0</v>
      </c>
      <c r="E3" s="344" t="s">
        <v>1827</v>
      </c>
      <c r="F3" s="343">
        <f>SUMIF('数据-取费表'!A5:A15,D1,'数据-取费表'!AH5:AH15)</f>
        <v>0</v>
      </c>
      <c r="G3" s="853"/>
      <c r="H3" s="853"/>
      <c r="I3" s="853"/>
      <c r="J3" s="853"/>
      <c r="K3" s="855"/>
      <c r="L3" s="2500"/>
      <c r="M3" s="2501" t="e">
        <f ca="1">IF(C2="——",IF(B37="元/平方米",ROUND(C39*D3/10000,0),ROUND(F3*C39/10000,0)),IF(B37="元/平方米",ROUND(C39*D3/10000,0),ROUND(F3*C39/10000,0))-D2)</f>
        <v>#DIV/0!</v>
      </c>
      <c r="N3" s="2501"/>
      <c r="O3" s="2501"/>
      <c r="P3" s="1084"/>
      <c r="Q3" s="341"/>
      <c r="R3" s="341"/>
      <c r="S3" s="341"/>
      <c r="T3" s="341"/>
      <c r="U3" s="341"/>
      <c r="V3" s="341"/>
      <c r="W3" s="341"/>
      <c r="X3" s="341"/>
      <c r="Y3" s="341"/>
      <c r="Z3" s="341"/>
      <c r="AA3" s="341"/>
      <c r="AB3" s="676"/>
      <c r="AC3" s="663"/>
    </row>
    <row r="4" spans="1:29" ht="15">
      <c r="A4" s="345" t="s">
        <v>1764</v>
      </c>
      <c r="B4" s="346"/>
      <c r="C4" s="3415" t="s">
        <v>1765</v>
      </c>
      <c r="D4" s="3416"/>
      <c r="E4" s="3417" t="s">
        <v>1766</v>
      </c>
      <c r="F4" s="3418"/>
      <c r="G4" s="3415" t="s">
        <v>1767</v>
      </c>
      <c r="H4" s="3416"/>
      <c r="I4" s="3415" t="s">
        <v>1768</v>
      </c>
      <c r="J4" s="3416"/>
      <c r="K4" s="537" t="s">
        <v>1769</v>
      </c>
      <c r="L4" s="2483"/>
      <c r="M4" s="2484"/>
      <c r="N4" s="2484"/>
      <c r="O4" s="2484"/>
      <c r="P4" s="3419" t="s">
        <v>1770</v>
      </c>
      <c r="Q4" s="3420"/>
      <c r="R4" s="3425" t="s">
        <v>1766</v>
      </c>
      <c r="S4" s="3426"/>
      <c r="T4" s="3425" t="s">
        <v>1767</v>
      </c>
      <c r="U4" s="3426"/>
      <c r="V4" s="3401" t="s">
        <v>1768</v>
      </c>
      <c r="W4" s="3401"/>
      <c r="X4" s="1263"/>
      <c r="Y4" s="3425" t="s">
        <v>1770</v>
      </c>
      <c r="Z4" s="3426"/>
      <c r="AA4" s="3412" t="s">
        <v>1766</v>
      </c>
      <c r="AB4" s="3413" t="s">
        <v>1767</v>
      </c>
      <c r="AC4" s="3412" t="s">
        <v>1768</v>
      </c>
    </row>
    <row r="5" spans="1:29" ht="15">
      <c r="A5" s="348"/>
      <c r="B5" s="349"/>
      <c r="C5" s="3433" t="s">
        <v>1668</v>
      </c>
      <c r="D5" s="3434"/>
      <c r="E5" s="3440" t="s">
        <v>1669</v>
      </c>
      <c r="F5" s="3441"/>
      <c r="G5" s="3433" t="s">
        <v>1670</v>
      </c>
      <c r="H5" s="3434"/>
      <c r="I5" s="3433" t="s">
        <v>1671</v>
      </c>
      <c r="J5" s="3434"/>
      <c r="K5" s="537"/>
      <c r="L5" s="2483"/>
      <c r="M5" s="2484"/>
      <c r="N5" s="2484"/>
      <c r="O5" s="2484"/>
      <c r="P5" s="3421"/>
      <c r="Q5" s="3422"/>
      <c r="R5" s="3427"/>
      <c r="S5" s="3428"/>
      <c r="T5" s="3427"/>
      <c r="U5" s="3428"/>
      <c r="V5" s="3401"/>
      <c r="W5" s="3401"/>
      <c r="X5" s="1263"/>
      <c r="Y5" s="3427"/>
      <c r="Z5" s="3428"/>
      <c r="AA5" s="3413"/>
      <c r="AB5" s="3413"/>
      <c r="AC5" s="3413"/>
    </row>
    <row r="6" spans="1:29" ht="15.75" thickBot="1">
      <c r="A6" s="350"/>
      <c r="B6" s="351"/>
      <c r="C6" s="3431" t="s">
        <v>1672</v>
      </c>
      <c r="D6" s="3432"/>
      <c r="E6" s="3438" t="s">
        <v>1672</v>
      </c>
      <c r="F6" s="3439"/>
      <c r="G6" s="3431" t="s">
        <v>1672</v>
      </c>
      <c r="H6" s="3432"/>
      <c r="I6" s="3431" t="s">
        <v>1672</v>
      </c>
      <c r="J6" s="3432"/>
      <c r="K6" s="537" t="s">
        <v>1673</v>
      </c>
      <c r="L6" s="2483"/>
      <c r="M6" s="2484"/>
      <c r="N6" s="2484"/>
      <c r="O6" s="2484"/>
      <c r="P6" s="3423"/>
      <c r="Q6" s="3424"/>
      <c r="R6" s="3427"/>
      <c r="S6" s="3428"/>
      <c r="T6" s="3429"/>
      <c r="U6" s="3430"/>
      <c r="V6" s="3401"/>
      <c r="W6" s="3401"/>
      <c r="X6" s="1263"/>
      <c r="Y6" s="3429"/>
      <c r="Z6" s="3430"/>
      <c r="AA6" s="3414"/>
      <c r="AB6" s="3414"/>
      <c r="AC6" s="3414"/>
    </row>
    <row r="7" spans="1:29" s="102" customFormat="1" ht="15.75" thickBot="1">
      <c r="A7" s="352" t="s">
        <v>1674</v>
      </c>
      <c r="B7" s="353"/>
      <c r="C7" s="354">
        <f>'数据-取费表'!B2</f>
        <v>45804</v>
      </c>
      <c r="D7" s="355">
        <v>100</v>
      </c>
      <c r="E7" s="356"/>
      <c r="F7" s="357">
        <f>SUMIF(48:48,YEAR(E7)&amp;"-"&amp;MONTH(E7),49:49)</f>
        <v>0</v>
      </c>
      <c r="G7" s="356"/>
      <c r="H7" s="355">
        <f>SUMIF(48:48,YEAR(G7)&amp;"-"&amp;MONTH(G7),49:49)</f>
        <v>0</v>
      </c>
      <c r="I7" s="356"/>
      <c r="J7" s="355">
        <f>SUMIF(48:48,YEAR(I7)&amp;"-"&amp;MONTH(I7),49:49)</f>
        <v>0</v>
      </c>
      <c r="K7" s="38"/>
      <c r="L7" s="2485"/>
      <c r="M7" s="2436"/>
      <c r="N7" s="2436"/>
      <c r="O7" s="2436"/>
      <c r="P7" s="3435" t="s">
        <v>1675</v>
      </c>
      <c r="Q7" s="3437"/>
      <c r="R7" s="664" t="s">
        <v>14</v>
      </c>
      <c r="S7" s="665">
        <f t="shared" ref="S7:S14" si="0">F7</f>
        <v>0</v>
      </c>
      <c r="T7" s="664" t="s">
        <v>14</v>
      </c>
      <c r="U7" s="665">
        <f t="shared" ref="U7:U14" si="1">H7</f>
        <v>0</v>
      </c>
      <c r="V7" s="664" t="s">
        <v>14</v>
      </c>
      <c r="W7" s="665">
        <f t="shared" ref="W7:W14" si="2">J7</f>
        <v>0</v>
      </c>
      <c r="X7" s="666"/>
      <c r="Y7" s="3435" t="s">
        <v>1675</v>
      </c>
      <c r="Z7" s="3436"/>
      <c r="AA7" s="50" t="e">
        <f>D7/F7</f>
        <v>#DIV/0!</v>
      </c>
      <c r="AB7" s="50" t="e">
        <f>D7/H7</f>
        <v>#DIV/0!</v>
      </c>
      <c r="AC7" s="50" t="e">
        <f>D7/J7</f>
        <v>#DIV/0!</v>
      </c>
    </row>
    <row r="8" spans="1:29" s="102" customFormat="1" ht="15.75" thickBot="1">
      <c r="A8" s="352" t="s">
        <v>1676</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435" t="s">
        <v>1678</v>
      </c>
      <c r="Q8" s="3436"/>
      <c r="R8" s="664" t="s">
        <v>14</v>
      </c>
      <c r="S8" s="665">
        <f t="shared" si="0"/>
        <v>100</v>
      </c>
      <c r="T8" s="664" t="s">
        <v>14</v>
      </c>
      <c r="U8" s="665">
        <f t="shared" si="1"/>
        <v>100</v>
      </c>
      <c r="V8" s="664" t="s">
        <v>14</v>
      </c>
      <c r="W8" s="665">
        <f t="shared" si="2"/>
        <v>100</v>
      </c>
      <c r="X8" s="666"/>
      <c r="Y8" s="3435" t="s">
        <v>1678</v>
      </c>
      <c r="Z8" s="3436"/>
      <c r="AA8" s="50">
        <f t="shared" ref="AA8:AA36" si="3">D8/F8</f>
        <v>1</v>
      </c>
      <c r="AB8" s="50">
        <f t="shared" ref="AB8:AB36" si="4">D8/H8</f>
        <v>1</v>
      </c>
      <c r="AC8" s="50">
        <f t="shared" ref="AC8:AC36" si="5">D8/J8</f>
        <v>1</v>
      </c>
    </row>
    <row r="9" spans="1:29" s="102" customFormat="1">
      <c r="A9" s="57" t="s">
        <v>1679</v>
      </c>
      <c r="B9" s="564" t="s">
        <v>1680</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400" t="s">
        <v>1681</v>
      </c>
      <c r="Q9" s="530" t="str">
        <f t="shared" ref="Q9:Q14" si="6">B9</f>
        <v>用途</v>
      </c>
      <c r="R9" s="664" t="s">
        <v>14</v>
      </c>
      <c r="S9" s="665">
        <f t="shared" si="0"/>
        <v>100</v>
      </c>
      <c r="T9" s="664" t="s">
        <v>14</v>
      </c>
      <c r="U9" s="665">
        <f t="shared" si="1"/>
        <v>100</v>
      </c>
      <c r="V9" s="664" t="s">
        <v>14</v>
      </c>
      <c r="W9" s="665">
        <f t="shared" si="2"/>
        <v>100</v>
      </c>
      <c r="X9" s="666"/>
      <c r="Y9" s="3275" t="s">
        <v>1682</v>
      </c>
      <c r="Z9" s="50" t="str">
        <f t="shared" ref="Z9:Z14" si="7">Q9</f>
        <v>用途</v>
      </c>
      <c r="AA9" s="50">
        <f t="shared" si="3"/>
        <v>1</v>
      </c>
      <c r="AB9" s="50">
        <f t="shared" si="4"/>
        <v>1</v>
      </c>
      <c r="AC9" s="50">
        <f t="shared" si="5"/>
        <v>1</v>
      </c>
    </row>
    <row r="10" spans="1:29" s="366" customFormat="1" ht="27">
      <c r="A10" s="565"/>
      <c r="B10" s="566" t="s">
        <v>1683</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00"/>
      <c r="Q11" s="530">
        <f t="shared" si="6"/>
        <v>111</v>
      </c>
      <c r="R11" s="664" t="s">
        <v>14</v>
      </c>
      <c r="S11" s="665">
        <f t="shared" si="0"/>
        <v>100</v>
      </c>
      <c r="T11" s="664" t="s">
        <v>14</v>
      </c>
      <c r="U11" s="665">
        <f t="shared" si="1"/>
        <v>100</v>
      </c>
      <c r="V11" s="664" t="s">
        <v>14</v>
      </c>
      <c r="W11" s="665">
        <f t="shared" si="2"/>
        <v>100</v>
      </c>
      <c r="X11" s="666"/>
      <c r="Y11" s="327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
      <c r="A14" s="345" t="s">
        <v>1685</v>
      </c>
      <c r="B14" s="554" t="s">
        <v>1828</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02" t="s">
        <v>1686</v>
      </c>
      <c r="Q14" s="1261" t="str">
        <f t="shared" si="6"/>
        <v>交通便捷度</v>
      </c>
      <c r="R14" s="667" t="s">
        <v>14</v>
      </c>
      <c r="S14" s="668">
        <f t="shared" si="0"/>
        <v>100</v>
      </c>
      <c r="T14" s="667" t="s">
        <v>14</v>
      </c>
      <c r="U14" s="668">
        <f t="shared" si="1"/>
        <v>100</v>
      </c>
      <c r="V14" s="667" t="s">
        <v>14</v>
      </c>
      <c r="W14" s="668">
        <f t="shared" si="2"/>
        <v>100</v>
      </c>
      <c r="X14" s="1263"/>
      <c r="Y14" s="3402" t="s">
        <v>1686</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9"/>
      <c r="M15" s="2484"/>
      <c r="N15" s="2484"/>
      <c r="O15" s="2484"/>
      <c r="P15" s="3403"/>
      <c r="Q15" s="1261"/>
      <c r="R15" s="667"/>
      <c r="S15" s="668"/>
      <c r="T15" s="667"/>
      <c r="U15" s="668"/>
      <c r="V15" s="667"/>
      <c r="W15" s="668"/>
      <c r="X15" s="1263"/>
      <c r="Y15" s="3403"/>
      <c r="Z15" s="1262"/>
      <c r="AA15" s="1262">
        <v>1</v>
      </c>
      <c r="AB15" s="1262">
        <v>1</v>
      </c>
      <c r="AC15" s="1262">
        <v>1</v>
      </c>
    </row>
    <row r="16" spans="1:29" ht="15">
      <c r="A16" s="348"/>
      <c r="B16" s="556" t="s">
        <v>1807</v>
      </c>
      <c r="C16" s="1752">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03"/>
      <c r="Q16" s="1261" t="str">
        <f>B16</f>
        <v>公共配套设施</v>
      </c>
      <c r="R16" s="667" t="s">
        <v>14</v>
      </c>
      <c r="S16" s="668">
        <f>F16</f>
        <v>100</v>
      </c>
      <c r="T16" s="667" t="s">
        <v>14</v>
      </c>
      <c r="U16" s="668">
        <f>H16</f>
        <v>100</v>
      </c>
      <c r="V16" s="667" t="s">
        <v>14</v>
      </c>
      <c r="W16" s="668">
        <f>J16</f>
        <v>100</v>
      </c>
      <c r="X16" s="1263"/>
      <c r="Y16" s="3403"/>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9"/>
      <c r="M17" s="2484"/>
      <c r="N17" s="2484"/>
      <c r="O17" s="2484"/>
      <c r="P17" s="3403"/>
      <c r="Q17" s="1261"/>
      <c r="R17" s="667"/>
      <c r="S17" s="668"/>
      <c r="T17" s="667"/>
      <c r="U17" s="668"/>
      <c r="V17" s="667"/>
      <c r="W17" s="668"/>
      <c r="X17" s="1263"/>
      <c r="Y17" s="3403"/>
      <c r="Z17" s="1262"/>
      <c r="AA17" s="1262">
        <v>1</v>
      </c>
      <c r="AB17" s="1262">
        <v>1</v>
      </c>
      <c r="AC17" s="1262">
        <v>1</v>
      </c>
    </row>
    <row r="18" spans="1:29" ht="15">
      <c r="A18" s="348"/>
      <c r="B18" s="557" t="s">
        <v>1808</v>
      </c>
      <c r="C18" s="1752">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03"/>
      <c r="Q18" s="1261" t="str">
        <f>B18</f>
        <v>基础设施水平</v>
      </c>
      <c r="R18" s="667" t="s">
        <v>14</v>
      </c>
      <c r="S18" s="668">
        <f>F18</f>
        <v>100</v>
      </c>
      <c r="T18" s="667" t="s">
        <v>14</v>
      </c>
      <c r="U18" s="668">
        <f>H18</f>
        <v>100</v>
      </c>
      <c r="V18" s="667" t="s">
        <v>14</v>
      </c>
      <c r="W18" s="668">
        <f>J18</f>
        <v>100</v>
      </c>
      <c r="X18" s="1263"/>
      <c r="Y18" s="3403"/>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9"/>
      <c r="M19" s="2484"/>
      <c r="N19" s="2484"/>
      <c r="O19" s="2484"/>
      <c r="P19" s="3403"/>
      <c r="Q19" s="1261"/>
      <c r="R19" s="667"/>
      <c r="S19" s="668"/>
      <c r="T19" s="667"/>
      <c r="U19" s="668"/>
      <c r="V19" s="667"/>
      <c r="W19" s="668"/>
      <c r="X19" s="1263"/>
      <c r="Y19" s="3403"/>
      <c r="Z19" s="1262"/>
      <c r="AA19" s="1262">
        <v>1</v>
      </c>
      <c r="AB19" s="1262">
        <v>1</v>
      </c>
      <c r="AC19" s="1262">
        <v>1</v>
      </c>
    </row>
    <row r="20" spans="1:29" ht="15">
      <c r="A20" s="348"/>
      <c r="B20" s="556" t="s">
        <v>1829</v>
      </c>
      <c r="C20" s="1752">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03"/>
      <c r="Q20" s="1261" t="str">
        <f>B20</f>
        <v>自然及人文环境</v>
      </c>
      <c r="R20" s="667" t="s">
        <v>14</v>
      </c>
      <c r="S20" s="668">
        <f>F20</f>
        <v>100</v>
      </c>
      <c r="T20" s="667" t="s">
        <v>14</v>
      </c>
      <c r="U20" s="668">
        <f>H20</f>
        <v>100</v>
      </c>
      <c r="V20" s="667" t="s">
        <v>14</v>
      </c>
      <c r="W20" s="668">
        <f>J20</f>
        <v>100</v>
      </c>
      <c r="X20" s="1263"/>
      <c r="Y20" s="3403"/>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9"/>
      <c r="M21" s="2484"/>
      <c r="N21" s="2484"/>
      <c r="O21" s="2484"/>
      <c r="P21" s="3403"/>
      <c r="Q21" s="1261"/>
      <c r="R21" s="667"/>
      <c r="S21" s="668"/>
      <c r="T21" s="667"/>
      <c r="U21" s="668"/>
      <c r="V21" s="667"/>
      <c r="W21" s="668"/>
      <c r="X21" s="1263"/>
      <c r="Y21" s="3403"/>
      <c r="Z21" s="1262"/>
      <c r="AA21" s="1262">
        <v>1</v>
      </c>
      <c r="AB21" s="1262">
        <v>1</v>
      </c>
      <c r="AC21" s="1262">
        <v>1</v>
      </c>
    </row>
    <row r="22" spans="1:29" ht="15">
      <c r="A22" s="348"/>
      <c r="B22" s="556" t="s">
        <v>1830</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03"/>
      <c r="Q22" s="1261" t="str">
        <f>B22</f>
        <v>楼层</v>
      </c>
      <c r="R22" s="667" t="s">
        <v>14</v>
      </c>
      <c r="S22" s="668">
        <f>F22</f>
        <v>100</v>
      </c>
      <c r="T22" s="667" t="s">
        <v>14</v>
      </c>
      <c r="U22" s="668">
        <f>H22</f>
        <v>100</v>
      </c>
      <c r="V22" s="667" t="s">
        <v>14</v>
      </c>
      <c r="W22" s="668">
        <f>J22</f>
        <v>100</v>
      </c>
      <c r="X22" s="1263"/>
      <c r="Y22" s="3403"/>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03"/>
      <c r="Q23" s="1261">
        <f>B23</f>
        <v>111</v>
      </c>
      <c r="R23" s="667" t="s">
        <v>14</v>
      </c>
      <c r="S23" s="668">
        <f>F23</f>
        <v>100</v>
      </c>
      <c r="T23" s="667" t="s">
        <v>14</v>
      </c>
      <c r="U23" s="668">
        <f>H23</f>
        <v>100</v>
      </c>
      <c r="V23" s="667" t="s">
        <v>14</v>
      </c>
      <c r="W23" s="668">
        <f>J23</f>
        <v>100</v>
      </c>
      <c r="X23" s="1263"/>
      <c r="Y23" s="3403"/>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03"/>
      <c r="Q24" s="1261">
        <f t="shared" ref="Q24:Q36" si="11">B24</f>
        <v>111</v>
      </c>
      <c r="R24" s="667" t="s">
        <v>14</v>
      </c>
      <c r="S24" s="668">
        <f>F24</f>
        <v>100</v>
      </c>
      <c r="T24" s="667" t="s">
        <v>14</v>
      </c>
      <c r="U24" s="668">
        <f>H24</f>
        <v>100</v>
      </c>
      <c r="V24" s="667" t="s">
        <v>14</v>
      </c>
      <c r="W24" s="668">
        <f>J24</f>
        <v>100</v>
      </c>
      <c r="X24" s="1263"/>
      <c r="Y24" s="3403"/>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403"/>
      <c r="Q25" s="530">
        <f t="shared" si="11"/>
        <v>111</v>
      </c>
      <c r="R25" s="664" t="s">
        <v>14</v>
      </c>
      <c r="S25" s="665">
        <f>F25</f>
        <v>100</v>
      </c>
      <c r="T25" s="664" t="s">
        <v>14</v>
      </c>
      <c r="U25" s="665">
        <f>H25</f>
        <v>100</v>
      </c>
      <c r="V25" s="664" t="s">
        <v>14</v>
      </c>
      <c r="W25" s="665">
        <f>J25</f>
        <v>100</v>
      </c>
      <c r="X25" s="666"/>
      <c r="Y25" s="3403"/>
      <c r="Z25" s="50">
        <f>Q25</f>
        <v>111</v>
      </c>
      <c r="AA25" s="1262">
        <f>D25/F25</f>
        <v>1</v>
      </c>
      <c r="AB25" s="1262">
        <f>D25/H25</f>
        <v>1</v>
      </c>
      <c r="AC25" s="1262">
        <f>D25/J25</f>
        <v>1</v>
      </c>
    </row>
    <row r="26" spans="1:29" ht="28.5">
      <c r="A26" s="574" t="s">
        <v>1689</v>
      </c>
      <c r="B26" s="59" t="s">
        <v>1831</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57" t="s">
        <v>1691</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07" t="s">
        <v>1691</v>
      </c>
      <c r="Z26" s="1262" t="str">
        <f t="shared" ref="Z26:Z36" si="15">Q26</f>
        <v>配套类型</v>
      </c>
      <c r="AA26" s="1262" t="e">
        <f t="shared" si="3"/>
        <v>#DIV/0!</v>
      </c>
      <c r="AB26" s="1262" t="e">
        <f t="shared" si="4"/>
        <v>#DIV/0!</v>
      </c>
      <c r="AC26" s="1262" t="e">
        <f t="shared" si="5"/>
        <v>#DIV/0!</v>
      </c>
    </row>
    <row r="27" spans="1:29" s="408" customFormat="1" ht="15">
      <c r="A27" s="575"/>
      <c r="B27" s="119" t="s">
        <v>1832</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2">
        <f t="shared" si="3"/>
        <v>1</v>
      </c>
      <c r="AB27" s="1262">
        <f t="shared" si="4"/>
        <v>1</v>
      </c>
      <c r="AC27" s="1262">
        <f t="shared" si="5"/>
        <v>1</v>
      </c>
    </row>
    <row r="28" spans="1:29" ht="15">
      <c r="A28" s="577"/>
      <c r="B28" s="119" t="s">
        <v>1833</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07"/>
      <c r="Q28" s="1261" t="str">
        <f t="shared" si="11"/>
        <v>公共部分装修</v>
      </c>
      <c r="R28" s="667" t="s">
        <v>14</v>
      </c>
      <c r="S28" s="668">
        <f t="shared" si="12"/>
        <v>100</v>
      </c>
      <c r="T28" s="667" t="s">
        <v>14</v>
      </c>
      <c r="U28" s="668">
        <f t="shared" si="13"/>
        <v>100</v>
      </c>
      <c r="V28" s="667" t="s">
        <v>14</v>
      </c>
      <c r="W28" s="668">
        <f t="shared" si="14"/>
        <v>100</v>
      </c>
      <c r="X28" s="1263"/>
      <c r="Y28" s="3407"/>
      <c r="Z28" s="1262" t="str">
        <f t="shared" si="15"/>
        <v>公共部分装修</v>
      </c>
      <c r="AA28" s="1262">
        <f t="shared" si="3"/>
        <v>1</v>
      </c>
      <c r="AB28" s="1262">
        <f t="shared" si="4"/>
        <v>1</v>
      </c>
      <c r="AC28" s="1262">
        <f t="shared" si="5"/>
        <v>1</v>
      </c>
    </row>
    <row r="29" spans="1:29" ht="15">
      <c r="A29" s="577"/>
      <c r="B29" s="119" t="s">
        <v>1834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07"/>
      <c r="Q29" s="1261" t="str">
        <f t="shared" si="11"/>
        <v>成新率</v>
      </c>
      <c r="R29" s="667" t="s">
        <v>14</v>
      </c>
      <c r="S29" s="668" t="e">
        <f t="shared" si="12"/>
        <v>#N/A</v>
      </c>
      <c r="T29" s="667" t="s">
        <v>14</v>
      </c>
      <c r="U29" s="668" t="e">
        <f t="shared" si="13"/>
        <v>#N/A</v>
      </c>
      <c r="V29" s="667" t="s">
        <v>14</v>
      </c>
      <c r="W29" s="668" t="e">
        <f t="shared" si="14"/>
        <v>#N/A</v>
      </c>
      <c r="X29" s="1263"/>
      <c r="Y29" s="3407"/>
      <c r="Z29" s="1262" t="str">
        <f t="shared" si="15"/>
        <v>成新率</v>
      </c>
      <c r="AA29" s="1262" t="e">
        <f t="shared" si="3"/>
        <v>#N/A</v>
      </c>
      <c r="AB29" s="1262" t="e">
        <f t="shared" si="4"/>
        <v>#N/A</v>
      </c>
      <c r="AC29" s="1262" t="e">
        <f t="shared" si="5"/>
        <v>#N/A</v>
      </c>
    </row>
    <row r="30" spans="1:29" ht="15">
      <c r="A30" s="577"/>
      <c r="B30" s="119" t="s">
        <v>1835</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07"/>
      <c r="Q30" s="1261" t="str">
        <f t="shared" si="11"/>
        <v>物业等级</v>
      </c>
      <c r="R30" s="667" t="s">
        <v>14</v>
      </c>
      <c r="S30" s="668">
        <f t="shared" si="12"/>
        <v>100</v>
      </c>
      <c r="T30" s="667" t="s">
        <v>14</v>
      </c>
      <c r="U30" s="668">
        <f t="shared" si="13"/>
        <v>100</v>
      </c>
      <c r="V30" s="667" t="s">
        <v>14</v>
      </c>
      <c r="W30" s="668">
        <f t="shared" si="14"/>
        <v>100</v>
      </c>
      <c r="X30" s="1263"/>
      <c r="Y30" s="3407"/>
      <c r="Z30" s="1262" t="str">
        <f t="shared" si="15"/>
        <v>物业等级</v>
      </c>
      <c r="AA30" s="1262">
        <f t="shared" si="3"/>
        <v>1</v>
      </c>
      <c r="AB30" s="1262">
        <f t="shared" si="4"/>
        <v>1</v>
      </c>
      <c r="AC30" s="1262">
        <f t="shared" si="5"/>
        <v>1</v>
      </c>
    </row>
    <row r="31" spans="1:29" s="102" customFormat="1" ht="15">
      <c r="A31" s="579"/>
      <c r="B31" s="119" t="s">
        <v>1836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1837</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07" t="s">
        <v>1691</v>
      </c>
      <c r="Q32" s="1261" t="str">
        <f t="shared" si="11"/>
        <v>车位类型</v>
      </c>
      <c r="R32" s="667" t="s">
        <v>14</v>
      </c>
      <c r="S32" s="668">
        <f t="shared" si="12"/>
        <v>100</v>
      </c>
      <c r="T32" s="667" t="s">
        <v>14</v>
      </c>
      <c r="U32" s="668">
        <f t="shared" si="13"/>
        <v>100</v>
      </c>
      <c r="V32" s="667" t="s">
        <v>14</v>
      </c>
      <c r="W32" s="668">
        <f t="shared" si="14"/>
        <v>100</v>
      </c>
      <c r="X32" s="1263"/>
      <c r="Y32" s="3407" t="s">
        <v>1691</v>
      </c>
      <c r="Z32" s="1262" t="str">
        <f t="shared" si="15"/>
        <v>车位类型</v>
      </c>
      <c r="AA32" s="1262">
        <f t="shared" si="3"/>
        <v>1</v>
      </c>
      <c r="AB32" s="1262">
        <f t="shared" si="4"/>
        <v>1</v>
      </c>
      <c r="AC32" s="1262">
        <f t="shared" si="5"/>
        <v>1</v>
      </c>
    </row>
    <row r="33" spans="1:29" ht="15">
      <c r="A33" s="577"/>
      <c r="B33" s="119" t="s">
        <v>1838</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07"/>
      <c r="Q33" s="1261" t="str">
        <f t="shared" si="11"/>
        <v>是否直接入户</v>
      </c>
      <c r="R33" s="667" t="s">
        <v>14</v>
      </c>
      <c r="S33" s="668">
        <f t="shared" si="12"/>
        <v>100</v>
      </c>
      <c r="T33" s="667" t="s">
        <v>14</v>
      </c>
      <c r="U33" s="668">
        <f t="shared" si="13"/>
        <v>100</v>
      </c>
      <c r="V33" s="667" t="s">
        <v>14</v>
      </c>
      <c r="W33" s="668">
        <f t="shared" si="14"/>
        <v>100</v>
      </c>
      <c r="X33" s="1263"/>
      <c r="Y33" s="3407"/>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07"/>
      <c r="Q34" s="1261">
        <f t="shared" si="11"/>
        <v>111</v>
      </c>
      <c r="R34" s="667" t="s">
        <v>14</v>
      </c>
      <c r="S34" s="668">
        <f t="shared" si="12"/>
        <v>100</v>
      </c>
      <c r="T34" s="667" t="s">
        <v>14</v>
      </c>
      <c r="U34" s="668">
        <f t="shared" si="13"/>
        <v>100</v>
      </c>
      <c r="V34" s="667" t="s">
        <v>14</v>
      </c>
      <c r="W34" s="668">
        <f t="shared" si="14"/>
        <v>100</v>
      </c>
      <c r="X34" s="1263"/>
      <c r="Y34" s="3407"/>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07"/>
      <c r="Q36" s="1261">
        <f t="shared" si="11"/>
        <v>111</v>
      </c>
      <c r="R36" s="667" t="s">
        <v>14</v>
      </c>
      <c r="S36" s="668">
        <f t="shared" si="12"/>
        <v>100</v>
      </c>
      <c r="T36" s="667" t="s">
        <v>14</v>
      </c>
      <c r="U36" s="668">
        <f t="shared" si="13"/>
        <v>100</v>
      </c>
      <c r="V36" s="667" t="s">
        <v>14</v>
      </c>
      <c r="W36" s="668">
        <f t="shared" si="14"/>
        <v>100</v>
      </c>
      <c r="X36" s="1263"/>
      <c r="Y36" s="3407"/>
      <c r="Z36" s="1262">
        <f t="shared" si="15"/>
        <v>111</v>
      </c>
      <c r="AA36" s="1262">
        <f t="shared" si="3"/>
        <v>1</v>
      </c>
      <c r="AB36" s="1262">
        <f t="shared" si="4"/>
        <v>1</v>
      </c>
      <c r="AC36" s="1262">
        <f t="shared" si="5"/>
        <v>1</v>
      </c>
    </row>
    <row r="37" spans="1:29" ht="15">
      <c r="A37" s="416" t="s">
        <v>1839</v>
      </c>
      <c r="B37" s="1819" t="s">
        <v>3340</v>
      </c>
      <c r="C37" s="1079" t="s">
        <v>0</v>
      </c>
      <c r="D37" s="418"/>
      <c r="E37" s="419"/>
      <c r="F37" s="420"/>
      <c r="G37" s="421"/>
      <c r="H37" s="422"/>
      <c r="I37" s="419"/>
      <c r="J37" s="422"/>
      <c r="K37" s="545"/>
      <c r="L37" s="2491"/>
      <c r="M37" s="2484"/>
      <c r="N37" s="2484"/>
      <c r="O37" s="2484"/>
      <c r="P37" s="3400" t="str">
        <f>A37</f>
        <v>成交单价</v>
      </c>
      <c r="Q37" s="3400"/>
      <c r="R37" s="3401">
        <f>E37</f>
        <v>0</v>
      </c>
      <c r="S37" s="3401"/>
      <c r="T37" s="3401">
        <f>G37</f>
        <v>0</v>
      </c>
      <c r="U37" s="3401"/>
      <c r="V37" s="3401">
        <f>I37</f>
        <v>0</v>
      </c>
      <c r="W37" s="3401"/>
      <c r="X37" s="385"/>
      <c r="Y37" s="673"/>
      <c r="Z37" s="385"/>
      <c r="AA37" s="385"/>
      <c r="AB37" s="385"/>
      <c r="AC37" s="385"/>
    </row>
    <row r="38" spans="1:29" ht="15.75" thickBot="1">
      <c r="A38" s="423" t="s">
        <v>1840</v>
      </c>
      <c r="B38" s="424" t="str">
        <f>B37</f>
        <v>元/平方米</v>
      </c>
      <c r="C38" s="1080" t="e">
        <f>R39</f>
        <v>#DIV/0!</v>
      </c>
      <c r="D38" s="2139" t="s">
        <v>2133</v>
      </c>
      <c r="E38" s="1081" t="e">
        <f>R38</f>
        <v>#DIV/0!</v>
      </c>
      <c r="F38" s="2140"/>
      <c r="G38" s="1080" t="e">
        <f>T38</f>
        <v>#DIV/0!</v>
      </c>
      <c r="H38" s="2140"/>
      <c r="I38" s="1081" t="e">
        <f>V38</f>
        <v>#DIV/0!</v>
      </c>
      <c r="J38" s="2140"/>
      <c r="K38" s="2142">
        <f>F38+H38+J38</f>
        <v>0</v>
      </c>
      <c r="L38" s="2491"/>
      <c r="M38" s="2484"/>
      <c r="N38" s="2484"/>
      <c r="O38" s="2484"/>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75" thickBot="1">
      <c r="A39" s="427" t="s">
        <v>1841</v>
      </c>
      <c r="B39" s="428"/>
      <c r="C39" s="351" t="e">
        <f>R39</f>
        <v>#DIV/0!</v>
      </c>
      <c r="D39" s="351"/>
      <c r="E39" s="351"/>
      <c r="F39" s="351"/>
      <c r="G39" s="351"/>
      <c r="H39" s="351"/>
      <c r="I39" s="351"/>
      <c r="J39" s="351"/>
      <c r="K39" s="546"/>
      <c r="L39" s="2491"/>
      <c r="M39" s="2484"/>
      <c r="N39" s="2484"/>
      <c r="O39" s="2484"/>
      <c r="P39" s="3397" t="str">
        <f>A39</f>
        <v>估价对象XX用房的比较价值（楼面单价，元/平方米）</v>
      </c>
      <c r="Q39" s="339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5" t="s">
        <v>1845</v>
      </c>
      <c r="B47" s="859"/>
      <c r="C47" s="884"/>
      <c r="D47" s="884"/>
      <c r="E47" s="884"/>
      <c r="F47" s="1086"/>
      <c r="G47" s="1086"/>
      <c r="H47" s="884"/>
      <c r="I47" s="884"/>
      <c r="J47" s="884"/>
      <c r="K47" s="885"/>
      <c r="L47" s="886"/>
      <c r="M47" s="884"/>
      <c r="N47" s="2534"/>
      <c r="O47" s="2534"/>
      <c r="P47" s="2523"/>
      <c r="Q47" s="2505"/>
      <c r="R47" s="2484"/>
      <c r="S47" s="2484"/>
      <c r="T47" s="2484"/>
      <c r="U47" s="2484"/>
      <c r="V47" s="2484"/>
      <c r="W47" s="2484"/>
      <c r="X47" s="2484"/>
      <c r="Y47" s="2484"/>
      <c r="Z47" s="2484"/>
      <c r="AA47" s="2484"/>
      <c r="AB47" s="2484"/>
      <c r="AC47" s="2484"/>
    </row>
    <row r="48" spans="1:29" s="442" customFormat="1" ht="15">
      <c r="A48" s="440" t="s">
        <v>1846</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4"/>
      <c r="Q48" s="2507"/>
      <c r="R48" s="2507"/>
      <c r="S48" s="2507"/>
      <c r="T48" s="2507"/>
      <c r="U48" s="2507"/>
      <c r="V48" s="2507"/>
      <c r="W48" s="2507"/>
      <c r="X48" s="2507"/>
      <c r="Y48" s="2507"/>
      <c r="Z48" s="2507"/>
      <c r="AA48" s="2507"/>
      <c r="AB48" s="2507"/>
      <c r="AC48" s="2507"/>
    </row>
    <row r="49" spans="1:29" s="102" customFormat="1" ht="15">
      <c r="A49" s="443"/>
      <c r="B49" s="444"/>
      <c r="C49" s="1095">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1711</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1676</v>
      </c>
      <c r="B51" s="444"/>
      <c r="C51" s="456" t="s">
        <v>1771</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1714</v>
      </c>
      <c r="B53" s="460" t="s">
        <v>1680</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1683</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1685</v>
      </c>
      <c r="B63" s="460" t="s">
        <v>1721</v>
      </c>
      <c r="C63" s="504" t="s">
        <v>1716</v>
      </c>
      <c r="D63" s="504" t="s">
        <v>1717</v>
      </c>
      <c r="E63" s="504" t="s">
        <v>1718</v>
      </c>
      <c r="F63" s="504" t="s">
        <v>1719</v>
      </c>
      <c r="G63" s="504" t="s">
        <v>1720</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1722</v>
      </c>
      <c r="C65" s="509" t="s">
        <v>1716</v>
      </c>
      <c r="D65" s="509" t="s">
        <v>1717</v>
      </c>
      <c r="E65" s="509" t="s">
        <v>1718</v>
      </c>
      <c r="F65" s="509" t="s">
        <v>1719</v>
      </c>
      <c r="G65" s="509" t="s">
        <v>1720</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1808</v>
      </c>
      <c r="C67" s="581" t="s">
        <v>1794</v>
      </c>
      <c r="D67" s="581" t="s">
        <v>1795</v>
      </c>
      <c r="E67" s="581" t="s">
        <v>1796</v>
      </c>
      <c r="F67" s="581" t="s">
        <v>1797</v>
      </c>
      <c r="G67" s="581" t="s">
        <v>1798</v>
      </c>
      <c r="H67" s="470"/>
      <c r="I67" s="470"/>
      <c r="J67" s="470"/>
      <c r="K67" s="470"/>
      <c r="L67" s="470"/>
      <c r="M67" s="1061"/>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1728</v>
      </c>
      <c r="C69" s="509" t="s">
        <v>1716</v>
      </c>
      <c r="D69" s="509" t="s">
        <v>1717</v>
      </c>
      <c r="E69" s="509" t="s">
        <v>1718</v>
      </c>
      <c r="F69" s="509" t="s">
        <v>1719</v>
      </c>
      <c r="G69" s="509" t="s">
        <v>1720</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1847</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1689</v>
      </c>
      <c r="B79" s="460" t="s">
        <v>1848</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1849</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1735</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1851</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1853</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1854</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6" priority="13" stopIfTrue="1">
      <formula>$F$42="超过30%"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F7:F36 H7:H36 J7:J36">
    <cfRule type="cellIs" dxfId="93" priority="1" operator="notEqual">
      <formula>100</formula>
    </cfRule>
  </conditionalFormatting>
  <conditionalFormatting sqref="F38">
    <cfRule type="expression" dxfId="92" priority="4">
      <formula>$D$38="简单平均"</formula>
    </cfRule>
  </conditionalFormatting>
  <conditionalFormatting sqref="F42:F44 H42:H44 J42:J44">
    <cfRule type="containsText" dxfId="91" priority="14" stopIfTrue="1" operator="containsText" text="超过">
      <formula>NOT(ISERROR(SEARCH("超过",F42)))</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G44">
    <cfRule type="expression" dxfId="88" priority="12" stopIfTrue="1">
      <formula>$H$54+$H$44="超过30%"</formula>
    </cfRule>
  </conditionalFormatting>
  <conditionalFormatting sqref="H38">
    <cfRule type="expression" dxfId="87" priority="3">
      <formula>$D$38="简单平均"</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J38">
    <cfRule type="expression" dxfId="8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1826</v>
      </c>
      <c r="B1" s="1138" t="s">
        <v>3320</v>
      </c>
      <c r="C1" s="1139" t="s">
        <v>1657</v>
      </c>
      <c r="D1" s="1140"/>
      <c r="E1" s="3128"/>
      <c r="F1" s="1733"/>
      <c r="G1" s="1150" t="s">
        <v>1762</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1457</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1458</v>
      </c>
      <c r="F2" s="1737"/>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t="e">
        <f>IF(C2="——",C37,ROUND(B2*10000/D3,0))</f>
        <v>#DIV/0!</v>
      </c>
      <c r="C3" s="344" t="s">
        <v>1763</v>
      </c>
      <c r="D3" s="343">
        <f>SUMIF('数据-汇总表'!$C19:$C33,D1,'数据-汇总表'!$E19:$E33)</f>
        <v>0</v>
      </c>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1764</v>
      </c>
      <c r="B4" s="346"/>
      <c r="C4" s="3415" t="s">
        <v>1765</v>
      </c>
      <c r="D4" s="3416"/>
      <c r="E4" s="3417" t="s">
        <v>1766</v>
      </c>
      <c r="F4" s="3418"/>
      <c r="G4" s="3415" t="s">
        <v>1767</v>
      </c>
      <c r="H4" s="3416"/>
      <c r="I4" s="3415" t="s">
        <v>1768</v>
      </c>
      <c r="J4" s="3416"/>
      <c r="K4" s="537" t="s">
        <v>1769</v>
      </c>
      <c r="L4" s="2483"/>
      <c r="M4" s="2484"/>
      <c r="N4" s="2484"/>
      <c r="O4" s="2484"/>
      <c r="P4" s="3419" t="s">
        <v>1770</v>
      </c>
      <c r="Q4" s="3420"/>
      <c r="R4" s="3425" t="s">
        <v>1766</v>
      </c>
      <c r="S4" s="3426"/>
      <c r="T4" s="3425" t="s">
        <v>1767</v>
      </c>
      <c r="U4" s="3426"/>
      <c r="V4" s="3401" t="s">
        <v>1768</v>
      </c>
      <c r="W4" s="3401"/>
      <c r="X4" s="1263"/>
      <c r="Y4" s="3425" t="s">
        <v>1770</v>
      </c>
      <c r="Z4" s="3426"/>
      <c r="AA4" s="3412" t="s">
        <v>1766</v>
      </c>
      <c r="AB4" s="3413" t="s">
        <v>1767</v>
      </c>
      <c r="AC4" s="3412" t="s">
        <v>1768</v>
      </c>
    </row>
    <row r="5" spans="1:29" ht="15">
      <c r="A5" s="348"/>
      <c r="B5" s="349"/>
      <c r="C5" s="3433" t="s">
        <v>1668</v>
      </c>
      <c r="D5" s="3434"/>
      <c r="E5" s="3440" t="s">
        <v>1669</v>
      </c>
      <c r="F5" s="3441"/>
      <c r="G5" s="3433" t="s">
        <v>1670</v>
      </c>
      <c r="H5" s="3434"/>
      <c r="I5" s="3433" t="s">
        <v>1671</v>
      </c>
      <c r="J5" s="3434"/>
      <c r="K5" s="537"/>
      <c r="L5" s="2483"/>
      <c r="M5" s="2484"/>
      <c r="N5" s="2484"/>
      <c r="O5" s="2484"/>
      <c r="P5" s="3421"/>
      <c r="Q5" s="3422"/>
      <c r="R5" s="3427"/>
      <c r="S5" s="3428"/>
      <c r="T5" s="3427"/>
      <c r="U5" s="3428"/>
      <c r="V5" s="3401"/>
      <c r="W5" s="3401"/>
      <c r="X5" s="1263"/>
      <c r="Y5" s="3427"/>
      <c r="Z5" s="3428"/>
      <c r="AA5" s="3413"/>
      <c r="AB5" s="3413"/>
      <c r="AC5" s="3413"/>
    </row>
    <row r="6" spans="1:29" ht="15.75" thickBot="1">
      <c r="A6" s="350"/>
      <c r="B6" s="351"/>
      <c r="C6" s="3431" t="s">
        <v>1672</v>
      </c>
      <c r="D6" s="3432"/>
      <c r="E6" s="3438" t="s">
        <v>1672</v>
      </c>
      <c r="F6" s="3439"/>
      <c r="G6" s="3431" t="s">
        <v>1672</v>
      </c>
      <c r="H6" s="3432"/>
      <c r="I6" s="3431" t="s">
        <v>1672</v>
      </c>
      <c r="J6" s="3432"/>
      <c r="K6" s="537" t="s">
        <v>1673</v>
      </c>
      <c r="L6" s="2483"/>
      <c r="M6" s="2484"/>
      <c r="N6" s="2484"/>
      <c r="O6" s="2484"/>
      <c r="P6" s="3423"/>
      <c r="Q6" s="3424"/>
      <c r="R6" s="3427"/>
      <c r="S6" s="3428"/>
      <c r="T6" s="3429"/>
      <c r="U6" s="3430"/>
      <c r="V6" s="3401"/>
      <c r="W6" s="3401"/>
      <c r="X6" s="1263"/>
      <c r="Y6" s="3429"/>
      <c r="Z6" s="3430"/>
      <c r="AA6" s="3414"/>
      <c r="AB6" s="3414"/>
      <c r="AC6" s="3414"/>
    </row>
    <row r="7" spans="1:29" s="102" customFormat="1" ht="15.75" thickBot="1">
      <c r="A7" s="352" t="s">
        <v>1674</v>
      </c>
      <c r="B7" s="353"/>
      <c r="C7" s="354">
        <f>'数据-取费表'!B2</f>
        <v>45804</v>
      </c>
      <c r="D7" s="355">
        <v>100</v>
      </c>
      <c r="E7" s="356"/>
      <c r="F7" s="357">
        <f>SUMIF(46:46,YEAR(E7)&amp;"-"&amp;MONTH(E7),47:47)</f>
        <v>0</v>
      </c>
      <c r="G7" s="1820"/>
      <c r="H7" s="355">
        <f>SUMIF(46:46,YEAR(G7)&amp;"-"&amp;MONTH(G7),47:47)</f>
        <v>0</v>
      </c>
      <c r="I7" s="356"/>
      <c r="J7" s="355">
        <f>SUMIF(46:46,YEAR(I7)&amp;"-"&amp;MONTH(I7),47:47)</f>
        <v>0</v>
      </c>
      <c r="K7" s="38"/>
      <c r="L7" s="2485"/>
      <c r="M7" s="2436"/>
      <c r="N7" s="2436"/>
      <c r="O7" s="2436"/>
      <c r="P7" s="3435" t="s">
        <v>1675</v>
      </c>
      <c r="Q7" s="3437"/>
      <c r="R7" s="664" t="s">
        <v>14</v>
      </c>
      <c r="S7" s="665">
        <f t="shared" ref="S7:S14" si="0">F7</f>
        <v>0</v>
      </c>
      <c r="T7" s="664" t="s">
        <v>14</v>
      </c>
      <c r="U7" s="665">
        <f t="shared" ref="U7:U14" si="1">H7</f>
        <v>0</v>
      </c>
      <c r="V7" s="664" t="s">
        <v>14</v>
      </c>
      <c r="W7" s="665">
        <f t="shared" ref="W7:W14" si="2">J7</f>
        <v>0</v>
      </c>
      <c r="X7" s="666"/>
      <c r="Y7" s="3435" t="s">
        <v>1675</v>
      </c>
      <c r="Z7" s="3436"/>
      <c r="AA7" s="50" t="e">
        <f>D7/F7</f>
        <v>#DIV/0!</v>
      </c>
      <c r="AB7" s="50" t="e">
        <f>D7/H7</f>
        <v>#DIV/0!</v>
      </c>
      <c r="AC7" s="50" t="e">
        <f>D7/J7</f>
        <v>#DIV/0!</v>
      </c>
    </row>
    <row r="8" spans="1:29" s="102" customFormat="1" ht="15.75" thickBot="1">
      <c r="A8" s="352" t="s">
        <v>1676</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435" t="s">
        <v>1678</v>
      </c>
      <c r="Q8" s="3436"/>
      <c r="R8" s="664" t="s">
        <v>14</v>
      </c>
      <c r="S8" s="665">
        <f t="shared" si="0"/>
        <v>100</v>
      </c>
      <c r="T8" s="664" t="s">
        <v>14</v>
      </c>
      <c r="U8" s="665">
        <f t="shared" si="1"/>
        <v>100</v>
      </c>
      <c r="V8" s="664" t="s">
        <v>14</v>
      </c>
      <c r="W8" s="665">
        <f t="shared" si="2"/>
        <v>100</v>
      </c>
      <c r="X8" s="666"/>
      <c r="Y8" s="3435" t="s">
        <v>1678</v>
      </c>
      <c r="Z8" s="3436"/>
      <c r="AA8" s="50">
        <f t="shared" ref="AA8:AA34" si="3">D8/F8</f>
        <v>1</v>
      </c>
      <c r="AB8" s="50">
        <f t="shared" ref="AB8:AB34" si="4">D8/H8</f>
        <v>1</v>
      </c>
      <c r="AC8" s="50">
        <f t="shared" ref="AC8:AC34" si="5">D8/J8</f>
        <v>1</v>
      </c>
    </row>
    <row r="9" spans="1:29" s="102" customFormat="1">
      <c r="A9" s="359" t="s">
        <v>1679</v>
      </c>
      <c r="B9" s="60" t="s">
        <v>1680</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400" t="s">
        <v>1681</v>
      </c>
      <c r="Q9" s="530" t="str">
        <f t="shared" ref="Q9:Q14" si="6">B9</f>
        <v>用途</v>
      </c>
      <c r="R9" s="664" t="s">
        <v>14</v>
      </c>
      <c r="S9" s="665">
        <f t="shared" si="0"/>
        <v>100</v>
      </c>
      <c r="T9" s="664" t="s">
        <v>14</v>
      </c>
      <c r="U9" s="665">
        <f t="shared" si="1"/>
        <v>100</v>
      </c>
      <c r="V9" s="664" t="s">
        <v>14</v>
      </c>
      <c r="W9" s="665">
        <f t="shared" si="2"/>
        <v>100</v>
      </c>
      <c r="X9" s="666"/>
      <c r="Y9" s="3275" t="s">
        <v>1682</v>
      </c>
      <c r="Z9" s="50" t="str">
        <f t="shared" ref="Z9:Z14" si="7">Q9</f>
        <v>用途</v>
      </c>
      <c r="AA9" s="50">
        <f t="shared" si="3"/>
        <v>1</v>
      </c>
      <c r="AB9" s="50">
        <f t="shared" si="4"/>
        <v>1</v>
      </c>
      <c r="AC9" s="50">
        <f t="shared" si="5"/>
        <v>1</v>
      </c>
    </row>
    <row r="10" spans="1:29" s="366" customFormat="1" ht="27">
      <c r="A10" s="363"/>
      <c r="B10" s="364" t="s">
        <v>1683</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00"/>
      <c r="Q11" s="530">
        <f t="shared" si="6"/>
        <v>111</v>
      </c>
      <c r="R11" s="664" t="s">
        <v>14</v>
      </c>
      <c r="S11" s="665">
        <f t="shared" si="0"/>
        <v>100</v>
      </c>
      <c r="T11" s="664" t="s">
        <v>14</v>
      </c>
      <c r="U11" s="665">
        <f t="shared" si="1"/>
        <v>100</v>
      </c>
      <c r="V11" s="664" t="s">
        <v>14</v>
      </c>
      <c r="W11" s="665">
        <f t="shared" si="2"/>
        <v>100</v>
      </c>
      <c r="X11" s="666"/>
      <c r="Y11" s="327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9"/>
      <c r="M13" s="2484"/>
      <c r="N13" s="2484"/>
      <c r="O13" s="2539"/>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
      <c r="A14" s="379" t="s">
        <v>1685</v>
      </c>
      <c r="B14" s="58" t="s">
        <v>1828</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02" t="s">
        <v>1686</v>
      </c>
      <c r="Q14" s="1261" t="str">
        <f t="shared" si="6"/>
        <v>交通便捷度</v>
      </c>
      <c r="R14" s="667" t="s">
        <v>14</v>
      </c>
      <c r="S14" s="668">
        <f t="shared" si="0"/>
        <v>100</v>
      </c>
      <c r="T14" s="667" t="s">
        <v>14</v>
      </c>
      <c r="U14" s="668">
        <f t="shared" si="1"/>
        <v>100</v>
      </c>
      <c r="V14" s="667" t="s">
        <v>14</v>
      </c>
      <c r="W14" s="668">
        <f t="shared" si="2"/>
        <v>100</v>
      </c>
      <c r="X14" s="1263"/>
      <c r="Y14" s="3402" t="s">
        <v>1686</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9"/>
      <c r="M15" s="2484"/>
      <c r="N15" s="2484"/>
      <c r="O15" s="2539"/>
      <c r="P15" s="3403"/>
      <c r="Q15" s="1261"/>
      <c r="R15" s="667"/>
      <c r="S15" s="668"/>
      <c r="T15" s="667"/>
      <c r="U15" s="668"/>
      <c r="V15" s="667"/>
      <c r="W15" s="668"/>
      <c r="X15" s="1263"/>
      <c r="Y15" s="3403"/>
      <c r="Z15" s="1262"/>
      <c r="AA15" s="1262">
        <v>1</v>
      </c>
      <c r="AB15" s="1262">
        <v>1</v>
      </c>
      <c r="AC15" s="1262">
        <v>1</v>
      </c>
    </row>
    <row r="16" spans="1:29" ht="15">
      <c r="A16" s="367"/>
      <c r="B16" s="390" t="s">
        <v>1807</v>
      </c>
      <c r="C16" s="1752">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03"/>
      <c r="Q16" s="1261" t="str">
        <f>B16</f>
        <v>公共配套设施</v>
      </c>
      <c r="R16" s="667" t="s">
        <v>14</v>
      </c>
      <c r="S16" s="668">
        <f>F16</f>
        <v>100</v>
      </c>
      <c r="T16" s="667" t="s">
        <v>14</v>
      </c>
      <c r="U16" s="668">
        <f>H16</f>
        <v>100</v>
      </c>
      <c r="V16" s="667" t="s">
        <v>14</v>
      </c>
      <c r="W16" s="668">
        <f>J16</f>
        <v>100</v>
      </c>
      <c r="X16" s="1263"/>
      <c r="Y16" s="3403"/>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9"/>
      <c r="M17" s="2484"/>
      <c r="N17" s="2484"/>
      <c r="O17" s="2539"/>
      <c r="P17" s="3403"/>
      <c r="Q17" s="1261"/>
      <c r="R17" s="667"/>
      <c r="S17" s="668"/>
      <c r="T17" s="667"/>
      <c r="U17" s="668"/>
      <c r="V17" s="667"/>
      <c r="W17" s="668"/>
      <c r="X17" s="1263"/>
      <c r="Y17" s="3403"/>
      <c r="Z17" s="1262"/>
      <c r="AA17" s="1262">
        <v>1</v>
      </c>
      <c r="AB17" s="1262">
        <v>1</v>
      </c>
      <c r="AC17" s="1262">
        <v>1</v>
      </c>
    </row>
    <row r="18" spans="1:29" ht="15">
      <c r="A18" s="367"/>
      <c r="B18" s="586" t="s">
        <v>1808</v>
      </c>
      <c r="C18" s="1752">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03"/>
      <c r="Q18" s="1261" t="str">
        <f>B18</f>
        <v>基础设施水平</v>
      </c>
      <c r="R18" s="667" t="s">
        <v>14</v>
      </c>
      <c r="S18" s="668">
        <f>F18</f>
        <v>100</v>
      </c>
      <c r="T18" s="667" t="s">
        <v>14</v>
      </c>
      <c r="U18" s="668">
        <f>H18</f>
        <v>100</v>
      </c>
      <c r="V18" s="667" t="s">
        <v>14</v>
      </c>
      <c r="W18" s="668">
        <f>J18</f>
        <v>100</v>
      </c>
      <c r="X18" s="1263"/>
      <c r="Y18" s="3403"/>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9"/>
      <c r="M19" s="2484"/>
      <c r="N19" s="2484"/>
      <c r="O19" s="2539"/>
      <c r="P19" s="3403"/>
      <c r="Q19" s="1261"/>
      <c r="R19" s="667"/>
      <c r="S19" s="668"/>
      <c r="T19" s="667"/>
      <c r="U19" s="668"/>
      <c r="V19" s="667"/>
      <c r="W19" s="668"/>
      <c r="X19" s="1263"/>
      <c r="Y19" s="3403"/>
      <c r="Z19" s="1262"/>
      <c r="AA19" s="1262">
        <v>1</v>
      </c>
      <c r="AB19" s="1262">
        <v>1</v>
      </c>
      <c r="AC19" s="1262">
        <v>1</v>
      </c>
    </row>
    <row r="20" spans="1:29" ht="15">
      <c r="A20" s="367"/>
      <c r="B20" s="390" t="s">
        <v>1829</v>
      </c>
      <c r="C20" s="1752">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03"/>
      <c r="Q20" s="1261" t="str">
        <f>B20</f>
        <v>自然及人文环境</v>
      </c>
      <c r="R20" s="667" t="s">
        <v>14</v>
      </c>
      <c r="S20" s="668">
        <f>F20</f>
        <v>100</v>
      </c>
      <c r="T20" s="667" t="s">
        <v>14</v>
      </c>
      <c r="U20" s="668">
        <f>H20</f>
        <v>100</v>
      </c>
      <c r="V20" s="667" t="s">
        <v>14</v>
      </c>
      <c r="W20" s="668">
        <f>J20</f>
        <v>100</v>
      </c>
      <c r="X20" s="1263"/>
      <c r="Y20" s="3403"/>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9"/>
      <c r="M21" s="2484"/>
      <c r="N21" s="2484"/>
      <c r="O21" s="2539"/>
      <c r="P21" s="3403"/>
      <c r="Q21" s="1261"/>
      <c r="R21" s="667"/>
      <c r="S21" s="668"/>
      <c r="T21" s="667"/>
      <c r="U21" s="668"/>
      <c r="V21" s="667"/>
      <c r="W21" s="668"/>
      <c r="X21" s="1263"/>
      <c r="Y21" s="3403"/>
      <c r="Z21" s="1262"/>
      <c r="AA21" s="1262">
        <v>1</v>
      </c>
      <c r="AB21" s="1262">
        <v>1</v>
      </c>
      <c r="AC21" s="1262">
        <v>1</v>
      </c>
    </row>
    <row r="22" spans="1:29" ht="15">
      <c r="A22" s="367"/>
      <c r="B22" s="390" t="s">
        <v>1830</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03"/>
      <c r="Q22" s="1261" t="str">
        <f>B22</f>
        <v>楼层</v>
      </c>
      <c r="R22" s="667" t="s">
        <v>14</v>
      </c>
      <c r="S22" s="668">
        <f>F22</f>
        <v>100</v>
      </c>
      <c r="T22" s="667" t="s">
        <v>14</v>
      </c>
      <c r="U22" s="668">
        <f>H22</f>
        <v>100</v>
      </c>
      <c r="V22" s="667" t="s">
        <v>14</v>
      </c>
      <c r="W22" s="668">
        <f>J22</f>
        <v>100</v>
      </c>
      <c r="X22" s="1263"/>
      <c r="Y22" s="3403"/>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03"/>
      <c r="Q23" s="1261">
        <f>B23</f>
        <v>111</v>
      </c>
      <c r="R23" s="667" t="s">
        <v>14</v>
      </c>
      <c r="S23" s="668">
        <f>F23</f>
        <v>100</v>
      </c>
      <c r="T23" s="667" t="s">
        <v>14</v>
      </c>
      <c r="U23" s="668">
        <f>H23</f>
        <v>100</v>
      </c>
      <c r="V23" s="667" t="s">
        <v>14</v>
      </c>
      <c r="W23" s="668">
        <f>J23</f>
        <v>100</v>
      </c>
      <c r="X23" s="1263"/>
      <c r="Y23" s="3403"/>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03"/>
      <c r="Q24" s="1261">
        <f t="shared" ref="Q24:Q34" si="11">B24</f>
        <v>111</v>
      </c>
      <c r="R24" s="667" t="s">
        <v>14</v>
      </c>
      <c r="S24" s="668">
        <f>F24</f>
        <v>100</v>
      </c>
      <c r="T24" s="667" t="s">
        <v>14</v>
      </c>
      <c r="U24" s="668">
        <f>H24</f>
        <v>100</v>
      </c>
      <c r="V24" s="667" t="s">
        <v>14</v>
      </c>
      <c r="W24" s="668">
        <f>J24</f>
        <v>100</v>
      </c>
      <c r="X24" s="1263"/>
      <c r="Y24" s="3403"/>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5"/>
      <c r="M25" s="2436"/>
      <c r="N25" s="2436"/>
      <c r="O25" s="2537"/>
      <c r="P25" s="3403"/>
      <c r="Q25" s="530">
        <f t="shared" si="11"/>
        <v>111</v>
      </c>
      <c r="R25" s="664" t="s">
        <v>14</v>
      </c>
      <c r="S25" s="665">
        <f>F25</f>
        <v>100</v>
      </c>
      <c r="T25" s="664" t="s">
        <v>14</v>
      </c>
      <c r="U25" s="665">
        <f>H25</f>
        <v>100</v>
      </c>
      <c r="V25" s="664" t="s">
        <v>14</v>
      </c>
      <c r="W25" s="665">
        <f>J25</f>
        <v>100</v>
      </c>
      <c r="X25" s="666"/>
      <c r="Y25" s="3403"/>
      <c r="Z25" s="50">
        <f>Q25</f>
        <v>111</v>
      </c>
      <c r="AA25" s="1262">
        <f>D25/F25</f>
        <v>1</v>
      </c>
      <c r="AB25" s="1262">
        <f>D25/H25</f>
        <v>1</v>
      </c>
      <c r="AC25" s="1262">
        <f>D25/J25</f>
        <v>1</v>
      </c>
    </row>
    <row r="26" spans="1:29" ht="28.5">
      <c r="A26" s="404" t="s">
        <v>1689</v>
      </c>
      <c r="B26" s="60" t="s">
        <v>1833</v>
      </c>
      <c r="C26" s="1762"/>
      <c r="D26" s="405">
        <v>100</v>
      </c>
      <c r="E26" s="1762"/>
      <c r="F26" s="587">
        <f>SUMIF(77:77,E26,78:78)-SUMIF(77:77,C26,78:78)+100</f>
        <v>100</v>
      </c>
      <c r="G26" s="1762"/>
      <c r="H26" s="405">
        <f>SUMIF(77:77,G26,78:78)-SUMIF(77:77,C26,78:78)+100</f>
        <v>100</v>
      </c>
      <c r="I26" s="1762"/>
      <c r="J26" s="405">
        <f>SUMIF(77:77,I26,78:78)-SUMIF(77:77,C26,78:78)+100</f>
        <v>100</v>
      </c>
      <c r="K26" s="538"/>
      <c r="L26" s="2489"/>
      <c r="M26" s="2484"/>
      <c r="N26" s="2484"/>
      <c r="O26" s="2539"/>
      <c r="P26" s="3457" t="s">
        <v>1691</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07" t="s">
        <v>1691</v>
      </c>
      <c r="Z26" s="1262" t="str">
        <f t="shared" ref="Z26:Z34" si="15">Q26</f>
        <v>公共部分装修</v>
      </c>
      <c r="AA26" s="1262">
        <f t="shared" si="3"/>
        <v>1</v>
      </c>
      <c r="AB26" s="1262">
        <f t="shared" si="4"/>
        <v>1</v>
      </c>
      <c r="AC26" s="1262">
        <f t="shared" si="5"/>
        <v>1</v>
      </c>
    </row>
    <row r="27" spans="1:29" s="408" customFormat="1" ht="15">
      <c r="A27" s="406"/>
      <c r="B27" s="364" t="s">
        <v>1834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2" t="e">
        <f t="shared" si="3"/>
        <v>#N/A</v>
      </c>
      <c r="AB27" s="1262" t="e">
        <f t="shared" si="4"/>
        <v>#N/A</v>
      </c>
      <c r="AC27" s="1262" t="e">
        <f t="shared" si="5"/>
        <v>#N/A</v>
      </c>
    </row>
    <row r="28" spans="1:29" ht="15">
      <c r="A28" s="409"/>
      <c r="B28" s="364" t="s">
        <v>1835</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07"/>
      <c r="Q28" s="1261" t="str">
        <f t="shared" si="11"/>
        <v>物业等级</v>
      </c>
      <c r="R28" s="667" t="s">
        <v>14</v>
      </c>
      <c r="S28" s="668">
        <f t="shared" si="12"/>
        <v>100</v>
      </c>
      <c r="T28" s="667" t="s">
        <v>14</v>
      </c>
      <c r="U28" s="668">
        <f t="shared" si="13"/>
        <v>100</v>
      </c>
      <c r="V28" s="667" t="s">
        <v>14</v>
      </c>
      <c r="W28" s="668">
        <f t="shared" si="14"/>
        <v>100</v>
      </c>
      <c r="X28" s="1263"/>
      <c r="Y28" s="3407"/>
      <c r="Z28" s="1262" t="str">
        <f t="shared" si="15"/>
        <v>物业等级</v>
      </c>
      <c r="AA28" s="1262">
        <f t="shared" si="3"/>
        <v>1</v>
      </c>
      <c r="AB28" s="1262">
        <f t="shared" si="4"/>
        <v>1</v>
      </c>
      <c r="AC28" s="1262">
        <f t="shared" si="5"/>
        <v>1</v>
      </c>
    </row>
    <row r="29" spans="1:29" ht="15">
      <c r="A29" s="409"/>
      <c r="B29" s="364" t="s">
        <v>1855</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07"/>
      <c r="Q29" s="1261" t="str">
        <f t="shared" si="11"/>
        <v>有无电梯</v>
      </c>
      <c r="R29" s="667" t="s">
        <v>14</v>
      </c>
      <c r="S29" s="668">
        <f t="shared" si="12"/>
        <v>100</v>
      </c>
      <c r="T29" s="667" t="s">
        <v>14</v>
      </c>
      <c r="U29" s="668">
        <f t="shared" si="13"/>
        <v>100</v>
      </c>
      <c r="V29" s="667" t="s">
        <v>14</v>
      </c>
      <c r="W29" s="668">
        <f t="shared" si="14"/>
        <v>100</v>
      </c>
      <c r="X29" s="1263"/>
      <c r="Y29" s="3407"/>
      <c r="Z29" s="1262" t="str">
        <f t="shared" si="15"/>
        <v>有无电梯</v>
      </c>
      <c r="AA29" s="1262">
        <f t="shared" si="3"/>
        <v>1</v>
      </c>
      <c r="AB29" s="1262">
        <f t="shared" si="4"/>
        <v>1</v>
      </c>
      <c r="AC29" s="1262">
        <f t="shared" si="5"/>
        <v>1</v>
      </c>
    </row>
    <row r="30" spans="1:29" ht="15">
      <c r="A30" s="409"/>
      <c r="B30" s="364" t="s">
        <v>1856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07"/>
      <c r="Q30" s="1261" t="str">
        <f t="shared" si="11"/>
        <v>建筑面积</v>
      </c>
      <c r="R30" s="667" t="s">
        <v>14</v>
      </c>
      <c r="S30" s="668" t="e">
        <f t="shared" si="12"/>
        <v>#N/A</v>
      </c>
      <c r="T30" s="667" t="s">
        <v>14</v>
      </c>
      <c r="U30" s="668" t="e">
        <f t="shared" si="13"/>
        <v>#N/A</v>
      </c>
      <c r="V30" s="667" t="s">
        <v>14</v>
      </c>
      <c r="W30" s="668" t="e">
        <f t="shared" si="14"/>
        <v>#N/A</v>
      </c>
      <c r="X30" s="1263"/>
      <c r="Y30" s="3407"/>
      <c r="Z30" s="1262" t="str">
        <f t="shared" si="15"/>
        <v>建筑面积</v>
      </c>
      <c r="AA30" s="1262" t="e">
        <f t="shared" si="3"/>
        <v>#N/A</v>
      </c>
      <c r="AB30" s="1262" t="e">
        <f t="shared" si="4"/>
        <v>#N/A</v>
      </c>
      <c r="AC30" s="1262" t="e">
        <f t="shared" si="5"/>
        <v>#N/A</v>
      </c>
    </row>
    <row r="31" spans="1:29" s="102" customFormat="1" ht="15">
      <c r="A31" s="410"/>
      <c r="B31" s="364" t="s">
        <v>1857</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07" t="s">
        <v>1691</v>
      </c>
      <c r="Q32" s="1261">
        <f t="shared" si="11"/>
        <v>111</v>
      </c>
      <c r="R32" s="667" t="s">
        <v>14</v>
      </c>
      <c r="S32" s="668">
        <f t="shared" si="12"/>
        <v>100</v>
      </c>
      <c r="T32" s="667" t="s">
        <v>14</v>
      </c>
      <c r="U32" s="668">
        <f t="shared" si="13"/>
        <v>100</v>
      </c>
      <c r="V32" s="667" t="s">
        <v>14</v>
      </c>
      <c r="W32" s="668">
        <f t="shared" si="14"/>
        <v>100</v>
      </c>
      <c r="X32" s="1263"/>
      <c r="Y32" s="3407" t="s">
        <v>1691</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07"/>
      <c r="Q33" s="1261">
        <f t="shared" si="11"/>
        <v>111</v>
      </c>
      <c r="R33" s="667" t="s">
        <v>14</v>
      </c>
      <c r="S33" s="668">
        <f t="shared" si="12"/>
        <v>100</v>
      </c>
      <c r="T33" s="667" t="s">
        <v>14</v>
      </c>
      <c r="U33" s="668">
        <f t="shared" si="13"/>
        <v>100</v>
      </c>
      <c r="V33" s="667" t="s">
        <v>14</v>
      </c>
      <c r="W33" s="668">
        <f t="shared" si="14"/>
        <v>100</v>
      </c>
      <c r="X33" s="1263"/>
      <c r="Y33" s="3407"/>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9"/>
      <c r="M34" s="2484"/>
      <c r="N34" s="2484"/>
      <c r="O34" s="2539"/>
      <c r="P34" s="3407"/>
      <c r="Q34" s="1261">
        <f t="shared" si="11"/>
        <v>111</v>
      </c>
      <c r="R34" s="667" t="s">
        <v>14</v>
      </c>
      <c r="S34" s="668">
        <f t="shared" si="12"/>
        <v>100</v>
      </c>
      <c r="T34" s="667" t="s">
        <v>14</v>
      </c>
      <c r="U34" s="668">
        <f t="shared" si="13"/>
        <v>100</v>
      </c>
      <c r="V34" s="667" t="s">
        <v>14</v>
      </c>
      <c r="W34" s="668">
        <f t="shared" si="14"/>
        <v>100</v>
      </c>
      <c r="X34" s="1263"/>
      <c r="Y34" s="3407"/>
      <c r="Z34" s="1262">
        <f t="shared" si="15"/>
        <v>111</v>
      </c>
      <c r="AA34" s="1262">
        <f t="shared" si="3"/>
        <v>1</v>
      </c>
      <c r="AB34" s="1262">
        <f t="shared" si="4"/>
        <v>1</v>
      </c>
      <c r="AC34" s="1262">
        <f t="shared" si="5"/>
        <v>1</v>
      </c>
    </row>
    <row r="35" spans="1:30" ht="15">
      <c r="A35" s="416" t="s">
        <v>1703</v>
      </c>
      <c r="B35" s="417"/>
      <c r="C35" s="1079" t="s">
        <v>0</v>
      </c>
      <c r="D35" s="418"/>
      <c r="E35" s="419"/>
      <c r="F35" s="420"/>
      <c r="G35" s="421"/>
      <c r="H35" s="422"/>
      <c r="I35" s="419"/>
      <c r="J35" s="422"/>
      <c r="K35" s="674"/>
      <c r="L35" s="2491"/>
      <c r="M35" s="2484"/>
      <c r="N35" s="2484"/>
      <c r="O35" s="2484"/>
      <c r="P35" s="3400" t="str">
        <f>A35</f>
        <v>成交单价（元/平方米）</v>
      </c>
      <c r="Q35" s="3400"/>
      <c r="R35" s="3401">
        <f>E35</f>
        <v>0</v>
      </c>
      <c r="S35" s="3401"/>
      <c r="T35" s="3401">
        <f>G35</f>
        <v>0</v>
      </c>
      <c r="U35" s="3401"/>
      <c r="V35" s="3401">
        <f>I35</f>
        <v>0</v>
      </c>
      <c r="W35" s="3401"/>
      <c r="X35" s="385"/>
      <c r="Y35" s="673"/>
      <c r="Z35" s="385"/>
      <c r="AA35" s="385"/>
      <c r="AB35" s="385"/>
      <c r="AC35" s="385"/>
    </row>
    <row r="36" spans="1:30" ht="15.75" thickBot="1">
      <c r="A36" s="423" t="s">
        <v>1788</v>
      </c>
      <c r="B36" s="424"/>
      <c r="C36" s="1080" t="e">
        <f>R37</f>
        <v>#DIV/0!</v>
      </c>
      <c r="D36" s="2139" t="s">
        <v>2133</v>
      </c>
      <c r="E36" s="1081" t="e">
        <f>R36</f>
        <v>#DIV/0!</v>
      </c>
      <c r="F36" s="2140"/>
      <c r="G36" s="1080" t="e">
        <f>T36</f>
        <v>#DIV/0!</v>
      </c>
      <c r="H36" s="2140"/>
      <c r="I36" s="1081" t="e">
        <f>V36</f>
        <v>#DIV/0!</v>
      </c>
      <c r="J36" s="2140"/>
      <c r="K36" s="2142">
        <f>F36+H36+J36</f>
        <v>0</v>
      </c>
      <c r="L36" s="2491"/>
      <c r="M36" s="2484"/>
      <c r="N36" s="2484"/>
      <c r="O36" s="2484"/>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75" thickBot="1">
      <c r="A37" s="427" t="s">
        <v>1789</v>
      </c>
      <c r="B37" s="428"/>
      <c r="C37" s="351" t="e">
        <f>R37</f>
        <v>#DIV/0!</v>
      </c>
      <c r="D37" s="351"/>
      <c r="E37" s="351"/>
      <c r="F37" s="351"/>
      <c r="G37" s="351"/>
      <c r="H37" s="351"/>
      <c r="I37" s="351"/>
      <c r="J37" s="351"/>
      <c r="K37" s="675"/>
      <c r="L37" s="2491"/>
      <c r="M37" s="2484"/>
      <c r="N37" s="2484"/>
      <c r="O37" s="2484"/>
      <c r="P37" s="3397" t="str">
        <f>A37</f>
        <v>估价对象XX用房的比较价值（楼面单价，元/平方米）</v>
      </c>
      <c r="Q37" s="339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1793</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1674</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0">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1711</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1676</v>
      </c>
      <c r="B49" s="444"/>
      <c r="C49" s="456" t="s">
        <v>1771</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1714</v>
      </c>
      <c r="B51" s="460" t="s">
        <v>1680</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1683</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1685</v>
      </c>
      <c r="B61" s="460" t="s">
        <v>1721</v>
      </c>
      <c r="C61" s="504" t="s">
        <v>1716</v>
      </c>
      <c r="D61" s="504" t="s">
        <v>1717</v>
      </c>
      <c r="E61" s="504" t="s">
        <v>1718</v>
      </c>
      <c r="F61" s="504" t="s">
        <v>1719</v>
      </c>
      <c r="G61" s="504" t="s">
        <v>1720</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1858</v>
      </c>
      <c r="C63" s="509" t="s">
        <v>1716</v>
      </c>
      <c r="D63" s="509" t="s">
        <v>1717</v>
      </c>
      <c r="E63" s="509" t="s">
        <v>1718</v>
      </c>
      <c r="F63" s="509" t="s">
        <v>1719</v>
      </c>
      <c r="G63" s="509" t="s">
        <v>1720</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1808</v>
      </c>
      <c r="C65" s="581" t="s">
        <v>1794</v>
      </c>
      <c r="D65" s="581" t="s">
        <v>1795</v>
      </c>
      <c r="E65" s="581" t="s">
        <v>1796</v>
      </c>
      <c r="F65" s="581" t="s">
        <v>1797</v>
      </c>
      <c r="G65" s="581" t="s">
        <v>1798</v>
      </c>
      <c r="H65" s="470"/>
      <c r="I65" s="470"/>
      <c r="J65" s="470"/>
      <c r="K65" s="470"/>
      <c r="L65" s="470"/>
      <c r="M65" s="1061"/>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1728</v>
      </c>
      <c r="C67" s="509" t="s">
        <v>1716</v>
      </c>
      <c r="D67" s="509" t="s">
        <v>1717</v>
      </c>
      <c r="E67" s="509" t="s">
        <v>1718</v>
      </c>
      <c r="F67" s="509" t="s">
        <v>1719</v>
      </c>
      <c r="G67" s="509" t="s">
        <v>1720</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1847</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1689</v>
      </c>
      <c r="B77" s="460" t="s">
        <v>1735</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1851</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1859</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1861</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0"/>
      <c r="B98" s="880"/>
      <c r="C98" s="880"/>
      <c r="D98" s="880"/>
      <c r="E98" s="880"/>
      <c r="F98" s="880"/>
      <c r="G98" s="880"/>
      <c r="H98" s="880"/>
      <c r="I98" s="880"/>
      <c r="J98" s="880"/>
      <c r="K98" s="881"/>
      <c r="L98" s="882"/>
      <c r="M98" s="880"/>
      <c r="N98" s="2484"/>
      <c r="O98" s="2484"/>
      <c r="P98" s="2484"/>
      <c r="Q98" s="2484"/>
      <c r="R98" s="2484"/>
      <c r="S98" s="2484"/>
      <c r="T98" s="2484"/>
      <c r="U98" s="2484"/>
      <c r="V98" s="2484"/>
      <c r="W98" s="2484"/>
      <c r="X98" s="2484"/>
      <c r="Y98" s="2484"/>
      <c r="Z98" s="2484"/>
      <c r="AA98" s="2484"/>
      <c r="AB98" s="2484"/>
      <c r="AC98" s="2484"/>
      <c r="AD98" s="2484"/>
    </row>
    <row r="99" spans="1:30">
      <c r="A99" s="880"/>
      <c r="B99" s="880"/>
      <c r="C99" s="880"/>
      <c r="D99" s="880"/>
      <c r="E99" s="880"/>
      <c r="F99" s="880"/>
      <c r="G99" s="880"/>
      <c r="H99" s="880"/>
      <c r="I99" s="880"/>
      <c r="J99" s="880"/>
      <c r="K99" s="881"/>
      <c r="L99" s="882"/>
      <c r="M99" s="880"/>
      <c r="N99" s="2484"/>
      <c r="O99" s="2484"/>
      <c r="P99" s="2484"/>
      <c r="Q99" s="2484"/>
      <c r="R99" s="2484"/>
      <c r="S99" s="2484"/>
      <c r="T99" s="2484"/>
      <c r="U99" s="2484"/>
      <c r="V99" s="2484"/>
      <c r="W99" s="2484"/>
      <c r="X99" s="2484"/>
      <c r="Y99" s="2484"/>
      <c r="Z99" s="2484"/>
      <c r="AA99" s="2484"/>
      <c r="AB99" s="2484"/>
      <c r="AC99" s="2484"/>
      <c r="AD99" s="2484"/>
    </row>
    <row r="100" spans="1:30">
      <c r="A100" s="880"/>
      <c r="B100" s="880"/>
      <c r="C100" s="880"/>
      <c r="D100" s="880"/>
      <c r="E100" s="880"/>
      <c r="F100" s="880"/>
      <c r="G100" s="880"/>
      <c r="H100" s="880"/>
      <c r="I100" s="880"/>
      <c r="J100" s="880"/>
      <c r="K100" s="881"/>
      <c r="L100" s="882"/>
      <c r="M100" s="880"/>
      <c r="N100" s="2484"/>
      <c r="O100" s="2484"/>
      <c r="P100" s="2484"/>
      <c r="Q100" s="2484"/>
      <c r="R100" s="2484"/>
      <c r="S100" s="2484"/>
      <c r="T100" s="2484"/>
      <c r="U100" s="2484"/>
      <c r="V100" s="2484"/>
      <c r="W100" s="2484"/>
      <c r="X100" s="2484"/>
      <c r="Y100" s="2484"/>
      <c r="Z100" s="2484"/>
      <c r="AA100" s="2484"/>
      <c r="AB100" s="2484"/>
      <c r="AC100" s="2484"/>
      <c r="AD100" s="2484"/>
    </row>
    <row r="101" spans="1:30">
      <c r="A101" s="880"/>
      <c r="B101" s="880"/>
      <c r="C101" s="880"/>
      <c r="D101" s="880"/>
      <c r="E101" s="880"/>
      <c r="F101" s="880"/>
      <c r="G101" s="880"/>
      <c r="H101" s="880"/>
      <c r="I101" s="880"/>
      <c r="J101" s="880"/>
      <c r="K101" s="881"/>
      <c r="L101" s="882"/>
      <c r="M101" s="880"/>
      <c r="N101" s="2484"/>
      <c r="O101" s="2484"/>
      <c r="P101" s="2484"/>
      <c r="Q101" s="2484"/>
      <c r="R101" s="2484"/>
      <c r="S101" s="2484"/>
      <c r="T101" s="2484"/>
      <c r="U101" s="2484"/>
      <c r="V101" s="2484"/>
      <c r="W101" s="2484"/>
      <c r="X101" s="2484"/>
      <c r="Y101" s="2484"/>
      <c r="Z101" s="2484"/>
      <c r="AA101" s="2484"/>
      <c r="AB101" s="2484"/>
      <c r="AC101" s="2484"/>
      <c r="AD101" s="2484"/>
    </row>
    <row r="102" spans="1:30">
      <c r="A102" s="880"/>
      <c r="B102" s="880"/>
      <c r="C102" s="880"/>
      <c r="D102" s="880"/>
      <c r="E102" s="880"/>
      <c r="F102" s="880"/>
      <c r="G102" s="880"/>
      <c r="H102" s="880"/>
      <c r="I102" s="880"/>
      <c r="J102" s="880"/>
      <c r="K102" s="881"/>
      <c r="L102" s="882"/>
      <c r="M102" s="880"/>
      <c r="N102" s="2484"/>
      <c r="O102" s="2484"/>
      <c r="P102" s="2484"/>
      <c r="Q102" s="2484"/>
      <c r="R102" s="2484"/>
      <c r="S102" s="2484"/>
      <c r="T102" s="2484"/>
      <c r="U102" s="2484"/>
      <c r="V102" s="2484"/>
      <c r="W102" s="2484"/>
      <c r="X102" s="2484"/>
      <c r="Y102" s="2484"/>
      <c r="Z102" s="2484"/>
      <c r="AA102" s="2484"/>
      <c r="AB102" s="2484"/>
      <c r="AC102" s="2484"/>
      <c r="AD102" s="2484"/>
    </row>
    <row r="103" spans="1:30">
      <c r="A103" s="880"/>
      <c r="B103" s="880"/>
      <c r="C103" s="880"/>
      <c r="D103" s="880"/>
      <c r="E103" s="880"/>
      <c r="F103" s="880"/>
      <c r="G103" s="880"/>
      <c r="H103" s="880"/>
      <c r="I103" s="880"/>
      <c r="J103" s="880"/>
      <c r="K103" s="881"/>
      <c r="L103" s="882"/>
      <c r="M103" s="880"/>
      <c r="N103" s="880"/>
      <c r="O103" s="880"/>
      <c r="P103" s="2484"/>
      <c r="Q103" s="2484"/>
      <c r="R103" s="2484"/>
      <c r="S103" s="2484"/>
      <c r="T103" s="2484"/>
      <c r="U103" s="2484"/>
      <c r="V103" s="2484"/>
      <c r="W103" s="2484"/>
      <c r="X103" s="2484"/>
      <c r="Y103" s="2484"/>
      <c r="Z103" s="2484"/>
      <c r="AA103" s="2484"/>
      <c r="AB103" s="2484"/>
      <c r="AC103" s="2484"/>
      <c r="AD103" s="2484"/>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82" priority="13" stopIfTrue="1">
      <formula>$F$40="超过30%"</formula>
    </cfRule>
  </conditionalFormatting>
  <conditionalFormatting sqref="E41">
    <cfRule type="expression" dxfId="81" priority="11" stopIfTrue="1">
      <formula>$F$41="超过20%"</formula>
    </cfRule>
  </conditionalFormatting>
  <conditionalFormatting sqref="E42">
    <cfRule type="expression" dxfId="80" priority="10" stopIfTrue="1">
      <formula>$F$42="超过30%"</formula>
    </cfRule>
  </conditionalFormatting>
  <conditionalFormatting sqref="F7:F34 H7:H34 J7:J34">
    <cfRule type="cellIs" dxfId="79" priority="1" operator="notEqual">
      <formula>100</formula>
    </cfRule>
  </conditionalFormatting>
  <conditionalFormatting sqref="F36">
    <cfRule type="expression" dxfId="78" priority="4">
      <formula>$D$36="简单平均"</formula>
    </cfRule>
  </conditionalFormatting>
  <conditionalFormatting sqref="F40:F42 H40:H42 J40:J42">
    <cfRule type="containsText" dxfId="77" priority="14" stopIfTrue="1" operator="containsText" text="超过">
      <formula>NOT(ISERROR(SEARCH("超过",F40)))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G42">
    <cfRule type="expression" dxfId="74" priority="12" stopIfTrue="1">
      <formula>$H$54+$H$42="超过30%"</formula>
    </cfRule>
  </conditionalFormatting>
  <conditionalFormatting sqref="H36">
    <cfRule type="expression" dxfId="73" priority="3">
      <formula>$D$36="简单平均"</formula>
    </cfRule>
  </conditionalFormatting>
  <conditionalFormatting sqref="I40">
    <cfRule type="expression" dxfId="72" priority="7" stopIfTrue="1">
      <formula>$J$40="超过30%"</formula>
    </cfRule>
  </conditionalFormatting>
  <conditionalFormatting sqref="I41">
    <cfRule type="expression" dxfId="71" priority="6" stopIfTrue="1">
      <formula>$J$41="超过20%"</formula>
    </cfRule>
  </conditionalFormatting>
  <conditionalFormatting sqref="I42">
    <cfRule type="expression" dxfId="70" priority="5" stopIfTrue="1">
      <formula>$J$42="超过30%"</formula>
    </cfRule>
  </conditionalFormatting>
  <conditionalFormatting sqref="J36">
    <cfRule type="expression" dxfId="6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1863</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t="e">
        <f>F65</f>
        <v>#DIV/0!</v>
      </c>
      <c r="C2" s="852"/>
      <c r="D2" s="852"/>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t="e">
        <f>ROUND(IF(D3="",B2*10000/'数据-汇总表'!E3,B2*10000/D3),0)</f>
        <v>#DIV/0!</v>
      </c>
      <c r="C3" s="195" t="s">
        <v>1864</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1764</v>
      </c>
      <c r="B4" s="346"/>
      <c r="C4" s="3415" t="s">
        <v>1765</v>
      </c>
      <c r="D4" s="3416"/>
      <c r="E4" s="3417" t="s">
        <v>1766</v>
      </c>
      <c r="F4" s="3418"/>
      <c r="G4" s="3415" t="s">
        <v>1767</v>
      </c>
      <c r="H4" s="3416"/>
      <c r="I4" s="3415" t="s">
        <v>1768</v>
      </c>
      <c r="J4" s="3416"/>
      <c r="K4" s="537" t="s">
        <v>1769</v>
      </c>
      <c r="L4" s="2483"/>
      <c r="M4" s="2484"/>
      <c r="N4" s="2484"/>
      <c r="O4" s="2484"/>
      <c r="P4" s="3419" t="s">
        <v>1770</v>
      </c>
      <c r="Q4" s="3420"/>
      <c r="R4" s="3425" t="s">
        <v>1766</v>
      </c>
      <c r="S4" s="3426"/>
      <c r="T4" s="3425" t="s">
        <v>1767</v>
      </c>
      <c r="U4" s="3426"/>
      <c r="V4" s="3401" t="s">
        <v>1768</v>
      </c>
      <c r="W4" s="3401"/>
      <c r="X4" s="1263"/>
      <c r="Y4" s="3425" t="s">
        <v>1770</v>
      </c>
      <c r="Z4" s="3426"/>
      <c r="AA4" s="3412" t="s">
        <v>1766</v>
      </c>
      <c r="AB4" s="3413" t="s">
        <v>1767</v>
      </c>
      <c r="AC4" s="3412" t="s">
        <v>1768</v>
      </c>
    </row>
    <row r="5" spans="1:29" ht="15">
      <c r="A5" s="348"/>
      <c r="B5" s="349"/>
      <c r="C5" s="3433" t="s">
        <v>1668</v>
      </c>
      <c r="D5" s="3434"/>
      <c r="E5" s="3440" t="s">
        <v>1669</v>
      </c>
      <c r="F5" s="3441"/>
      <c r="G5" s="3433" t="s">
        <v>1670</v>
      </c>
      <c r="H5" s="3434"/>
      <c r="I5" s="3433" t="s">
        <v>1671</v>
      </c>
      <c r="J5" s="3434"/>
      <c r="K5" s="537"/>
      <c r="L5" s="2483"/>
      <c r="M5" s="2484"/>
      <c r="N5" s="2484"/>
      <c r="O5" s="2484"/>
      <c r="P5" s="3421"/>
      <c r="Q5" s="3422"/>
      <c r="R5" s="3427"/>
      <c r="S5" s="3428"/>
      <c r="T5" s="3427"/>
      <c r="U5" s="3428"/>
      <c r="V5" s="3401"/>
      <c r="W5" s="3401"/>
      <c r="X5" s="1263"/>
      <c r="Y5" s="3427"/>
      <c r="Z5" s="3428"/>
      <c r="AA5" s="3413"/>
      <c r="AB5" s="3413"/>
      <c r="AC5" s="3413"/>
    </row>
    <row r="6" spans="1:29" ht="15.75" thickBot="1">
      <c r="A6" s="350"/>
      <c r="B6" s="351"/>
      <c r="C6" s="3431" t="s">
        <v>1672</v>
      </c>
      <c r="D6" s="3432"/>
      <c r="E6" s="3438" t="s">
        <v>1672</v>
      </c>
      <c r="F6" s="3439"/>
      <c r="G6" s="3431" t="s">
        <v>1672</v>
      </c>
      <c r="H6" s="3432"/>
      <c r="I6" s="3431" t="s">
        <v>1672</v>
      </c>
      <c r="J6" s="3432"/>
      <c r="K6" s="537" t="s">
        <v>1673</v>
      </c>
      <c r="L6" s="2483"/>
      <c r="M6" s="2484"/>
      <c r="N6" s="2484"/>
      <c r="O6" s="2484"/>
      <c r="P6" s="3423"/>
      <c r="Q6" s="3424"/>
      <c r="R6" s="3427"/>
      <c r="S6" s="3428"/>
      <c r="T6" s="3429"/>
      <c r="U6" s="3430"/>
      <c r="V6" s="3401"/>
      <c r="W6" s="3401"/>
      <c r="X6" s="1263"/>
      <c r="Y6" s="3429"/>
      <c r="Z6" s="3430"/>
      <c r="AA6" s="3414"/>
      <c r="AB6" s="3414"/>
      <c r="AC6" s="3414"/>
    </row>
    <row r="7" spans="1:29" s="102" customFormat="1" ht="15.75" thickBot="1">
      <c r="A7" s="352" t="s">
        <v>1674</v>
      </c>
      <c r="B7" s="353"/>
      <c r="C7" s="354">
        <f>'数据-取费表'!B2</f>
        <v>45804</v>
      </c>
      <c r="D7" s="355">
        <v>100</v>
      </c>
      <c r="E7" s="356"/>
      <c r="F7" s="357">
        <f>SUMIF(69:69,YEAR(E7)&amp;"-"&amp;INT((MONTH(E7)+2)/3),70:70)</f>
        <v>0</v>
      </c>
      <c r="G7" s="1820"/>
      <c r="H7" s="355">
        <f>SUMIF(69:69,YEAR(G7)&amp;"-"&amp;INT((MONTH(G7)+2)/3),70:70)</f>
        <v>0</v>
      </c>
      <c r="I7" s="1820"/>
      <c r="J7" s="355">
        <f>SUMIF(69:69,YEAR(I7)&amp;"-"&amp;INT((MONTH(I7)+2)/3),70:70)</f>
        <v>0</v>
      </c>
      <c r="K7" s="38"/>
      <c r="L7" s="2485"/>
      <c r="M7" s="2436"/>
      <c r="N7" s="2436"/>
      <c r="O7" s="2436"/>
      <c r="P7" s="3435" t="s">
        <v>1675</v>
      </c>
      <c r="Q7" s="3437"/>
      <c r="R7" s="664" t="s">
        <v>14</v>
      </c>
      <c r="S7" s="665">
        <f t="shared" ref="S7:S15" si="0">F7</f>
        <v>0</v>
      </c>
      <c r="T7" s="664" t="s">
        <v>14</v>
      </c>
      <c r="U7" s="665">
        <f t="shared" ref="U7:U15" si="1">H7</f>
        <v>0</v>
      </c>
      <c r="V7" s="664" t="s">
        <v>14</v>
      </c>
      <c r="W7" s="665">
        <f t="shared" ref="W7:W15" si="2">J7</f>
        <v>0</v>
      </c>
      <c r="X7" s="666"/>
      <c r="Y7" s="3435" t="s">
        <v>1675</v>
      </c>
      <c r="Z7" s="3436"/>
      <c r="AA7" s="50" t="e">
        <f>D7/F7</f>
        <v>#DIV/0!</v>
      </c>
      <c r="AB7" s="50" t="e">
        <f>D7/H7</f>
        <v>#DIV/0!</v>
      </c>
      <c r="AC7" s="50" t="e">
        <f>D7/J7</f>
        <v>#DIV/0!</v>
      </c>
    </row>
    <row r="8" spans="1:29" s="102" customFormat="1" ht="15.75" thickBot="1">
      <c r="A8" s="352" t="s">
        <v>1676</v>
      </c>
      <c r="B8" s="353"/>
      <c r="C8" s="358" t="s">
        <v>1677</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435" t="s">
        <v>1678</v>
      </c>
      <c r="Q8" s="3436"/>
      <c r="R8" s="664" t="s">
        <v>14</v>
      </c>
      <c r="S8" s="665">
        <f t="shared" si="0"/>
        <v>0</v>
      </c>
      <c r="T8" s="664" t="s">
        <v>14</v>
      </c>
      <c r="U8" s="665">
        <f t="shared" si="1"/>
        <v>0</v>
      </c>
      <c r="V8" s="664" t="s">
        <v>14</v>
      </c>
      <c r="W8" s="665">
        <f t="shared" si="2"/>
        <v>0</v>
      </c>
      <c r="X8" s="666"/>
      <c r="Y8" s="3435" t="s">
        <v>1678</v>
      </c>
      <c r="Z8" s="3436"/>
      <c r="AA8" s="50" t="e">
        <f t="shared" ref="AA8:AA45" si="3">D8/F8</f>
        <v>#DIV/0!</v>
      </c>
      <c r="AB8" s="50" t="e">
        <f t="shared" ref="AB8:AB45" si="4">D8/H8</f>
        <v>#DIV/0!</v>
      </c>
      <c r="AC8" s="50" t="e">
        <f t="shared" ref="AC8:AC45" si="5">D8/J8</f>
        <v>#DIV/0!</v>
      </c>
    </row>
    <row r="9" spans="1:29" s="102" customFormat="1">
      <c r="A9" s="359" t="s">
        <v>1679</v>
      </c>
      <c r="B9" s="60" t="s">
        <v>1680</v>
      </c>
      <c r="C9" s="1823"/>
      <c r="D9" s="59">
        <v>100</v>
      </c>
      <c r="E9" s="1823"/>
      <c r="F9" s="59">
        <f>SUMIF(74:74,E9,75:75)-SUMIF(74:74,C9,75:75)+100</f>
        <v>100</v>
      </c>
      <c r="G9" s="1823"/>
      <c r="H9" s="59">
        <f>SUMIF(74:74,G9,75:75)-SUMIF(74:74,C9,75:75)+100</f>
        <v>100</v>
      </c>
      <c r="I9" s="1823"/>
      <c r="J9" s="59">
        <f>SUMIF(74:74,I9,75:75)-SUMIF(74:74,C9,75:75)+100</f>
        <v>100</v>
      </c>
      <c r="K9" s="38"/>
      <c r="L9" s="2485"/>
      <c r="M9" s="2436"/>
      <c r="N9" s="2436"/>
      <c r="O9" s="2537"/>
      <c r="P9" s="3400" t="s">
        <v>1681</v>
      </c>
      <c r="Q9" s="530" t="str">
        <f t="shared" ref="Q9:Q15" si="6">B9</f>
        <v>用途</v>
      </c>
      <c r="R9" s="664" t="s">
        <v>14</v>
      </c>
      <c r="S9" s="665">
        <f t="shared" si="0"/>
        <v>100</v>
      </c>
      <c r="T9" s="664" t="s">
        <v>14</v>
      </c>
      <c r="U9" s="665">
        <f t="shared" si="1"/>
        <v>100</v>
      </c>
      <c r="V9" s="664" t="s">
        <v>14</v>
      </c>
      <c r="W9" s="665">
        <f t="shared" si="2"/>
        <v>100</v>
      </c>
      <c r="X9" s="666"/>
      <c r="Y9" s="3275" t="s">
        <v>1682</v>
      </c>
      <c r="Z9" s="50" t="str">
        <f t="shared" ref="Z9:Z15" si="7">Q9</f>
        <v>用途</v>
      </c>
      <c r="AA9" s="50">
        <f t="shared" si="3"/>
        <v>1</v>
      </c>
      <c r="AB9" s="50">
        <f t="shared" si="4"/>
        <v>1</v>
      </c>
      <c r="AC9" s="50">
        <f t="shared" si="5"/>
        <v>1</v>
      </c>
    </row>
    <row r="10" spans="1:29" s="366" customFormat="1" ht="27">
      <c r="A10" s="363"/>
      <c r="B10" s="364" t="s">
        <v>1683</v>
      </c>
      <c r="C10" s="371"/>
      <c r="D10" s="119">
        <v>100</v>
      </c>
      <c r="E10" s="403"/>
      <c r="F10" s="119">
        <f>ROUND(100/'数据-取费表'!G16,0)</f>
        <v>123</v>
      </c>
      <c r="G10" s="402"/>
      <c r="H10" s="119">
        <f>ROUND(100/'数据-取费表'!G16,0)</f>
        <v>123</v>
      </c>
      <c r="I10" s="402"/>
      <c r="J10" s="119">
        <f>ROUND(100/'数据-取费表'!G16,0)</f>
        <v>123</v>
      </c>
      <c r="K10" s="592"/>
      <c r="L10" s="2486"/>
      <c r="M10" s="2487"/>
      <c r="N10" s="2487"/>
      <c r="O10" s="2538"/>
      <c r="P10" s="3400"/>
      <c r="Q10" s="530" t="str">
        <f t="shared" si="6"/>
        <v>土地使用年限（年）</v>
      </c>
      <c r="R10" s="664" t="s">
        <v>14</v>
      </c>
      <c r="S10" s="665">
        <f t="shared" si="0"/>
        <v>123</v>
      </c>
      <c r="T10" s="664" t="s">
        <v>14</v>
      </c>
      <c r="U10" s="665">
        <f t="shared" si="1"/>
        <v>123</v>
      </c>
      <c r="V10" s="664" t="s">
        <v>14</v>
      </c>
      <c r="W10" s="665">
        <f t="shared" si="2"/>
        <v>123</v>
      </c>
      <c r="X10" s="666"/>
      <c r="Y10" s="3275"/>
      <c r="Z10" s="50" t="str">
        <f t="shared" si="7"/>
        <v>土地使用年限（年）</v>
      </c>
      <c r="AA10" s="50">
        <f t="shared" si="3"/>
        <v>0.81300813008130079</v>
      </c>
      <c r="AB10" s="50">
        <f t="shared" si="4"/>
        <v>0.81300813008130079</v>
      </c>
      <c r="AC10" s="50">
        <f t="shared" si="5"/>
        <v>0.81300813008130079</v>
      </c>
    </row>
    <row r="11" spans="1:29" ht="15">
      <c r="A11" s="367"/>
      <c r="B11" s="364" t="s">
        <v>1684</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00"/>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t="s">
        <v>1865</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400"/>
      <c r="Q12" s="530" t="str">
        <f t="shared" si="6"/>
        <v>配建</v>
      </c>
      <c r="R12" s="664" t="s">
        <v>14</v>
      </c>
      <c r="S12" s="665">
        <f t="shared" si="0"/>
        <v>100</v>
      </c>
      <c r="T12" s="664" t="s">
        <v>14</v>
      </c>
      <c r="U12" s="665">
        <f t="shared" si="1"/>
        <v>100</v>
      </c>
      <c r="V12" s="664" t="s">
        <v>14</v>
      </c>
      <c r="W12" s="665">
        <f t="shared" si="2"/>
        <v>100</v>
      </c>
      <c r="X12" s="666"/>
      <c r="Y12" s="327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D14/F14</f>
        <v>1</v>
      </c>
      <c r="AB14" s="50">
        <f>D14/H14</f>
        <v>1</v>
      </c>
      <c r="AC14" s="50">
        <f>D14/J14</f>
        <v>1</v>
      </c>
    </row>
    <row r="15" spans="1:29" ht="15">
      <c r="A15" s="379" t="s">
        <v>1685</v>
      </c>
      <c r="B15" s="58" t="s">
        <v>1252</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02" t="s">
        <v>1686</v>
      </c>
      <c r="Q15" s="1261" t="str">
        <f t="shared" si="6"/>
        <v>居住社区成熟度</v>
      </c>
      <c r="R15" s="667" t="s">
        <v>14</v>
      </c>
      <c r="S15" s="668">
        <f t="shared" si="0"/>
        <v>100</v>
      </c>
      <c r="T15" s="667" t="s">
        <v>14</v>
      </c>
      <c r="U15" s="668">
        <f t="shared" si="1"/>
        <v>100</v>
      </c>
      <c r="V15" s="667" t="s">
        <v>14</v>
      </c>
      <c r="W15" s="668">
        <f t="shared" si="2"/>
        <v>100</v>
      </c>
      <c r="X15" s="1263"/>
      <c r="Y15" s="3402" t="s">
        <v>1686</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9"/>
      <c r="M16" s="2484"/>
      <c r="N16" s="2484"/>
      <c r="O16" s="2539"/>
      <c r="P16" s="3403"/>
      <c r="Q16" s="1261"/>
      <c r="R16" s="667"/>
      <c r="S16" s="668"/>
      <c r="T16" s="667"/>
      <c r="U16" s="668"/>
      <c r="V16" s="667"/>
      <c r="W16" s="668"/>
      <c r="X16" s="1263"/>
      <c r="Y16" s="3403"/>
      <c r="Z16" s="1262"/>
      <c r="AA16" s="1262">
        <v>1</v>
      </c>
      <c r="AB16" s="1262">
        <v>1</v>
      </c>
      <c r="AC16" s="1262">
        <v>1</v>
      </c>
    </row>
    <row r="17" spans="1:29" ht="15">
      <c r="A17" s="367"/>
      <c r="B17" s="390" t="s">
        <v>1772</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03"/>
      <c r="Q17" s="1261" t="str">
        <f>B17</f>
        <v>商业繁华度</v>
      </c>
      <c r="R17" s="667" t="s">
        <v>14</v>
      </c>
      <c r="S17" s="668">
        <f>F17</f>
        <v>100</v>
      </c>
      <c r="T17" s="667" t="s">
        <v>14</v>
      </c>
      <c r="U17" s="668">
        <f>H17</f>
        <v>100</v>
      </c>
      <c r="V17" s="667" t="s">
        <v>14</v>
      </c>
      <c r="W17" s="668">
        <f>J17</f>
        <v>100</v>
      </c>
      <c r="X17" s="1263"/>
      <c r="Y17" s="3403"/>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9"/>
      <c r="M18" s="2484"/>
      <c r="N18" s="2484"/>
      <c r="O18" s="2539"/>
      <c r="P18" s="3403"/>
      <c r="Q18" s="1261"/>
      <c r="R18" s="667"/>
      <c r="S18" s="668"/>
      <c r="T18" s="667"/>
      <c r="U18" s="668"/>
      <c r="V18" s="667"/>
      <c r="W18" s="668"/>
      <c r="X18" s="1263"/>
      <c r="Y18" s="3403"/>
      <c r="Z18" s="1262"/>
      <c r="AA18" s="1262">
        <v>1</v>
      </c>
      <c r="AB18" s="1262">
        <v>1</v>
      </c>
      <c r="AC18" s="1262">
        <v>1</v>
      </c>
    </row>
    <row r="19" spans="1:29" ht="15">
      <c r="A19" s="367"/>
      <c r="B19" s="390" t="s">
        <v>1806</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03"/>
      <c r="Q19" s="1261" t="str">
        <f>B19</f>
        <v>办公集聚程度</v>
      </c>
      <c r="R19" s="667" t="s">
        <v>14</v>
      </c>
      <c r="S19" s="668">
        <f>F19</f>
        <v>100</v>
      </c>
      <c r="T19" s="667" t="s">
        <v>14</v>
      </c>
      <c r="U19" s="668">
        <f>H19</f>
        <v>100</v>
      </c>
      <c r="V19" s="667" t="s">
        <v>14</v>
      </c>
      <c r="W19" s="668">
        <f>J19</f>
        <v>100</v>
      </c>
      <c r="X19" s="1263"/>
      <c r="Y19" s="3403"/>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9"/>
      <c r="M20" s="2484"/>
      <c r="N20" s="2484"/>
      <c r="O20" s="2539"/>
      <c r="P20" s="3403"/>
      <c r="Q20" s="1261"/>
      <c r="R20" s="667"/>
      <c r="S20" s="668"/>
      <c r="T20" s="667"/>
      <c r="U20" s="668"/>
      <c r="V20" s="667"/>
      <c r="W20" s="668"/>
      <c r="X20" s="1263"/>
      <c r="Y20" s="3403"/>
      <c r="Z20" s="1262"/>
      <c r="AA20" s="1262">
        <v>1</v>
      </c>
      <c r="AB20" s="1262">
        <v>1</v>
      </c>
      <c r="AC20" s="1262">
        <v>1</v>
      </c>
    </row>
    <row r="21" spans="1:29" ht="15">
      <c r="A21" s="367"/>
      <c r="B21" s="390" t="s">
        <v>1828</v>
      </c>
      <c r="C21" s="1752">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03"/>
      <c r="Q21" s="1261" t="str">
        <f>B21</f>
        <v>交通便捷度</v>
      </c>
      <c r="R21" s="667" t="s">
        <v>14</v>
      </c>
      <c r="S21" s="668">
        <f>F21</f>
        <v>100</v>
      </c>
      <c r="T21" s="667" t="s">
        <v>14</v>
      </c>
      <c r="U21" s="668">
        <f>H21</f>
        <v>100</v>
      </c>
      <c r="V21" s="667" t="s">
        <v>14</v>
      </c>
      <c r="W21" s="668">
        <f>J21</f>
        <v>100</v>
      </c>
      <c r="X21" s="1263"/>
      <c r="Y21" s="3403"/>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9"/>
      <c r="M22" s="2484"/>
      <c r="N22" s="2484"/>
      <c r="O22" s="2539"/>
      <c r="P22" s="3403"/>
      <c r="Q22" s="1261"/>
      <c r="R22" s="667"/>
      <c r="S22" s="668"/>
      <c r="T22" s="667"/>
      <c r="U22" s="668"/>
      <c r="V22" s="667"/>
      <c r="W22" s="668"/>
      <c r="X22" s="1263"/>
      <c r="Y22" s="3403"/>
      <c r="Z22" s="1262"/>
      <c r="AA22" s="1262">
        <v>1</v>
      </c>
      <c r="AB22" s="1262">
        <v>1</v>
      </c>
      <c r="AC22" s="1262">
        <v>1</v>
      </c>
    </row>
    <row r="23" spans="1:29" ht="15">
      <c r="A23" s="348"/>
      <c r="B23" s="390" t="s">
        <v>1866</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03"/>
      <c r="Q23" s="1261" t="str">
        <f t="shared" ref="Q23:Q37" si="8">B23</f>
        <v>区域土地利用方向</v>
      </c>
      <c r="R23" s="667" t="s">
        <v>14</v>
      </c>
      <c r="S23" s="668">
        <f>F23</f>
        <v>100</v>
      </c>
      <c r="T23" s="667" t="s">
        <v>14</v>
      </c>
      <c r="U23" s="668">
        <f>H23</f>
        <v>100</v>
      </c>
      <c r="V23" s="667" t="s">
        <v>14</v>
      </c>
      <c r="W23" s="668">
        <f>J23</f>
        <v>100</v>
      </c>
      <c r="X23" s="1263"/>
      <c r="Y23" s="3403"/>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6"/>
      <c r="L24" s="2489"/>
      <c r="M24" s="2484"/>
      <c r="N24" s="2484"/>
      <c r="O24" s="2539"/>
      <c r="P24" s="3403"/>
      <c r="Q24" s="1261"/>
      <c r="R24" s="667"/>
      <c r="S24" s="668"/>
      <c r="T24" s="667"/>
      <c r="U24" s="668"/>
      <c r="V24" s="667"/>
      <c r="W24" s="668"/>
      <c r="X24" s="1263"/>
      <c r="Y24" s="3403"/>
      <c r="Z24" s="1262"/>
      <c r="AA24" s="1262"/>
      <c r="AB24" s="1262"/>
      <c r="AC24" s="1262"/>
    </row>
    <row r="25" spans="1:29" ht="27">
      <c r="A25" s="348"/>
      <c r="B25" s="586" t="s">
        <v>1867</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03"/>
      <c r="Q25" s="1261" t="str">
        <f t="shared" si="8"/>
        <v>自然及人文环境状况</v>
      </c>
      <c r="R25" s="667" t="s">
        <v>14</v>
      </c>
      <c r="S25" s="668">
        <f>F25</f>
        <v>100</v>
      </c>
      <c r="T25" s="667" t="s">
        <v>14</v>
      </c>
      <c r="U25" s="668">
        <f>H25</f>
        <v>100</v>
      </c>
      <c r="V25" s="667" t="s">
        <v>14</v>
      </c>
      <c r="W25" s="668">
        <f>J25</f>
        <v>100</v>
      </c>
      <c r="X25" s="1263"/>
      <c r="Y25" s="3403"/>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9"/>
      <c r="M26" s="2484"/>
      <c r="N26" s="2484"/>
      <c r="O26" s="2539"/>
      <c r="P26" s="3403"/>
      <c r="Q26" s="1261"/>
      <c r="R26" s="667"/>
      <c r="S26" s="668"/>
      <c r="T26" s="667"/>
      <c r="U26" s="668"/>
      <c r="V26" s="667"/>
      <c r="W26" s="668"/>
      <c r="X26" s="1263"/>
      <c r="Y26" s="3403"/>
      <c r="Z26" s="1262"/>
      <c r="AA26" s="1262">
        <v>1</v>
      </c>
      <c r="AB26" s="1262">
        <v>1</v>
      </c>
      <c r="AC26" s="1262">
        <v>1</v>
      </c>
    </row>
    <row r="27" spans="1:29" s="102" customFormat="1" ht="15">
      <c r="A27" s="443"/>
      <c r="B27" s="586" t="s">
        <v>1773</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5"/>
      <c r="M28" s="2436"/>
      <c r="N28" s="2436"/>
      <c r="O28" s="2537"/>
      <c r="P28" s="3403"/>
      <c r="Q28" s="530"/>
      <c r="R28" s="664"/>
      <c r="S28" s="665"/>
      <c r="T28" s="664"/>
      <c r="U28" s="665"/>
      <c r="V28" s="664"/>
      <c r="W28" s="665"/>
      <c r="X28" s="666"/>
      <c r="Y28" s="3403"/>
      <c r="Z28" s="50"/>
      <c r="AA28" s="1262">
        <v>1</v>
      </c>
      <c r="AB28" s="1262">
        <v>1</v>
      </c>
      <c r="AC28" s="1262">
        <v>1</v>
      </c>
    </row>
    <row r="29" spans="1:29" s="102" customFormat="1" ht="15">
      <c r="A29" s="443"/>
      <c r="B29" s="586" t="s">
        <v>1774</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5"/>
      <c r="M30" s="2436"/>
      <c r="N30" s="2436"/>
      <c r="O30" s="2537"/>
      <c r="P30" s="3403"/>
      <c r="Q30" s="530"/>
      <c r="R30" s="664"/>
      <c r="S30" s="665"/>
      <c r="T30" s="664"/>
      <c r="U30" s="665"/>
      <c r="V30" s="664"/>
      <c r="W30" s="665"/>
      <c r="X30" s="666"/>
      <c r="Y30" s="3403"/>
      <c r="Z30" s="50"/>
      <c r="AA30" s="1262">
        <v>1</v>
      </c>
      <c r="AB30" s="1262">
        <v>1</v>
      </c>
      <c r="AC30" s="1262">
        <v>1</v>
      </c>
    </row>
    <row r="31" spans="1:29" ht="15">
      <c r="A31" s="367"/>
      <c r="B31" s="395" t="s">
        <v>1775</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03"/>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03"/>
      <c r="Z31" s="1262" t="str">
        <f t="shared" ref="Z31:Z45" si="13">Q31</f>
        <v>临街状况</v>
      </c>
      <c r="AA31" s="1262">
        <f t="shared" si="3"/>
        <v>1</v>
      </c>
      <c r="AB31" s="1262">
        <f t="shared" si="4"/>
        <v>1</v>
      </c>
      <c r="AC31" s="1262">
        <f t="shared" si="5"/>
        <v>1</v>
      </c>
    </row>
    <row r="32" spans="1:29" ht="27">
      <c r="A32" s="367"/>
      <c r="B32" s="586" t="s">
        <v>1810</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03"/>
      <c r="Q32" s="1261" t="str">
        <f t="shared" si="8"/>
        <v>毗邻道路的类型与等级</v>
      </c>
      <c r="R32" s="667" t="s">
        <v>14</v>
      </c>
      <c r="S32" s="668">
        <f t="shared" si="10"/>
        <v>100</v>
      </c>
      <c r="T32" s="667" t="s">
        <v>14</v>
      </c>
      <c r="U32" s="668">
        <f t="shared" si="11"/>
        <v>100</v>
      </c>
      <c r="V32" s="667" t="s">
        <v>14</v>
      </c>
      <c r="W32" s="668">
        <f t="shared" si="12"/>
        <v>100</v>
      </c>
      <c r="X32" s="1263"/>
      <c r="Y32" s="3403"/>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9"/>
      <c r="M33" s="2484"/>
      <c r="N33" s="2484"/>
      <c r="O33" s="2539"/>
      <c r="P33" s="3403"/>
      <c r="Q33" s="1261"/>
      <c r="R33" s="667"/>
      <c r="S33" s="668"/>
      <c r="T33" s="667"/>
      <c r="U33" s="668"/>
      <c r="V33" s="667"/>
      <c r="W33" s="668"/>
      <c r="X33" s="1263"/>
      <c r="Y33" s="3403"/>
      <c r="Z33" s="1262"/>
      <c r="AA33" s="1262">
        <v>1</v>
      </c>
      <c r="AB33" s="1262">
        <v>1</v>
      </c>
      <c r="AC33" s="1262">
        <v>1</v>
      </c>
    </row>
    <row r="34" spans="1:29" ht="15">
      <c r="A34" s="367"/>
      <c r="B34" s="364" t="s">
        <v>1868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03"/>
      <c r="Q34" s="1261" t="str">
        <f t="shared" si="8"/>
        <v>土地级别</v>
      </c>
      <c r="R34" s="667" t="s">
        <v>14</v>
      </c>
      <c r="S34" s="668">
        <f t="shared" si="10"/>
        <v>100</v>
      </c>
      <c r="T34" s="667" t="s">
        <v>14</v>
      </c>
      <c r="U34" s="668">
        <f t="shared" si="11"/>
        <v>100</v>
      </c>
      <c r="V34" s="667" t="s">
        <v>14</v>
      </c>
      <c r="W34" s="668">
        <f t="shared" si="12"/>
        <v>100</v>
      </c>
      <c r="X34" s="1263"/>
      <c r="Y34" s="3403"/>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03"/>
      <c r="Q35" s="1261">
        <f t="shared" si="8"/>
        <v>111</v>
      </c>
      <c r="R35" s="667" t="s">
        <v>14</v>
      </c>
      <c r="S35" s="668">
        <f t="shared" si="10"/>
        <v>100</v>
      </c>
      <c r="T35" s="667" t="s">
        <v>14</v>
      </c>
      <c r="U35" s="668">
        <f t="shared" si="11"/>
        <v>100</v>
      </c>
      <c r="V35" s="667" t="s">
        <v>14</v>
      </c>
      <c r="W35" s="668">
        <f t="shared" si="12"/>
        <v>100</v>
      </c>
      <c r="X35" s="1263"/>
      <c r="Y35" s="3403"/>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57" t="s">
        <v>1691</v>
      </c>
      <c r="Q36" s="1261">
        <f t="shared" si="8"/>
        <v>111</v>
      </c>
      <c r="R36" s="667" t="s">
        <v>14</v>
      </c>
      <c r="S36" s="668">
        <f t="shared" si="10"/>
        <v>100</v>
      </c>
      <c r="T36" s="667" t="s">
        <v>14</v>
      </c>
      <c r="U36" s="668">
        <f t="shared" si="11"/>
        <v>100</v>
      </c>
      <c r="V36" s="667" t="s">
        <v>14</v>
      </c>
      <c r="W36" s="668">
        <f t="shared" si="12"/>
        <v>100</v>
      </c>
      <c r="X36" s="1263"/>
      <c r="Y36" s="3407" t="s">
        <v>1691</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07"/>
      <c r="Q37" s="1261">
        <f t="shared" si="8"/>
        <v>111</v>
      </c>
      <c r="R37" s="669" t="s">
        <v>14</v>
      </c>
      <c r="S37" s="670">
        <f t="shared" si="10"/>
        <v>100</v>
      </c>
      <c r="T37" s="669" t="s">
        <v>14</v>
      </c>
      <c r="U37" s="670">
        <f t="shared" si="11"/>
        <v>100</v>
      </c>
      <c r="V37" s="669" t="s">
        <v>14</v>
      </c>
      <c r="W37" s="670">
        <f t="shared" si="12"/>
        <v>100</v>
      </c>
      <c r="X37" s="671"/>
      <c r="Y37" s="3407"/>
      <c r="Z37" s="672">
        <f t="shared" si="13"/>
        <v>111</v>
      </c>
      <c r="AA37" s="1262">
        <f t="shared" si="3"/>
        <v>1</v>
      </c>
      <c r="AB37" s="1262">
        <f t="shared" si="4"/>
        <v>1</v>
      </c>
      <c r="AC37" s="1262">
        <f t="shared" si="5"/>
        <v>1</v>
      </c>
    </row>
    <row r="38" spans="1:29" ht="15">
      <c r="A38" s="409" t="s">
        <v>1689</v>
      </c>
      <c r="B38" s="395" t="s">
        <v>1869</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07"/>
      <c r="Q38" s="1261" t="str">
        <f>B38</f>
        <v>宗地面积</v>
      </c>
      <c r="R38" s="667" t="s">
        <v>14</v>
      </c>
      <c r="S38" s="668" t="e">
        <f t="shared" si="10"/>
        <v>#N/A</v>
      </c>
      <c r="T38" s="667" t="s">
        <v>14</v>
      </c>
      <c r="U38" s="668" t="e">
        <f t="shared" si="11"/>
        <v>#N/A</v>
      </c>
      <c r="V38" s="667" t="s">
        <v>14</v>
      </c>
      <c r="W38" s="668" t="e">
        <f t="shared" si="12"/>
        <v>#N/A</v>
      </c>
      <c r="X38" s="1263"/>
      <c r="Y38" s="3407"/>
      <c r="Z38" s="1262" t="str">
        <f t="shared" si="13"/>
        <v>宗地面积</v>
      </c>
      <c r="AA38" s="1262" t="e">
        <f t="shared" si="3"/>
        <v>#N/A</v>
      </c>
      <c r="AB38" s="1262" t="e">
        <f t="shared" si="4"/>
        <v>#N/A</v>
      </c>
      <c r="AC38" s="1262" t="e">
        <f t="shared" si="5"/>
        <v>#N/A</v>
      </c>
    </row>
    <row r="39" spans="1:29" ht="15">
      <c r="A39" s="409"/>
      <c r="B39" s="364" t="s">
        <v>1870</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9"/>
      <c r="M39" s="2484"/>
      <c r="N39" s="2484"/>
      <c r="O39" s="2539"/>
      <c r="P39" s="3407"/>
      <c r="Q39" s="1261" t="str">
        <f t="shared" ref="Q39:Q45" si="14">B39</f>
        <v>宗地形状</v>
      </c>
      <c r="R39" s="667" t="s">
        <v>14</v>
      </c>
      <c r="S39" s="668">
        <f t="shared" si="10"/>
        <v>100</v>
      </c>
      <c r="T39" s="667" t="s">
        <v>14</v>
      </c>
      <c r="U39" s="668">
        <f t="shared" si="11"/>
        <v>100</v>
      </c>
      <c r="V39" s="667" t="s">
        <v>14</v>
      </c>
      <c r="W39" s="668">
        <f t="shared" si="12"/>
        <v>100</v>
      </c>
      <c r="X39" s="1263"/>
      <c r="Y39" s="3407"/>
      <c r="Z39" s="1262" t="str">
        <f t="shared" si="13"/>
        <v>宗地形状</v>
      </c>
      <c r="AA39" s="1262">
        <f t="shared" si="3"/>
        <v>1</v>
      </c>
      <c r="AB39" s="1262">
        <f t="shared" si="4"/>
        <v>1</v>
      </c>
      <c r="AC39" s="1262">
        <f t="shared" si="5"/>
        <v>1</v>
      </c>
    </row>
    <row r="40" spans="1:29" ht="15">
      <c r="A40" s="409"/>
      <c r="B40" s="364" t="s">
        <v>1871</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9"/>
      <c r="M40" s="2484"/>
      <c r="N40" s="2484"/>
      <c r="O40" s="2539"/>
      <c r="P40" s="3407"/>
      <c r="Q40" s="1261" t="str">
        <f t="shared" si="14"/>
        <v>临街宽度及深度</v>
      </c>
      <c r="R40" s="667" t="s">
        <v>14</v>
      </c>
      <c r="S40" s="668">
        <f t="shared" si="10"/>
        <v>100</v>
      </c>
      <c r="T40" s="667" t="s">
        <v>14</v>
      </c>
      <c r="U40" s="668">
        <f t="shared" si="11"/>
        <v>100</v>
      </c>
      <c r="V40" s="667" t="s">
        <v>14</v>
      </c>
      <c r="W40" s="668">
        <f t="shared" si="12"/>
        <v>100</v>
      </c>
      <c r="X40" s="1263"/>
      <c r="Y40" s="3407"/>
      <c r="Z40" s="1262" t="str">
        <f t="shared" si="13"/>
        <v>临街宽度及深度</v>
      </c>
      <c r="AA40" s="1262">
        <f t="shared" si="3"/>
        <v>1</v>
      </c>
      <c r="AB40" s="1262">
        <f t="shared" si="4"/>
        <v>1</v>
      </c>
      <c r="AC40" s="1262">
        <f t="shared" si="5"/>
        <v>1</v>
      </c>
    </row>
    <row r="41" spans="1:29" s="102" customFormat="1" ht="15">
      <c r="A41" s="410"/>
      <c r="B41" s="364" t="s">
        <v>1872</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5"/>
      <c r="M41" s="2436"/>
      <c r="N41" s="2436"/>
      <c r="O41" s="2537"/>
      <c r="P41" s="3407"/>
      <c r="Q41" s="1261"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1873</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9"/>
      <c r="M42" s="2484"/>
      <c r="N42" s="2484"/>
      <c r="O42" s="2539"/>
      <c r="P42" s="3407" t="s">
        <v>1691</v>
      </c>
      <c r="Q42" s="1261" t="str">
        <f t="shared" si="14"/>
        <v>工程地质条件</v>
      </c>
      <c r="R42" s="667" t="s">
        <v>14</v>
      </c>
      <c r="S42" s="668">
        <f t="shared" si="10"/>
        <v>100</v>
      </c>
      <c r="T42" s="667" t="s">
        <v>14</v>
      </c>
      <c r="U42" s="668">
        <f t="shared" si="11"/>
        <v>100</v>
      </c>
      <c r="V42" s="667" t="s">
        <v>14</v>
      </c>
      <c r="W42" s="668">
        <f t="shared" si="12"/>
        <v>100</v>
      </c>
      <c r="X42" s="1263"/>
      <c r="Y42" s="3407" t="s">
        <v>1691</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07"/>
      <c r="Q43" s="1261">
        <f t="shared" si="14"/>
        <v>111</v>
      </c>
      <c r="R43" s="667" t="s">
        <v>14</v>
      </c>
      <c r="S43" s="668">
        <f t="shared" si="10"/>
        <v>100</v>
      </c>
      <c r="T43" s="667" t="s">
        <v>14</v>
      </c>
      <c r="U43" s="668">
        <f t="shared" si="11"/>
        <v>100</v>
      </c>
      <c r="V43" s="667" t="s">
        <v>14</v>
      </c>
      <c r="W43" s="668">
        <f t="shared" si="12"/>
        <v>100</v>
      </c>
      <c r="X43" s="1263"/>
      <c r="Y43" s="3407"/>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07"/>
      <c r="Q44" s="1261">
        <f t="shared" si="14"/>
        <v>111</v>
      </c>
      <c r="R44" s="667" t="s">
        <v>14</v>
      </c>
      <c r="S44" s="668">
        <f t="shared" si="10"/>
        <v>100</v>
      </c>
      <c r="T44" s="667" t="s">
        <v>14</v>
      </c>
      <c r="U44" s="668">
        <f t="shared" si="11"/>
        <v>100</v>
      </c>
      <c r="V44" s="667" t="s">
        <v>14</v>
      </c>
      <c r="W44" s="668">
        <f t="shared" si="12"/>
        <v>100</v>
      </c>
      <c r="X44" s="1263"/>
      <c r="Y44" s="3407"/>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07"/>
      <c r="Q45" s="1261">
        <f t="shared" si="14"/>
        <v>111</v>
      </c>
      <c r="R45" s="669" t="s">
        <v>14</v>
      </c>
      <c r="S45" s="670">
        <f t="shared" si="10"/>
        <v>100</v>
      </c>
      <c r="T45" s="669" t="s">
        <v>14</v>
      </c>
      <c r="U45" s="670">
        <f t="shared" si="11"/>
        <v>100</v>
      </c>
      <c r="V45" s="669" t="s">
        <v>14</v>
      </c>
      <c r="W45" s="670">
        <f t="shared" si="12"/>
        <v>100</v>
      </c>
      <c r="X45" s="671"/>
      <c r="Y45" s="3407"/>
      <c r="Z45" s="672">
        <f t="shared" si="13"/>
        <v>111</v>
      </c>
      <c r="AA45" s="1262">
        <f t="shared" si="3"/>
        <v>1</v>
      </c>
      <c r="AB45" s="1262">
        <f t="shared" si="4"/>
        <v>1</v>
      </c>
      <c r="AC45" s="1262">
        <f t="shared" si="5"/>
        <v>1</v>
      </c>
    </row>
    <row r="46" spans="1:29" ht="15">
      <c r="A46" s="416" t="s">
        <v>1839</v>
      </c>
      <c r="B46" s="1828" t="s">
        <v>1874</v>
      </c>
      <c r="C46" s="602" t="s">
        <v>0</v>
      </c>
      <c r="D46" s="418"/>
      <c r="E46" s="419"/>
      <c r="F46" s="420"/>
      <c r="G46" s="421"/>
      <c r="H46" s="422"/>
      <c r="I46" s="419"/>
      <c r="J46" s="422"/>
      <c r="K46" s="674"/>
      <c r="L46" s="2491"/>
      <c r="M46" s="2484"/>
      <c r="N46" s="2484"/>
      <c r="O46" s="2484"/>
      <c r="P46" s="3400" t="str">
        <f>A46</f>
        <v>成交单价</v>
      </c>
      <c r="Q46" s="3400"/>
      <c r="R46" s="3401">
        <f>E46</f>
        <v>0</v>
      </c>
      <c r="S46" s="3401"/>
      <c r="T46" s="3401">
        <f>G46</f>
        <v>0</v>
      </c>
      <c r="U46" s="3401"/>
      <c r="V46" s="3401">
        <f>I46</f>
        <v>0</v>
      </c>
      <c r="W46" s="3401"/>
      <c r="X46" s="385"/>
      <c r="Y46" s="673"/>
      <c r="Z46" s="385"/>
      <c r="AA46" s="385"/>
      <c r="AB46" s="385"/>
      <c r="AC46" s="385"/>
    </row>
    <row r="47" spans="1:29" ht="15.75" thickBot="1">
      <c r="A47" s="423" t="s">
        <v>1788</v>
      </c>
      <c r="B47" s="603"/>
      <c r="C47" s="426" t="e">
        <f>R48</f>
        <v>#DIV/0!</v>
      </c>
      <c r="D47" s="2139" t="s">
        <v>2133</v>
      </c>
      <c r="E47" s="426" t="e">
        <f>R47</f>
        <v>#DIV/0!</v>
      </c>
      <c r="F47" s="2140"/>
      <c r="G47" s="425" t="e">
        <f>T47</f>
        <v>#DIV/0!</v>
      </c>
      <c r="H47" s="2140"/>
      <c r="I47" s="426" t="e">
        <f>V47</f>
        <v>#DIV/0!</v>
      </c>
      <c r="J47" s="2140"/>
      <c r="K47" s="2142">
        <f>F47+H47+J47</f>
        <v>0</v>
      </c>
      <c r="L47" s="2491"/>
      <c r="M47" s="2484"/>
      <c r="N47" s="2484"/>
      <c r="O47" s="2484"/>
      <c r="P47" s="3400" t="str">
        <f>A47</f>
        <v>比较价值（元/平方米）</v>
      </c>
      <c r="Q47" s="3400"/>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75" thickBot="1">
      <c r="A48" s="427" t="s">
        <v>1875</v>
      </c>
      <c r="B48" s="428"/>
      <c r="C48" s="429" t="e">
        <f>R48</f>
        <v>#DIV/0!</v>
      </c>
      <c r="D48" s="429"/>
      <c r="E48" s="429"/>
      <c r="F48" s="429"/>
      <c r="G48" s="429"/>
      <c r="H48" s="429"/>
      <c r="I48" s="429"/>
      <c r="J48" s="429"/>
      <c r="K48" s="675"/>
      <c r="L48" s="2491"/>
      <c r="M48" s="2484"/>
      <c r="N48" s="2484"/>
      <c r="O48" s="2484"/>
      <c r="P48" s="3397" t="str">
        <f>A48</f>
        <v>估价对象XX用房的比较价值（楼面单价，元/平方米）</v>
      </c>
      <c r="Q48" s="3398"/>
      <c r="R48" s="3460" t="e">
        <f>ROUND(IF(D47="简单平均",AVERAGE(R47:W47),R47*F47+T47*H47+V47*J47),0)</f>
        <v>#DIV/0!</v>
      </c>
      <c r="S48" s="3460"/>
      <c r="T48" s="3460"/>
      <c r="U48" s="3460"/>
      <c r="V48" s="3460"/>
      <c r="W48" s="3460"/>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1790</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1791</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1792</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1876</v>
      </c>
      <c r="B55" s="605" t="s">
        <v>1877</v>
      </c>
      <c r="C55" s="1829" t="s">
        <v>1878</v>
      </c>
      <c r="D55" s="1830" t="s">
        <v>1879</v>
      </c>
      <c r="E55" s="606" t="s">
        <v>1880</v>
      </c>
      <c r="F55" s="835" t="s">
        <v>1881</v>
      </c>
      <c r="G55" s="3415" t="s">
        <v>1882</v>
      </c>
      <c r="H55" s="3461"/>
      <c r="I55" s="127" t="s">
        <v>1883</v>
      </c>
      <c r="J55" s="1831">
        <f>项目基本情况!F35</f>
        <v>0</v>
      </c>
      <c r="K55" s="1832" t="s">
        <v>1884</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1885</v>
      </c>
      <c r="B56" s="609" t="e">
        <f>C48</f>
        <v>#DIV/0!</v>
      </c>
      <c r="C56" s="610">
        <v>1</v>
      </c>
      <c r="D56" s="888">
        <v>1</v>
      </c>
      <c r="E56" s="610">
        <f>'数据-汇总表'!E8+'数据-汇总表'!E9</f>
        <v>105642.12999999999</v>
      </c>
      <c r="F56" s="831" t="e">
        <f t="shared" ref="F56:F64" si="15">ROUND(B56*E56/10000,0)</f>
        <v>#DIV/0!</v>
      </c>
      <c r="G56" s="3411"/>
      <c r="H56" s="3400"/>
      <c r="I56" s="836">
        <v>1</v>
      </c>
      <c r="J56" s="839">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1886</v>
      </c>
      <c r="B57" s="210" t="e">
        <f>ROUND($C$48*C57*D57,0)</f>
        <v>#DIV/0!</v>
      </c>
      <c r="C57" s="163">
        <f t="shared" ref="C57:C64" si="16">IF($C$55="北京市系数",I57,J57)</f>
        <v>0.7</v>
      </c>
      <c r="D57" s="889">
        <v>0.25</v>
      </c>
      <c r="E57" s="614"/>
      <c r="F57" s="831" t="e">
        <f t="shared" si="15"/>
        <v>#DIV/0!</v>
      </c>
      <c r="G57" s="2747" t="s">
        <v>1887</v>
      </c>
      <c r="H57" s="832" t="str">
        <f>项目基本情况!B37</f>
        <v>一级</v>
      </c>
      <c r="I57" s="836">
        <f>SUMIF(修正!A57:A68,H57,修正!B57:B68)</f>
        <v>0.7</v>
      </c>
      <c r="J57" s="840"/>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1888</v>
      </c>
      <c r="B58" s="210" t="e">
        <f t="shared" ref="B58:B64" si="17">ROUND($C$48*C58*D58,0)</f>
        <v>#DIV/0!</v>
      </c>
      <c r="C58" s="163">
        <f t="shared" si="16"/>
        <v>0.4</v>
      </c>
      <c r="D58" s="889">
        <v>0.25</v>
      </c>
      <c r="E58" s="614"/>
      <c r="F58" s="831" t="e">
        <f t="shared" si="15"/>
        <v>#DIV/0!</v>
      </c>
      <c r="G58" s="2748"/>
      <c r="H58" s="832" t="str">
        <f>项目基本情况!B37</f>
        <v>一级</v>
      </c>
      <c r="I58" s="836">
        <f>SUMIF(修正!A57:A68,H58,修正!C57:C68)</f>
        <v>0.4</v>
      </c>
      <c r="J58" s="840"/>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1889</v>
      </c>
      <c r="B59" s="210" t="e">
        <f t="shared" si="17"/>
        <v>#DIV/0!</v>
      </c>
      <c r="C59" s="163">
        <f t="shared" si="16"/>
        <v>0.3</v>
      </c>
      <c r="D59" s="889">
        <v>0.25</v>
      </c>
      <c r="E59" s="614"/>
      <c r="F59" s="831" t="e">
        <f t="shared" si="15"/>
        <v>#DIV/0!</v>
      </c>
      <c r="G59" s="2748"/>
      <c r="H59" s="832" t="str">
        <f>项目基本情况!B37</f>
        <v>一级</v>
      </c>
      <c r="I59" s="836">
        <f>SUMIF(修正!A57:A68,H59,修正!D57:D68)</f>
        <v>0.3</v>
      </c>
      <c r="J59" s="840"/>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1890</v>
      </c>
      <c r="B60" s="210" t="e">
        <f t="shared" si="17"/>
        <v>#DIV/0!</v>
      </c>
      <c r="C60" s="163">
        <f t="shared" si="16"/>
        <v>0.3</v>
      </c>
      <c r="D60" s="889">
        <v>0.25</v>
      </c>
      <c r="E60" s="209">
        <f>'数据-汇总表'!E11</f>
        <v>0</v>
      </c>
      <c r="F60" s="831" t="e">
        <f t="shared" si="15"/>
        <v>#DIV/0!</v>
      </c>
      <c r="G60" s="1833" t="s">
        <v>1891</v>
      </c>
      <c r="H60" s="832" t="str">
        <f>项目基本情况!C37</f>
        <v>一级</v>
      </c>
      <c r="I60" s="836">
        <f>SUMIF(修正!A57:A68,H60,修正!E57:E68)</f>
        <v>0.3</v>
      </c>
      <c r="J60" s="840"/>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1892</v>
      </c>
      <c r="B61" s="210" t="e">
        <f t="shared" si="17"/>
        <v>#DIV/0!</v>
      </c>
      <c r="C61" s="163">
        <f t="shared" si="16"/>
        <v>0.3</v>
      </c>
      <c r="D61" s="889">
        <v>0.25</v>
      </c>
      <c r="E61" s="209">
        <f>'数据-汇总表'!E12</f>
        <v>0</v>
      </c>
      <c r="F61" s="831" t="e">
        <f t="shared" si="15"/>
        <v>#DIV/0!</v>
      </c>
      <c r="G61" s="837" t="s">
        <v>1893</v>
      </c>
      <c r="H61" s="832" t="str">
        <f>IF(G61="商业",项目基本情况!B37,IF(G61="办公",项目基本情况!C37,IF(G61="住宅",项目基本情况!D37,项目基本情况!E37)))</f>
        <v>一级</v>
      </c>
      <c r="I61" s="836">
        <f>SUMIF(修正!A57:A68,H61,修正!F57:F68)</f>
        <v>0.3</v>
      </c>
      <c r="J61" s="840"/>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1894</v>
      </c>
      <c r="B62" s="210" t="e">
        <f t="shared" si="17"/>
        <v>#DIV/0!</v>
      </c>
      <c r="C62" s="163">
        <f t="shared" si="16"/>
        <v>0</v>
      </c>
      <c r="D62" s="889">
        <v>0.25</v>
      </c>
      <c r="E62" s="209">
        <f>'数据-汇总表'!E13</f>
        <v>24473</v>
      </c>
      <c r="F62" s="831" t="e">
        <f t="shared" si="15"/>
        <v>#DIV/0!</v>
      </c>
      <c r="G62" s="837" t="s">
        <v>1895</v>
      </c>
      <c r="H62" s="832">
        <f>IF(G62="商业",项目基本情况!B37,IF(G62="办公",项目基本情况!C37,IF(G62="住宅",项目基本情况!D37,项目基本情况!E37)))</f>
        <v>0</v>
      </c>
      <c r="I62" s="836">
        <f>SUMIF(修正!A57:A68,H62,修正!G57:G68)</f>
        <v>0</v>
      </c>
      <c r="J62" s="840"/>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1896</v>
      </c>
      <c r="B63" s="210" t="e">
        <f t="shared" si="17"/>
        <v>#DIV/0!</v>
      </c>
      <c r="C63" s="163">
        <f t="shared" si="16"/>
        <v>0.2</v>
      </c>
      <c r="D63" s="889">
        <v>0.25</v>
      </c>
      <c r="E63" s="209">
        <f>'数据-汇总表'!E14</f>
        <v>0</v>
      </c>
      <c r="F63" s="831" t="e">
        <f t="shared" si="15"/>
        <v>#DIV/0!</v>
      </c>
      <c r="G63" s="1833" t="s">
        <v>1887</v>
      </c>
      <c r="H63" s="832" t="str">
        <f>项目基本情况!B37</f>
        <v>一级</v>
      </c>
      <c r="I63" s="836">
        <f>SUMIF(修正!A57:A68,H63,修正!G57:G68)</f>
        <v>0.2</v>
      </c>
      <c r="J63" s="840"/>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1897</v>
      </c>
      <c r="B64" s="210" t="e">
        <f t="shared" si="17"/>
        <v>#DIV/0!</v>
      </c>
      <c r="C64" s="163">
        <f t="shared" si="16"/>
        <v>0.2</v>
      </c>
      <c r="D64" s="889">
        <v>0.25</v>
      </c>
      <c r="E64" s="209">
        <f>'数据-汇总表'!E15</f>
        <v>0</v>
      </c>
      <c r="F64" s="831" t="e">
        <f t="shared" si="15"/>
        <v>#DIV/0!</v>
      </c>
      <c r="G64" s="1834" t="s">
        <v>1891</v>
      </c>
      <c r="H64" s="842" t="str">
        <f>项目基本情况!C37</f>
        <v>一级</v>
      </c>
      <c r="I64" s="838">
        <f>SUMIF(修正!A57:A68,H64,修正!G57:G68)</f>
        <v>0.2</v>
      </c>
      <c r="J64" s="841"/>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1898</v>
      </c>
      <c r="B65" s="616" t="s">
        <v>22</v>
      </c>
      <c r="C65" s="616" t="s">
        <v>23</v>
      </c>
      <c r="D65" s="616" t="s">
        <v>392</v>
      </c>
      <c r="E65" s="616">
        <f>IF(B46="楼面地价",SUM(E56:E64),'数据-汇总表'!D3)</f>
        <v>130115.12999999999</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59"/>
      <c r="K66" s="833"/>
      <c r="L66" s="834"/>
      <c r="M66" s="859"/>
      <c r="N66" s="859"/>
      <c r="O66" s="859"/>
      <c r="P66" s="2484"/>
      <c r="Q66" s="2484"/>
      <c r="R66" s="2484"/>
      <c r="S66" s="2484"/>
      <c r="T66" s="2484"/>
      <c r="U66" s="2484"/>
      <c r="V66" s="2484"/>
      <c r="W66" s="2484"/>
      <c r="X66" s="2484"/>
      <c r="Y66" s="2484"/>
      <c r="Z66" s="2484"/>
      <c r="AA66" s="2484"/>
      <c r="AB66" s="2484"/>
      <c r="AC66" s="2484"/>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4"/>
      <c r="Q67" s="2484"/>
      <c r="R67" s="2484"/>
      <c r="S67" s="2484"/>
      <c r="T67" s="2484"/>
      <c r="U67" s="2484"/>
      <c r="V67" s="2484"/>
      <c r="W67" s="2484"/>
      <c r="X67" s="2484"/>
      <c r="Y67" s="2484"/>
      <c r="Z67" s="2484"/>
      <c r="AA67" s="2484"/>
      <c r="AB67" s="2484"/>
      <c r="AC67" s="2484"/>
    </row>
    <row r="68" spans="1:29" ht="21.75" thickBot="1">
      <c r="A68" s="658" t="s">
        <v>1793</v>
      </c>
      <c r="B68" s="385"/>
      <c r="C68" s="659"/>
      <c r="D68" s="659"/>
      <c r="E68" s="659"/>
      <c r="F68" s="660"/>
      <c r="G68" s="660"/>
      <c r="H68" s="659"/>
      <c r="I68" s="659"/>
      <c r="J68" s="884"/>
      <c r="K68" s="885"/>
      <c r="L68" s="886"/>
      <c r="M68" s="884"/>
      <c r="N68" s="2534"/>
      <c r="O68" s="2534"/>
      <c r="P68" s="2534"/>
      <c r="Q68" s="2505"/>
      <c r="R68" s="2484"/>
      <c r="S68" s="2484"/>
      <c r="T68" s="2484"/>
      <c r="U68" s="2484"/>
      <c r="V68" s="2484"/>
      <c r="W68" s="2484"/>
      <c r="X68" s="2484"/>
      <c r="Y68" s="2484"/>
      <c r="Z68" s="2484"/>
      <c r="AA68" s="2484"/>
      <c r="AB68" s="2484"/>
      <c r="AC68" s="2484"/>
    </row>
    <row r="69" spans="1:29" s="442" customFormat="1" ht="15">
      <c r="A69" s="1628" t="s">
        <v>1899</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5" t="s">
        <v>1900</v>
      </c>
      <c r="B70" s="280" t="str">
        <f>"北京市平均增长率"&amp;TEXT(SUMIF('商业-基准地价修正'!N25:N29,A70,'商业-基准地价修正'!P25:P29),"0.00%")</f>
        <v>北京市平均增长率0.00%</v>
      </c>
      <c r="C70" s="530">
        <v>100</v>
      </c>
      <c r="D70" s="6"/>
      <c r="E70" s="6"/>
      <c r="F70" s="6"/>
      <c r="G70" s="6"/>
      <c r="H70" s="6"/>
      <c r="I70" s="6"/>
      <c r="J70" s="6"/>
      <c r="K70" s="6"/>
      <c r="L70" s="6"/>
      <c r="M70" s="1064"/>
      <c r="N70" s="6"/>
      <c r="O70" s="1096"/>
      <c r="P70" s="2505"/>
      <c r="Q70" s="2436"/>
      <c r="R70" s="2436"/>
      <c r="S70" s="2436"/>
      <c r="T70" s="2436"/>
      <c r="U70" s="2436"/>
      <c r="V70" s="2436"/>
      <c r="W70" s="2436"/>
      <c r="X70" s="2436"/>
      <c r="Y70" s="2436"/>
      <c r="Z70" s="2436"/>
      <c r="AA70" s="2436"/>
      <c r="AB70" s="2436"/>
      <c r="AC70" s="2436"/>
    </row>
    <row r="71" spans="1:29" s="102" customFormat="1" ht="15.75" thickBot="1">
      <c r="A71" s="449" t="s">
        <v>1711</v>
      </c>
      <c r="B71" s="450"/>
      <c r="C71" s="451"/>
      <c r="D71" s="452"/>
      <c r="E71" s="452"/>
      <c r="F71" s="452"/>
      <c r="G71" s="452"/>
      <c r="H71" s="452"/>
      <c r="I71" s="452"/>
      <c r="J71" s="452"/>
      <c r="K71" s="452"/>
      <c r="L71" s="452"/>
      <c r="M71" s="453"/>
      <c r="N71" s="452"/>
      <c r="O71" s="887"/>
      <c r="P71" s="2505"/>
      <c r="Q71" s="2505"/>
      <c r="R71" s="2436"/>
      <c r="S71" s="2436"/>
      <c r="T71" s="2436"/>
      <c r="U71" s="2436"/>
      <c r="V71" s="2436"/>
      <c r="W71" s="2436"/>
      <c r="X71" s="2436"/>
      <c r="Y71" s="2436"/>
      <c r="Z71" s="2436"/>
      <c r="AA71" s="2436"/>
      <c r="AB71" s="2436"/>
      <c r="AC71" s="2436"/>
    </row>
    <row r="72" spans="1:29" s="102" customFormat="1" ht="15">
      <c r="A72" s="455" t="s">
        <v>1676</v>
      </c>
      <c r="B72" s="444"/>
      <c r="C72" s="456" t="s">
        <v>1771</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1714</v>
      </c>
      <c r="B74" s="460" t="s">
        <v>1680</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1683</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1684</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1685</v>
      </c>
      <c r="B87" s="460" t="s">
        <v>1715</v>
      </c>
      <c r="C87" s="504" t="s">
        <v>1716</v>
      </c>
      <c r="D87" s="504" t="s">
        <v>1717</v>
      </c>
      <c r="E87" s="504" t="s">
        <v>1718</v>
      </c>
      <c r="F87" s="504" t="s">
        <v>1719</v>
      </c>
      <c r="G87" s="504" t="s">
        <v>1720</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1901</v>
      </c>
      <c r="C89" s="509" t="s">
        <v>1716</v>
      </c>
      <c r="D89" s="509" t="s">
        <v>1717</v>
      </c>
      <c r="E89" s="509" t="s">
        <v>1718</v>
      </c>
      <c r="F89" s="509" t="s">
        <v>1719</v>
      </c>
      <c r="G89" s="509" t="s">
        <v>1720</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1816</v>
      </c>
      <c r="C91" s="509" t="s">
        <v>1716</v>
      </c>
      <c r="D91" s="509" t="s">
        <v>1717</v>
      </c>
      <c r="E91" s="509" t="s">
        <v>1718</v>
      </c>
      <c r="F91" s="509" t="s">
        <v>1719</v>
      </c>
      <c r="G91" s="509" t="s">
        <v>1720</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1721</v>
      </c>
      <c r="C93" s="509" t="s">
        <v>1716</v>
      </c>
      <c r="D93" s="509" t="s">
        <v>1717</v>
      </c>
      <c r="E93" s="509" t="s">
        <v>1718</v>
      </c>
      <c r="F93" s="509" t="s">
        <v>1719</v>
      </c>
      <c r="G93" s="509" t="s">
        <v>1720</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1902</v>
      </c>
      <c r="C95" s="509" t="s">
        <v>1716</v>
      </c>
      <c r="D95" s="509" t="s">
        <v>1717</v>
      </c>
      <c r="E95" s="509" t="s">
        <v>1718</v>
      </c>
      <c r="F95" s="509" t="s">
        <v>1719</v>
      </c>
      <c r="G95" s="509" t="s">
        <v>1720</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1903</v>
      </c>
      <c r="C97" s="504" t="s">
        <v>1716</v>
      </c>
      <c r="D97" s="504" t="s">
        <v>1717</v>
      </c>
      <c r="E97" s="504" t="s">
        <v>1718</v>
      </c>
      <c r="F97" s="504" t="s">
        <v>1719</v>
      </c>
      <c r="G97" s="504" t="s">
        <v>1720</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1773</v>
      </c>
      <c r="C99" s="504" t="s">
        <v>1716</v>
      </c>
      <c r="D99" s="504" t="s">
        <v>1717</v>
      </c>
      <c r="E99" s="504" t="s">
        <v>1718</v>
      </c>
      <c r="F99" s="504" t="s">
        <v>1719</v>
      </c>
      <c r="G99" s="504" t="s">
        <v>1720</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1774</v>
      </c>
      <c r="C101" s="581" t="s">
        <v>1794</v>
      </c>
      <c r="D101" s="581" t="s">
        <v>1795</v>
      </c>
      <c r="E101" s="581" t="s">
        <v>1796</v>
      </c>
      <c r="F101" s="581" t="s">
        <v>1797</v>
      </c>
      <c r="G101" s="581" t="s">
        <v>1798</v>
      </c>
      <c r="H101" s="527"/>
      <c r="I101" s="527"/>
      <c r="J101" s="527"/>
      <c r="K101" s="527"/>
      <c r="L101" s="527"/>
      <c r="M101" s="1063"/>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1904</v>
      </c>
      <c r="D103" s="470" t="s">
        <v>1905</v>
      </c>
      <c r="E103" s="470" t="s">
        <v>1906</v>
      </c>
      <c r="F103" s="470" t="s">
        <v>1907</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1810</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1868</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1689</v>
      </c>
      <c r="B115" s="460" t="s">
        <v>1908</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1909</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1910</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1911</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1912</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8" priority="13" stopIfTrue="1">
      <formula>$F$51="超过30%"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F7:F45 H7:H45 J7:J45">
    <cfRule type="cellIs" dxfId="65" priority="1" operator="notEqual">
      <formula>100</formula>
    </cfRule>
  </conditionalFormatting>
  <conditionalFormatting sqref="F47">
    <cfRule type="expression" dxfId="64" priority="4">
      <formula>$D$47="简单平均"</formula>
    </cfRule>
  </conditionalFormatting>
  <conditionalFormatting sqref="F51:F53 H51:H53 J51:J53">
    <cfRule type="containsText" dxfId="63" priority="14" stopIfTrue="1" operator="containsText" text="超过">
      <formula>NOT(ISERROR(SEARCH("超过",F51)))</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G53">
    <cfRule type="expression" dxfId="60" priority="12" stopIfTrue="1">
      <formula>$H$53="超过30%"</formula>
    </cfRule>
  </conditionalFormatting>
  <conditionalFormatting sqref="H47">
    <cfRule type="expression" dxfId="59" priority="3">
      <formula>$D$47="简单平均"</formula>
    </cfRule>
  </conditionalFormatting>
  <conditionalFormatting sqref="I51">
    <cfRule type="expression" dxfId="58" priority="7" stopIfTrue="1">
      <formula>$J$51="超过30%"</formula>
    </cfRule>
  </conditionalFormatting>
  <conditionalFormatting sqref="I52">
    <cfRule type="expression" dxfId="57" priority="6" stopIfTrue="1">
      <formula>$J$52="超过20%"</formula>
    </cfRule>
  </conditionalFormatting>
  <conditionalFormatting sqref="I53">
    <cfRule type="expression" dxfId="56" priority="5" stopIfTrue="1">
      <formula>$J$53="超过30%"</formula>
    </cfRule>
  </conditionalFormatting>
  <conditionalFormatting sqref="J47">
    <cfRule type="expression" dxfId="5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1913</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t="e">
        <f>F61</f>
        <v>#DIV/0!</v>
      </c>
      <c r="C2" s="853"/>
      <c r="D2" s="853"/>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t="e">
        <f>ROUND(IF(D3="",B2*10000/'数据-汇总表'!E3,B2*10000/D3),0)</f>
        <v>#DIV/0!</v>
      </c>
      <c r="C3" s="195" t="s">
        <v>1864</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1764</v>
      </c>
      <c r="B4" s="346"/>
      <c r="C4" s="3415" t="s">
        <v>1765</v>
      </c>
      <c r="D4" s="3416"/>
      <c r="E4" s="3417" t="s">
        <v>1766</v>
      </c>
      <c r="F4" s="3418"/>
      <c r="G4" s="3415" t="s">
        <v>1767</v>
      </c>
      <c r="H4" s="3416"/>
      <c r="I4" s="3415" t="s">
        <v>1768</v>
      </c>
      <c r="J4" s="3416"/>
      <c r="K4" s="537" t="s">
        <v>1769</v>
      </c>
      <c r="L4" s="2483"/>
      <c r="M4" s="2484"/>
      <c r="N4" s="2484"/>
      <c r="O4" s="2484"/>
      <c r="P4" s="3419" t="s">
        <v>1770</v>
      </c>
      <c r="Q4" s="3420"/>
      <c r="R4" s="3425" t="s">
        <v>1766</v>
      </c>
      <c r="S4" s="3426"/>
      <c r="T4" s="3425" t="s">
        <v>1767</v>
      </c>
      <c r="U4" s="3426"/>
      <c r="V4" s="3401" t="s">
        <v>1768</v>
      </c>
      <c r="W4" s="3401"/>
      <c r="X4" s="1263"/>
      <c r="Y4" s="3425" t="s">
        <v>1770</v>
      </c>
      <c r="Z4" s="3426"/>
      <c r="AA4" s="3412" t="s">
        <v>1766</v>
      </c>
      <c r="AB4" s="3413" t="s">
        <v>1767</v>
      </c>
      <c r="AC4" s="3412" t="s">
        <v>1768</v>
      </c>
    </row>
    <row r="5" spans="1:29" ht="15">
      <c r="A5" s="348"/>
      <c r="B5" s="349"/>
      <c r="C5" s="3433" t="s">
        <v>1668</v>
      </c>
      <c r="D5" s="3434"/>
      <c r="E5" s="3440" t="s">
        <v>1669</v>
      </c>
      <c r="F5" s="3441"/>
      <c r="G5" s="3433" t="s">
        <v>1670</v>
      </c>
      <c r="H5" s="3434"/>
      <c r="I5" s="3433" t="s">
        <v>1671</v>
      </c>
      <c r="J5" s="3434"/>
      <c r="K5" s="537"/>
      <c r="L5" s="2483"/>
      <c r="M5" s="2484"/>
      <c r="N5" s="2484"/>
      <c r="O5" s="2484"/>
      <c r="P5" s="3421"/>
      <c r="Q5" s="3422"/>
      <c r="R5" s="3427"/>
      <c r="S5" s="3428"/>
      <c r="T5" s="3427"/>
      <c r="U5" s="3428"/>
      <c r="V5" s="3401"/>
      <c r="W5" s="3401"/>
      <c r="X5" s="1263"/>
      <c r="Y5" s="3427"/>
      <c r="Z5" s="3428"/>
      <c r="AA5" s="3413"/>
      <c r="AB5" s="3413"/>
      <c r="AC5" s="3413"/>
    </row>
    <row r="6" spans="1:29" ht="15.75" thickBot="1">
      <c r="A6" s="350"/>
      <c r="B6" s="351"/>
      <c r="C6" s="3462" t="s">
        <v>1914</v>
      </c>
      <c r="D6" s="3463"/>
      <c r="E6" s="3464" t="s">
        <v>1914</v>
      </c>
      <c r="F6" s="3465"/>
      <c r="G6" s="3462" t="s">
        <v>1914</v>
      </c>
      <c r="H6" s="3463"/>
      <c r="I6" s="3462" t="s">
        <v>1914</v>
      </c>
      <c r="J6" s="3463"/>
      <c r="K6" s="537" t="s">
        <v>1673</v>
      </c>
      <c r="L6" s="2483"/>
      <c r="M6" s="2484"/>
      <c r="N6" s="2484"/>
      <c r="O6" s="2484"/>
      <c r="P6" s="3423"/>
      <c r="Q6" s="3424"/>
      <c r="R6" s="3427"/>
      <c r="S6" s="3428"/>
      <c r="T6" s="3429"/>
      <c r="U6" s="3430"/>
      <c r="V6" s="3401"/>
      <c r="W6" s="3401"/>
      <c r="X6" s="1263"/>
      <c r="Y6" s="3429"/>
      <c r="Z6" s="3430"/>
      <c r="AA6" s="3414"/>
      <c r="AB6" s="3414"/>
      <c r="AC6" s="3414"/>
    </row>
    <row r="7" spans="1:29" s="102" customFormat="1" ht="15.75" thickBot="1">
      <c r="A7" s="352" t="s">
        <v>1674</v>
      </c>
      <c r="B7" s="353"/>
      <c r="C7" s="354">
        <f>'数据-取费表'!B2</f>
        <v>45804</v>
      </c>
      <c r="D7" s="355">
        <v>100</v>
      </c>
      <c r="E7" s="356"/>
      <c r="F7" s="357">
        <f>SUMIF(65:65,YEAR(E7)&amp;"-"&amp;INT((MONTH(E7)+2)/3),66:66)</f>
        <v>0</v>
      </c>
      <c r="G7" s="1820"/>
      <c r="H7" s="355">
        <f>SUMIF(65:65,YEAR(G7)&amp;"-"&amp;INT((MONTH(G7)+2)/3),66:66)</f>
        <v>0</v>
      </c>
      <c r="I7" s="1820"/>
      <c r="J7" s="355">
        <f>SUMIF(65:65,YEAR(I7)&amp;"-"&amp;INT((MONTH(I7)+2)/3),66:66)</f>
        <v>0</v>
      </c>
      <c r="K7" s="38"/>
      <c r="L7" s="2485"/>
      <c r="M7" s="2436"/>
      <c r="N7" s="2436"/>
      <c r="O7" s="2436"/>
      <c r="P7" s="3435" t="s">
        <v>1675</v>
      </c>
      <c r="Q7" s="3437"/>
      <c r="R7" s="664" t="s">
        <v>14</v>
      </c>
      <c r="S7" s="665">
        <f t="shared" ref="S7:S15" si="0">F7</f>
        <v>0</v>
      </c>
      <c r="T7" s="664" t="s">
        <v>14</v>
      </c>
      <c r="U7" s="665">
        <f t="shared" ref="U7:U15" si="1">H7</f>
        <v>0</v>
      </c>
      <c r="V7" s="664" t="s">
        <v>14</v>
      </c>
      <c r="W7" s="665">
        <f t="shared" ref="W7:W15" si="2">J7</f>
        <v>0</v>
      </c>
      <c r="X7" s="666"/>
      <c r="Y7" s="3435" t="s">
        <v>1675</v>
      </c>
      <c r="Z7" s="3436"/>
      <c r="AA7" s="50" t="e">
        <f>D7/F7</f>
        <v>#DIV/0!</v>
      </c>
      <c r="AB7" s="50" t="e">
        <f>D7/H7</f>
        <v>#DIV/0!</v>
      </c>
      <c r="AC7" s="50" t="e">
        <f>D7/J7</f>
        <v>#DIV/0!</v>
      </c>
    </row>
    <row r="8" spans="1:29" s="102" customFormat="1" ht="15.75" thickBot="1">
      <c r="A8" s="352" t="s">
        <v>1676</v>
      </c>
      <c r="B8" s="353"/>
      <c r="C8" s="358" t="s">
        <v>1677</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435" t="s">
        <v>1678</v>
      </c>
      <c r="Q8" s="3436"/>
      <c r="R8" s="664" t="s">
        <v>14</v>
      </c>
      <c r="S8" s="665">
        <f t="shared" si="0"/>
        <v>0</v>
      </c>
      <c r="T8" s="664" t="s">
        <v>14</v>
      </c>
      <c r="U8" s="665">
        <f t="shared" si="1"/>
        <v>0</v>
      </c>
      <c r="V8" s="664" t="s">
        <v>14</v>
      </c>
      <c r="W8" s="665">
        <f t="shared" si="2"/>
        <v>0</v>
      </c>
      <c r="X8" s="666"/>
      <c r="Y8" s="3435" t="s">
        <v>1678</v>
      </c>
      <c r="Z8" s="3436"/>
      <c r="AA8" s="50" t="e">
        <f t="shared" ref="AA8:AA40" si="3">D8/F8</f>
        <v>#DIV/0!</v>
      </c>
      <c r="AB8" s="50" t="e">
        <f t="shared" ref="AB8:AB40" si="4">D8/H8</f>
        <v>#DIV/0!</v>
      </c>
      <c r="AC8" s="50" t="e">
        <f t="shared" ref="AC8:AC40" si="5">D8/J8</f>
        <v>#DIV/0!</v>
      </c>
    </row>
    <row r="9" spans="1:29" s="102" customFormat="1">
      <c r="A9" s="359" t="s">
        <v>1679</v>
      </c>
      <c r="B9" s="60" t="s">
        <v>1680</v>
      </c>
      <c r="C9" s="1823"/>
      <c r="D9" s="59">
        <v>100</v>
      </c>
      <c r="E9" s="1823"/>
      <c r="F9" s="59">
        <f>SUMIF(70:70,E9,71:71)-SUMIF(70:70,C9,71:71)+100</f>
        <v>100</v>
      </c>
      <c r="G9" s="1823"/>
      <c r="H9" s="59">
        <f>SUMIF(70:70,G9,71:71)-SUMIF(70:70,C9,71:71)+100</f>
        <v>100</v>
      </c>
      <c r="I9" s="1823"/>
      <c r="J9" s="59">
        <f>SUMIF(70:70,I9,71:71)-SUMIF(70:70,C9,71:71)+100</f>
        <v>100</v>
      </c>
      <c r="K9" s="38"/>
      <c r="L9" s="2485"/>
      <c r="M9" s="2436"/>
      <c r="N9" s="2436"/>
      <c r="O9" s="2537"/>
      <c r="P9" s="3400" t="s">
        <v>1681</v>
      </c>
      <c r="Q9" s="530" t="str">
        <f t="shared" ref="Q9:Q15" si="6">B9</f>
        <v>用途</v>
      </c>
      <c r="R9" s="664" t="s">
        <v>14</v>
      </c>
      <c r="S9" s="665">
        <f t="shared" si="0"/>
        <v>100</v>
      </c>
      <c r="T9" s="664" t="s">
        <v>14</v>
      </c>
      <c r="U9" s="665">
        <f t="shared" si="1"/>
        <v>100</v>
      </c>
      <c r="V9" s="664" t="s">
        <v>14</v>
      </c>
      <c r="W9" s="665">
        <f t="shared" si="2"/>
        <v>100</v>
      </c>
      <c r="X9" s="666"/>
      <c r="Y9" s="3275" t="s">
        <v>1682</v>
      </c>
      <c r="Z9" s="50" t="str">
        <f t="shared" ref="Z9:Z15" si="7">Q9</f>
        <v>用途</v>
      </c>
      <c r="AA9" s="50">
        <f t="shared" si="3"/>
        <v>1</v>
      </c>
      <c r="AB9" s="50">
        <f t="shared" si="4"/>
        <v>1</v>
      </c>
      <c r="AC9" s="50">
        <f t="shared" si="5"/>
        <v>1</v>
      </c>
    </row>
    <row r="10" spans="1:29" s="366" customFormat="1" ht="27">
      <c r="A10" s="363"/>
      <c r="B10" s="364" t="s">
        <v>1683</v>
      </c>
      <c r="C10" s="371"/>
      <c r="D10" s="119">
        <v>100</v>
      </c>
      <c r="E10" s="371"/>
      <c r="F10" s="119">
        <f>ROUND(100/'数据-取费表'!G16,0)</f>
        <v>123</v>
      </c>
      <c r="G10" s="371"/>
      <c r="H10" s="119">
        <f>ROUND(100/'数据-取费表'!G16,0)</f>
        <v>123</v>
      </c>
      <c r="I10" s="371"/>
      <c r="J10" s="119">
        <f>ROUND(100/'数据-取费表'!G16,0)</f>
        <v>123</v>
      </c>
      <c r="K10" s="592"/>
      <c r="L10" s="2486"/>
      <c r="M10" s="2487"/>
      <c r="N10" s="2487"/>
      <c r="O10" s="2538"/>
      <c r="P10" s="3400"/>
      <c r="Q10" s="530" t="str">
        <f t="shared" si="6"/>
        <v>土地使用年限（年）</v>
      </c>
      <c r="R10" s="664" t="s">
        <v>14</v>
      </c>
      <c r="S10" s="665">
        <f t="shared" si="0"/>
        <v>123</v>
      </c>
      <c r="T10" s="664" t="s">
        <v>14</v>
      </c>
      <c r="U10" s="665">
        <f t="shared" si="1"/>
        <v>123</v>
      </c>
      <c r="V10" s="664" t="s">
        <v>14</v>
      </c>
      <c r="W10" s="665">
        <f t="shared" si="2"/>
        <v>123</v>
      </c>
      <c r="X10" s="666"/>
      <c r="Y10" s="3275"/>
      <c r="Z10" s="50" t="str">
        <f t="shared" si="7"/>
        <v>土地使用年限（年）</v>
      </c>
      <c r="AA10" s="50">
        <f t="shared" si="3"/>
        <v>0.81300813008130079</v>
      </c>
      <c r="AB10" s="50">
        <f t="shared" si="4"/>
        <v>0.81300813008130079</v>
      </c>
      <c r="AC10" s="50">
        <f t="shared" si="5"/>
        <v>0.81300813008130079</v>
      </c>
    </row>
    <row r="11" spans="1:29" ht="15">
      <c r="A11" s="367"/>
      <c r="B11" s="364" t="s">
        <v>1684</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00"/>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15">
      <c r="A15" s="379" t="s">
        <v>1685</v>
      </c>
      <c r="B15" s="554" t="s">
        <v>1915</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02" t="s">
        <v>1686</v>
      </c>
      <c r="Q15" s="1261" t="str">
        <f t="shared" si="6"/>
        <v>产业集聚程度</v>
      </c>
      <c r="R15" s="667" t="s">
        <v>14</v>
      </c>
      <c r="S15" s="668">
        <f t="shared" si="0"/>
        <v>100</v>
      </c>
      <c r="T15" s="667" t="s">
        <v>14</v>
      </c>
      <c r="U15" s="668">
        <f t="shared" si="1"/>
        <v>100</v>
      </c>
      <c r="V15" s="667" t="s">
        <v>14</v>
      </c>
      <c r="W15" s="668">
        <f t="shared" si="2"/>
        <v>100</v>
      </c>
      <c r="X15" s="1263"/>
      <c r="Y15" s="3402" t="s">
        <v>1686</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9"/>
      <c r="M16" s="2484"/>
      <c r="N16" s="2484"/>
      <c r="O16" s="2539"/>
      <c r="P16" s="3403"/>
      <c r="Q16" s="1261"/>
      <c r="R16" s="667"/>
      <c r="S16" s="668"/>
      <c r="T16" s="667"/>
      <c r="U16" s="668"/>
      <c r="V16" s="667"/>
      <c r="W16" s="668"/>
      <c r="X16" s="1263"/>
      <c r="Y16" s="3403"/>
      <c r="Z16" s="1262"/>
      <c r="AA16" s="1262">
        <v>1</v>
      </c>
      <c r="AB16" s="1262">
        <v>1</v>
      </c>
      <c r="AC16" s="1262">
        <v>1</v>
      </c>
    </row>
    <row r="17" spans="1:29" ht="15">
      <c r="A17" s="367"/>
      <c r="B17" s="556" t="s">
        <v>1828</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03"/>
      <c r="Q17" s="1261" t="str">
        <f>B17</f>
        <v>交通便捷度</v>
      </c>
      <c r="R17" s="667" t="s">
        <v>14</v>
      </c>
      <c r="S17" s="668">
        <f>F17</f>
        <v>100</v>
      </c>
      <c r="T17" s="667" t="s">
        <v>14</v>
      </c>
      <c r="U17" s="668">
        <f>H17</f>
        <v>100</v>
      </c>
      <c r="V17" s="667" t="s">
        <v>14</v>
      </c>
      <c r="W17" s="668">
        <f>J17</f>
        <v>100</v>
      </c>
      <c r="X17" s="1263"/>
      <c r="Y17" s="3403"/>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9"/>
      <c r="M18" s="2484"/>
      <c r="N18" s="2484"/>
      <c r="O18" s="2539"/>
      <c r="P18" s="3403"/>
      <c r="Q18" s="1261"/>
      <c r="R18" s="667"/>
      <c r="S18" s="668"/>
      <c r="T18" s="667"/>
      <c r="U18" s="668"/>
      <c r="V18" s="667"/>
      <c r="W18" s="668"/>
      <c r="X18" s="1263"/>
      <c r="Y18" s="3403"/>
      <c r="Z18" s="1262"/>
      <c r="AA18" s="1262">
        <v>1</v>
      </c>
      <c r="AB18" s="1262">
        <v>1</v>
      </c>
      <c r="AC18" s="1262">
        <v>1</v>
      </c>
    </row>
    <row r="19" spans="1:29" ht="15">
      <c r="A19" s="367"/>
      <c r="B19" s="556" t="s">
        <v>1866</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03"/>
      <c r="Q19" s="1261" t="str">
        <f t="shared" ref="Q19:Q33" si="8">B19</f>
        <v>区域土地利用方向</v>
      </c>
      <c r="R19" s="667" t="s">
        <v>14</v>
      </c>
      <c r="S19" s="668">
        <f>F19</f>
        <v>100</v>
      </c>
      <c r="T19" s="667" t="s">
        <v>14</v>
      </c>
      <c r="U19" s="668">
        <f>H19</f>
        <v>100</v>
      </c>
      <c r="V19" s="667" t="s">
        <v>14</v>
      </c>
      <c r="W19" s="668">
        <f>J19</f>
        <v>100</v>
      </c>
      <c r="X19" s="1263"/>
      <c r="Y19" s="3403"/>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89"/>
      <c r="M20" s="2484"/>
      <c r="N20" s="2484"/>
      <c r="O20" s="2539"/>
      <c r="P20" s="3403"/>
      <c r="Q20" s="1261"/>
      <c r="R20" s="667"/>
      <c r="S20" s="668"/>
      <c r="T20" s="667"/>
      <c r="U20" s="668"/>
      <c r="V20" s="667"/>
      <c r="W20" s="668"/>
      <c r="X20" s="1263"/>
      <c r="Y20" s="3403"/>
      <c r="Z20" s="1262"/>
      <c r="AA20" s="1262"/>
      <c r="AB20" s="1262"/>
      <c r="AC20" s="1262"/>
    </row>
    <row r="21" spans="1:29" ht="15">
      <c r="A21" s="348"/>
      <c r="B21" s="556" t="s">
        <v>1916</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03"/>
      <c r="Q21" s="1261" t="str">
        <f t="shared" si="8"/>
        <v>环境状况</v>
      </c>
      <c r="R21" s="667" t="s">
        <v>14</v>
      </c>
      <c r="S21" s="668">
        <f>F21</f>
        <v>100</v>
      </c>
      <c r="T21" s="667" t="s">
        <v>14</v>
      </c>
      <c r="U21" s="668">
        <f>H21</f>
        <v>100</v>
      </c>
      <c r="V21" s="667" t="s">
        <v>14</v>
      </c>
      <c r="W21" s="668">
        <f>J21</f>
        <v>100</v>
      </c>
      <c r="X21" s="1263"/>
      <c r="Y21" s="3403"/>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9"/>
      <c r="M22" s="2484"/>
      <c r="N22" s="2484"/>
      <c r="O22" s="2539"/>
      <c r="P22" s="3403"/>
      <c r="Q22" s="1261"/>
      <c r="R22" s="667"/>
      <c r="S22" s="668"/>
      <c r="T22" s="667"/>
      <c r="U22" s="668"/>
      <c r="V22" s="667"/>
      <c r="W22" s="668"/>
      <c r="X22" s="1263"/>
      <c r="Y22" s="3403"/>
      <c r="Z22" s="1262"/>
      <c r="AA22" s="1262">
        <v>1</v>
      </c>
      <c r="AB22" s="1262">
        <v>1</v>
      </c>
      <c r="AC22" s="1262">
        <v>1</v>
      </c>
    </row>
    <row r="23" spans="1:29" s="102" customFormat="1" ht="15">
      <c r="A23" s="443"/>
      <c r="B23" s="557" t="s">
        <v>1773</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5"/>
      <c r="M24" s="2436"/>
      <c r="N24" s="2436"/>
      <c r="O24" s="2537"/>
      <c r="P24" s="3403"/>
      <c r="Q24" s="530"/>
      <c r="R24" s="664"/>
      <c r="S24" s="665"/>
      <c r="T24" s="664"/>
      <c r="U24" s="665"/>
      <c r="V24" s="664"/>
      <c r="W24" s="665"/>
      <c r="X24" s="666"/>
      <c r="Y24" s="3403"/>
      <c r="Z24" s="50"/>
      <c r="AA24" s="50">
        <v>1</v>
      </c>
      <c r="AB24" s="50">
        <v>1</v>
      </c>
      <c r="AC24" s="50">
        <v>1</v>
      </c>
    </row>
    <row r="25" spans="1:29" s="102" customFormat="1" ht="15">
      <c r="A25" s="443"/>
      <c r="B25" s="557" t="s">
        <v>1774</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5"/>
      <c r="M26" s="2436"/>
      <c r="N26" s="2436"/>
      <c r="O26" s="2537"/>
      <c r="P26" s="3403"/>
      <c r="Q26" s="530"/>
      <c r="R26" s="664"/>
      <c r="S26" s="665"/>
      <c r="T26" s="664"/>
      <c r="U26" s="665"/>
      <c r="V26" s="664"/>
      <c r="W26" s="665"/>
      <c r="X26" s="666"/>
      <c r="Y26" s="3403"/>
      <c r="Z26" s="50"/>
      <c r="AA26" s="50">
        <v>1</v>
      </c>
      <c r="AB26" s="50">
        <v>1</v>
      </c>
      <c r="AC26" s="50">
        <v>1</v>
      </c>
    </row>
    <row r="27" spans="1:29" ht="15">
      <c r="A27" s="367"/>
      <c r="B27" s="401" t="s">
        <v>1775</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03"/>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03"/>
      <c r="Z27" s="1262" t="str">
        <f t="shared" ref="Z27:Z40" si="13">Q27</f>
        <v>临街状况</v>
      </c>
      <c r="AA27" s="1262">
        <f t="shared" si="3"/>
        <v>1</v>
      </c>
      <c r="AB27" s="1262">
        <f t="shared" si="4"/>
        <v>1</v>
      </c>
      <c r="AC27" s="1262">
        <f t="shared" si="5"/>
        <v>1</v>
      </c>
    </row>
    <row r="28" spans="1:29" ht="27">
      <c r="A28" s="367"/>
      <c r="B28" s="557" t="s">
        <v>1810</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03"/>
      <c r="Q28" s="1261" t="str">
        <f t="shared" si="8"/>
        <v>毗邻道路的类型与等级</v>
      </c>
      <c r="R28" s="667" t="s">
        <v>14</v>
      </c>
      <c r="S28" s="668">
        <f t="shared" si="10"/>
        <v>100</v>
      </c>
      <c r="T28" s="667" t="s">
        <v>14</v>
      </c>
      <c r="U28" s="668">
        <f t="shared" si="11"/>
        <v>100</v>
      </c>
      <c r="V28" s="667" t="s">
        <v>14</v>
      </c>
      <c r="W28" s="668">
        <f t="shared" si="12"/>
        <v>100</v>
      </c>
      <c r="X28" s="1263"/>
      <c r="Y28" s="3403"/>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9"/>
      <c r="M29" s="2484"/>
      <c r="N29" s="2484"/>
      <c r="O29" s="2539"/>
      <c r="P29" s="3403"/>
      <c r="Q29" s="1261"/>
      <c r="R29" s="667"/>
      <c r="S29" s="668"/>
      <c r="T29" s="667"/>
      <c r="U29" s="668"/>
      <c r="V29" s="667"/>
      <c r="W29" s="668"/>
      <c r="X29" s="1263"/>
      <c r="Y29" s="3403"/>
      <c r="Z29" s="1262"/>
      <c r="AA29" s="1262">
        <v>1</v>
      </c>
      <c r="AB29" s="1262">
        <v>1</v>
      </c>
      <c r="AC29" s="1262">
        <v>1</v>
      </c>
    </row>
    <row r="30" spans="1:29" ht="15">
      <c r="A30" s="367"/>
      <c r="B30" s="119" t="s">
        <v>1868</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03"/>
      <c r="Q30" s="1261" t="str">
        <f t="shared" si="8"/>
        <v>土地级别</v>
      </c>
      <c r="R30" s="667" t="s">
        <v>14</v>
      </c>
      <c r="S30" s="668">
        <f t="shared" si="10"/>
        <v>100</v>
      </c>
      <c r="T30" s="667" t="s">
        <v>14</v>
      </c>
      <c r="U30" s="668">
        <f t="shared" si="11"/>
        <v>100</v>
      </c>
      <c r="V30" s="667" t="s">
        <v>14</v>
      </c>
      <c r="W30" s="668">
        <f t="shared" si="12"/>
        <v>100</v>
      </c>
      <c r="X30" s="1263"/>
      <c r="Y30" s="3403"/>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03"/>
      <c r="Q31" s="1261">
        <f t="shared" si="8"/>
        <v>111</v>
      </c>
      <c r="R31" s="667" t="s">
        <v>14</v>
      </c>
      <c r="S31" s="668">
        <f t="shared" si="10"/>
        <v>100</v>
      </c>
      <c r="T31" s="667" t="s">
        <v>14</v>
      </c>
      <c r="U31" s="668">
        <f t="shared" si="11"/>
        <v>100</v>
      </c>
      <c r="V31" s="667" t="s">
        <v>14</v>
      </c>
      <c r="W31" s="668">
        <f t="shared" si="12"/>
        <v>100</v>
      </c>
      <c r="X31" s="1263"/>
      <c r="Y31" s="3403"/>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57" t="s">
        <v>1691</v>
      </c>
      <c r="Q32" s="1261">
        <f t="shared" si="8"/>
        <v>111</v>
      </c>
      <c r="R32" s="667" t="s">
        <v>14</v>
      </c>
      <c r="S32" s="668">
        <f t="shared" si="10"/>
        <v>100</v>
      </c>
      <c r="T32" s="667" t="s">
        <v>14</v>
      </c>
      <c r="U32" s="668">
        <f t="shared" si="11"/>
        <v>100</v>
      </c>
      <c r="V32" s="667" t="s">
        <v>14</v>
      </c>
      <c r="W32" s="668">
        <f t="shared" si="12"/>
        <v>100</v>
      </c>
      <c r="X32" s="1263"/>
      <c r="Y32" s="3407" t="s">
        <v>1691</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07"/>
      <c r="Q33" s="1261">
        <f t="shared" si="8"/>
        <v>111</v>
      </c>
      <c r="R33" s="669" t="s">
        <v>14</v>
      </c>
      <c r="S33" s="670">
        <f t="shared" si="10"/>
        <v>100</v>
      </c>
      <c r="T33" s="669" t="s">
        <v>14</v>
      </c>
      <c r="U33" s="670">
        <f t="shared" si="11"/>
        <v>100</v>
      </c>
      <c r="V33" s="669" t="s">
        <v>14</v>
      </c>
      <c r="W33" s="670">
        <f t="shared" si="12"/>
        <v>100</v>
      </c>
      <c r="X33" s="671"/>
      <c r="Y33" s="3407"/>
      <c r="Z33" s="672">
        <f t="shared" si="13"/>
        <v>111</v>
      </c>
      <c r="AA33" s="1262">
        <f t="shared" si="3"/>
        <v>1</v>
      </c>
      <c r="AB33" s="1262">
        <f t="shared" si="4"/>
        <v>1</v>
      </c>
      <c r="AC33" s="1262">
        <f t="shared" si="5"/>
        <v>1</v>
      </c>
    </row>
    <row r="34" spans="1:31" ht="15">
      <c r="A34" s="379" t="s">
        <v>1689</v>
      </c>
      <c r="B34" s="395" t="s">
        <v>1869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07"/>
      <c r="Q34" s="1261" t="str">
        <f>B34</f>
        <v>宗地面积</v>
      </c>
      <c r="R34" s="667" t="s">
        <v>14</v>
      </c>
      <c r="S34" s="668" t="e">
        <f t="shared" si="10"/>
        <v>#N/A</v>
      </c>
      <c r="T34" s="667" t="s">
        <v>14</v>
      </c>
      <c r="U34" s="668" t="e">
        <f t="shared" si="11"/>
        <v>#N/A</v>
      </c>
      <c r="V34" s="667" t="s">
        <v>14</v>
      </c>
      <c r="W34" s="668" t="e">
        <f t="shared" si="12"/>
        <v>#N/A</v>
      </c>
      <c r="X34" s="1263"/>
      <c r="Y34" s="3407"/>
      <c r="Z34" s="1262" t="str">
        <f t="shared" si="13"/>
        <v>宗地面积</v>
      </c>
      <c r="AA34" s="1262" t="e">
        <f t="shared" si="3"/>
        <v>#N/A</v>
      </c>
      <c r="AB34" s="1262" t="e">
        <f t="shared" si="4"/>
        <v>#N/A</v>
      </c>
      <c r="AC34" s="1262" t="e">
        <f t="shared" si="5"/>
        <v>#N/A</v>
      </c>
    </row>
    <row r="35" spans="1:31" ht="15">
      <c r="A35" s="409"/>
      <c r="B35" s="364" t="s">
        <v>1870</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9"/>
      <c r="M35" s="2484"/>
      <c r="N35" s="2484"/>
      <c r="O35" s="2539"/>
      <c r="P35" s="3407"/>
      <c r="Q35" s="1261" t="str">
        <f t="shared" ref="Q35:Q40" si="14">B35</f>
        <v>宗地形状</v>
      </c>
      <c r="R35" s="667" t="s">
        <v>14</v>
      </c>
      <c r="S35" s="668">
        <f t="shared" si="10"/>
        <v>100</v>
      </c>
      <c r="T35" s="667" t="s">
        <v>14</v>
      </c>
      <c r="U35" s="668">
        <f t="shared" si="11"/>
        <v>100</v>
      </c>
      <c r="V35" s="667" t="s">
        <v>14</v>
      </c>
      <c r="W35" s="668">
        <f t="shared" si="12"/>
        <v>100</v>
      </c>
      <c r="X35" s="1263"/>
      <c r="Y35" s="3407"/>
      <c r="Z35" s="1262" t="str">
        <f t="shared" si="13"/>
        <v>宗地形状</v>
      </c>
      <c r="AA35" s="1262">
        <f t="shared" si="3"/>
        <v>1</v>
      </c>
      <c r="AB35" s="1262">
        <f t="shared" si="4"/>
        <v>1</v>
      </c>
      <c r="AC35" s="1262">
        <f t="shared" si="5"/>
        <v>1</v>
      </c>
    </row>
    <row r="36" spans="1:31" s="102" customFormat="1" ht="15">
      <c r="A36" s="410"/>
      <c r="B36" s="364" t="s">
        <v>1872</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5"/>
      <c r="M36" s="2436"/>
      <c r="N36" s="2436"/>
      <c r="O36" s="2537"/>
      <c r="P36" s="3407"/>
      <c r="Q36" s="1261"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1873</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9"/>
      <c r="M37" s="2484"/>
      <c r="N37" s="2484"/>
      <c r="O37" s="2539"/>
      <c r="P37" s="3407" t="s">
        <v>1691</v>
      </c>
      <c r="Q37" s="1261" t="str">
        <f t="shared" si="14"/>
        <v>工程地质条件</v>
      </c>
      <c r="R37" s="667" t="s">
        <v>14</v>
      </c>
      <c r="S37" s="668">
        <f t="shared" si="10"/>
        <v>100</v>
      </c>
      <c r="T37" s="667" t="s">
        <v>14</v>
      </c>
      <c r="U37" s="668">
        <f t="shared" si="11"/>
        <v>100</v>
      </c>
      <c r="V37" s="667" t="s">
        <v>14</v>
      </c>
      <c r="W37" s="668">
        <f t="shared" si="12"/>
        <v>100</v>
      </c>
      <c r="X37" s="1263"/>
      <c r="Y37" s="3407" t="s">
        <v>1691</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07"/>
      <c r="Q38" s="1261">
        <f t="shared" si="14"/>
        <v>111</v>
      </c>
      <c r="R38" s="667" t="s">
        <v>14</v>
      </c>
      <c r="S38" s="668">
        <f t="shared" si="10"/>
        <v>100</v>
      </c>
      <c r="T38" s="667" t="s">
        <v>14</v>
      </c>
      <c r="U38" s="668">
        <f t="shared" si="11"/>
        <v>100</v>
      </c>
      <c r="V38" s="667" t="s">
        <v>14</v>
      </c>
      <c r="W38" s="668">
        <f t="shared" si="12"/>
        <v>100</v>
      </c>
      <c r="X38" s="1263"/>
      <c r="Y38" s="3407"/>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07"/>
      <c r="Q39" s="1261">
        <f t="shared" si="14"/>
        <v>111</v>
      </c>
      <c r="R39" s="667" t="s">
        <v>14</v>
      </c>
      <c r="S39" s="668">
        <f t="shared" si="10"/>
        <v>100</v>
      </c>
      <c r="T39" s="667" t="s">
        <v>14</v>
      </c>
      <c r="U39" s="668">
        <f t="shared" si="11"/>
        <v>100</v>
      </c>
      <c r="V39" s="667" t="s">
        <v>14</v>
      </c>
      <c r="W39" s="668">
        <f t="shared" si="12"/>
        <v>100</v>
      </c>
      <c r="X39" s="1263"/>
      <c r="Y39" s="3407"/>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07"/>
      <c r="Q40" s="1261">
        <f t="shared" si="14"/>
        <v>111</v>
      </c>
      <c r="R40" s="669" t="s">
        <v>14</v>
      </c>
      <c r="S40" s="670">
        <f t="shared" si="10"/>
        <v>100</v>
      </c>
      <c r="T40" s="669" t="s">
        <v>14</v>
      </c>
      <c r="U40" s="670">
        <f t="shared" si="11"/>
        <v>100</v>
      </c>
      <c r="V40" s="669" t="s">
        <v>14</v>
      </c>
      <c r="W40" s="670">
        <f t="shared" si="12"/>
        <v>100</v>
      </c>
      <c r="X40" s="671"/>
      <c r="Y40" s="3407"/>
      <c r="Z40" s="672">
        <f t="shared" si="13"/>
        <v>111</v>
      </c>
      <c r="AA40" s="1262">
        <f t="shared" si="3"/>
        <v>1</v>
      </c>
      <c r="AB40" s="1262">
        <f t="shared" si="4"/>
        <v>1</v>
      </c>
      <c r="AC40" s="1262">
        <f t="shared" si="5"/>
        <v>1</v>
      </c>
    </row>
    <row r="41" spans="1:31" ht="15">
      <c r="A41" s="416" t="s">
        <v>1839</v>
      </c>
      <c r="B41" s="1828" t="s">
        <v>1917</v>
      </c>
      <c r="C41" s="602" t="s">
        <v>0</v>
      </c>
      <c r="D41" s="418"/>
      <c r="E41" s="419"/>
      <c r="F41" s="420"/>
      <c r="G41" s="421"/>
      <c r="H41" s="422"/>
      <c r="I41" s="419"/>
      <c r="J41" s="422"/>
      <c r="K41" s="674"/>
      <c r="L41" s="2491"/>
      <c r="M41" s="2484"/>
      <c r="N41" s="2484"/>
      <c r="O41" s="2484"/>
      <c r="P41" s="3400" t="str">
        <f>A41</f>
        <v>成交单价</v>
      </c>
      <c r="Q41" s="3400"/>
      <c r="R41" s="3401">
        <f>E41</f>
        <v>0</v>
      </c>
      <c r="S41" s="3401"/>
      <c r="T41" s="3401">
        <f>G41</f>
        <v>0</v>
      </c>
      <c r="U41" s="3401"/>
      <c r="V41" s="3401">
        <f>I41</f>
        <v>0</v>
      </c>
      <c r="W41" s="3401"/>
      <c r="X41" s="385"/>
      <c r="Y41" s="673"/>
      <c r="Z41" s="385"/>
      <c r="AA41" s="385"/>
      <c r="AB41" s="385"/>
      <c r="AC41" s="385"/>
    </row>
    <row r="42" spans="1:31" ht="15.75" thickBot="1">
      <c r="A42" s="423" t="s">
        <v>1788</v>
      </c>
      <c r="B42" s="603"/>
      <c r="C42" s="426" t="e">
        <f>R43</f>
        <v>#DIV/0!</v>
      </c>
      <c r="D42" s="2139" t="s">
        <v>2133</v>
      </c>
      <c r="E42" s="426" t="e">
        <f>R42</f>
        <v>#DIV/0!</v>
      </c>
      <c r="F42" s="2140"/>
      <c r="G42" s="425" t="e">
        <f>T42</f>
        <v>#DIV/0!</v>
      </c>
      <c r="H42" s="2140"/>
      <c r="I42" s="426" t="e">
        <f>V42</f>
        <v>#DIV/0!</v>
      </c>
      <c r="J42" s="2140"/>
      <c r="K42" s="2142">
        <f>F42+H42+J42</f>
        <v>0</v>
      </c>
      <c r="L42" s="2491"/>
      <c r="M42" s="2484"/>
      <c r="N42" s="2484"/>
      <c r="O42" s="2484"/>
      <c r="P42" s="3400" t="str">
        <f>A42</f>
        <v>比较价值（元/平方米）</v>
      </c>
      <c r="Q42" s="3400"/>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75" thickBot="1">
      <c r="A43" s="427" t="s">
        <v>1789</v>
      </c>
      <c r="B43" s="428"/>
      <c r="C43" s="429" t="e">
        <f>R43</f>
        <v>#DIV/0!</v>
      </c>
      <c r="D43" s="429"/>
      <c r="E43" s="429"/>
      <c r="F43" s="429"/>
      <c r="G43" s="429"/>
      <c r="H43" s="429"/>
      <c r="I43" s="429"/>
      <c r="J43" s="429"/>
      <c r="K43" s="675"/>
      <c r="L43" s="2491"/>
      <c r="M43" s="2484"/>
      <c r="N43" s="2484"/>
      <c r="O43" s="2484"/>
      <c r="P43" s="3397" t="str">
        <f>A43</f>
        <v>估价对象XX用房的比较价值（楼面单价，元/平方米）</v>
      </c>
      <c r="Q43" s="3398"/>
      <c r="R43" s="3460" t="e">
        <f>ROUND(IF(D42="简单平均",AVERAGE(R42:W42),R42*F42+T42*H42+V42*J42),0)</f>
        <v>#DIV/0!</v>
      </c>
      <c r="S43" s="3460"/>
      <c r="T43" s="3460"/>
      <c r="U43" s="3460"/>
      <c r="V43" s="3460"/>
      <c r="W43" s="3460"/>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1876</v>
      </c>
      <c r="B50" s="605" t="s">
        <v>1877</v>
      </c>
      <c r="C50" s="1829" t="s">
        <v>1878</v>
      </c>
      <c r="D50" s="1830" t="s">
        <v>1879</v>
      </c>
      <c r="E50" s="606" t="s">
        <v>1880</v>
      </c>
      <c r="F50" s="607" t="s">
        <v>1881</v>
      </c>
      <c r="G50" s="3415" t="s">
        <v>1882</v>
      </c>
      <c r="H50" s="3461"/>
      <c r="I50" s="1262" t="s">
        <v>1918</v>
      </c>
      <c r="J50" s="1262">
        <f>项目基本情况!F35</f>
        <v>0</v>
      </c>
      <c r="K50" s="1832" t="s">
        <v>1884</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1885</v>
      </c>
      <c r="B51" s="609" t="e">
        <f>C43</f>
        <v>#DIV/0!</v>
      </c>
      <c r="C51" s="610">
        <v>1</v>
      </c>
      <c r="D51" s="888">
        <v>1</v>
      </c>
      <c r="E51" s="610">
        <f>'数据-汇总表'!E8+'数据-汇总表'!E9</f>
        <v>105642.12999999999</v>
      </c>
      <c r="F51" s="611" t="e">
        <f t="shared" ref="F51:F60" si="15">ROUND(B51*E51/10000,0)</f>
        <v>#DIV/0!</v>
      </c>
      <c r="G51" s="3411"/>
      <c r="H51" s="3400"/>
      <c r="I51" s="725">
        <v>1</v>
      </c>
      <c r="J51" s="725">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1886</v>
      </c>
      <c r="B52" s="210" t="e">
        <f>ROUND($C$43*C52*D52,0)</f>
        <v>#DIV/0!</v>
      </c>
      <c r="C52" s="163">
        <f t="shared" ref="C52:C60" si="16">IF($C$50="北京市系数",I52,J52)</f>
        <v>0.7</v>
      </c>
      <c r="D52" s="889">
        <v>0.25</v>
      </c>
      <c r="E52" s="614"/>
      <c r="F52" s="611" t="e">
        <f t="shared" si="15"/>
        <v>#DIV/0!</v>
      </c>
      <c r="G52" s="2747" t="s">
        <v>1887</v>
      </c>
      <c r="H52" s="832" t="str">
        <f>项目基本情况!B37</f>
        <v>一级</v>
      </c>
      <c r="I52" s="725">
        <f>SUMIF(修正!A57:A68,H52,修正!B57:B68)</f>
        <v>0.7</v>
      </c>
      <c r="J52" s="726"/>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1888</v>
      </c>
      <c r="B53" s="210" t="e">
        <f t="shared" ref="B53:B60" si="17">ROUND($C$43*C53*D53,0)</f>
        <v>#DIV/0!</v>
      </c>
      <c r="C53" s="163">
        <f t="shared" si="16"/>
        <v>0.4</v>
      </c>
      <c r="D53" s="889">
        <v>0.25</v>
      </c>
      <c r="E53" s="614"/>
      <c r="F53" s="611" t="e">
        <f t="shared" si="15"/>
        <v>#DIV/0!</v>
      </c>
      <c r="G53" s="2748"/>
      <c r="H53" s="832" t="str">
        <f>项目基本情况!B37</f>
        <v>一级</v>
      </c>
      <c r="I53" s="725">
        <f>SUMIF(修正!A57:A68,H53,修正!C57:C68)</f>
        <v>0.4</v>
      </c>
      <c r="J53" s="726"/>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1889</v>
      </c>
      <c r="B54" s="210" t="e">
        <f t="shared" si="17"/>
        <v>#DIV/0!</v>
      </c>
      <c r="C54" s="163">
        <f t="shared" si="16"/>
        <v>0.3</v>
      </c>
      <c r="D54" s="889">
        <v>0.25</v>
      </c>
      <c r="E54" s="614"/>
      <c r="F54" s="611" t="e">
        <f t="shared" si="15"/>
        <v>#DIV/0!</v>
      </c>
      <c r="G54" s="2748"/>
      <c r="H54" s="832" t="str">
        <f>项目基本情况!B37</f>
        <v>一级</v>
      </c>
      <c r="I54" s="725">
        <f>SUMIF(修正!A57:A68,H54,修正!D57:D68)</f>
        <v>0.3</v>
      </c>
      <c r="J54" s="726"/>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89"/>
      <c r="E55" s="614"/>
      <c r="F55" s="611"/>
      <c r="G55" s="2749"/>
      <c r="H55" s="832"/>
      <c r="I55" s="725"/>
      <c r="J55" s="726"/>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1890</v>
      </c>
      <c r="B56" s="210" t="e">
        <f t="shared" si="17"/>
        <v>#DIV/0!</v>
      </c>
      <c r="C56" s="163">
        <f t="shared" si="16"/>
        <v>0.3</v>
      </c>
      <c r="D56" s="889">
        <v>0.25</v>
      </c>
      <c r="E56" s="209">
        <f>'数据-汇总表'!E11</f>
        <v>0</v>
      </c>
      <c r="F56" s="611" t="e">
        <f t="shared" si="15"/>
        <v>#DIV/0!</v>
      </c>
      <c r="G56" s="1833" t="s">
        <v>1891</v>
      </c>
      <c r="H56" s="832" t="str">
        <f>项目基本情况!C37</f>
        <v>一级</v>
      </c>
      <c r="I56" s="725">
        <f>SUMIF(修正!A57:A68,H56,修正!E57:E68)</f>
        <v>0.3</v>
      </c>
      <c r="J56" s="726"/>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1892</v>
      </c>
      <c r="B57" s="210" t="e">
        <f t="shared" si="17"/>
        <v>#DIV/0!</v>
      </c>
      <c r="C57" s="163">
        <f t="shared" si="16"/>
        <v>0.3</v>
      </c>
      <c r="D57" s="889">
        <v>0.25</v>
      </c>
      <c r="E57" s="209">
        <f>'数据-汇总表'!E12</f>
        <v>0</v>
      </c>
      <c r="F57" s="611" t="e">
        <f t="shared" si="15"/>
        <v>#DIV/0!</v>
      </c>
      <c r="G57" s="837" t="s">
        <v>1893</v>
      </c>
      <c r="H57" s="832" t="str">
        <f>IF(G57="商业",项目基本情况!B37,IF(G57="办公",项目基本情况!C37,IF(G57="住宅",项目基本情况!D37,项目基本情况!E37)))</f>
        <v>一级</v>
      </c>
      <c r="I57" s="725">
        <f>SUMIF(修正!A57:A68,H57,修正!F57:F68)</f>
        <v>0.3</v>
      </c>
      <c r="J57" s="726"/>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1894</v>
      </c>
      <c r="B58" s="210" t="e">
        <f t="shared" si="17"/>
        <v>#DIV/0!</v>
      </c>
      <c r="C58" s="163">
        <f t="shared" si="16"/>
        <v>0</v>
      </c>
      <c r="D58" s="889">
        <v>0.25</v>
      </c>
      <c r="E58" s="209">
        <f>'数据-汇总表'!E13</f>
        <v>24473</v>
      </c>
      <c r="F58" s="611" t="e">
        <f t="shared" si="15"/>
        <v>#DIV/0!</v>
      </c>
      <c r="G58" s="837" t="s">
        <v>1895</v>
      </c>
      <c r="H58" s="832">
        <f>IF(G58="商业",项目基本情况!B37,IF(G58="办公",项目基本情况!C37,IF(G58="住宅",项目基本情况!D37,项目基本情况!E37)))</f>
        <v>0</v>
      </c>
      <c r="I58" s="725">
        <f>SUMIF(修正!A57:A68,H58,修正!G57:G68)</f>
        <v>0</v>
      </c>
      <c r="J58" s="726"/>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1896</v>
      </c>
      <c r="B59" s="210" t="e">
        <f t="shared" si="17"/>
        <v>#DIV/0!</v>
      </c>
      <c r="C59" s="163">
        <f t="shared" si="16"/>
        <v>0.2</v>
      </c>
      <c r="D59" s="889">
        <v>0.25</v>
      </c>
      <c r="E59" s="209">
        <f>'数据-汇总表'!E14</f>
        <v>0</v>
      </c>
      <c r="F59" s="611" t="e">
        <f t="shared" si="15"/>
        <v>#DIV/0!</v>
      </c>
      <c r="G59" s="1833" t="s">
        <v>1887</v>
      </c>
      <c r="H59" s="832" t="str">
        <f>项目基本情况!B37</f>
        <v>一级</v>
      </c>
      <c r="I59" s="725">
        <f>SUMIF(修正!A57:A68,H59,修正!G57:G68)</f>
        <v>0.2</v>
      </c>
      <c r="J59" s="726"/>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1897</v>
      </c>
      <c r="B60" s="210" t="e">
        <f t="shared" si="17"/>
        <v>#DIV/0!</v>
      </c>
      <c r="C60" s="163">
        <f t="shared" si="16"/>
        <v>0.2</v>
      </c>
      <c r="D60" s="889">
        <v>0.25</v>
      </c>
      <c r="E60" s="209">
        <f>'数据-汇总表'!E15</f>
        <v>0</v>
      </c>
      <c r="F60" s="611" t="e">
        <f t="shared" si="15"/>
        <v>#DIV/0!</v>
      </c>
      <c r="G60" s="1834" t="s">
        <v>1891</v>
      </c>
      <c r="H60" s="842" t="str">
        <f>项目基本情况!C37</f>
        <v>一级</v>
      </c>
      <c r="I60" s="725">
        <f>SUMIF(修正!A57:A68,H60,修正!G57:G68)</f>
        <v>0.2</v>
      </c>
      <c r="J60" s="726"/>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1898</v>
      </c>
      <c r="B61" s="616" t="s">
        <v>22</v>
      </c>
      <c r="C61" s="616" t="s">
        <v>23</v>
      </c>
      <c r="D61" s="616" t="s">
        <v>392</v>
      </c>
      <c r="E61" s="616">
        <f>IF(B41="楼面地价",SUM(E51:E60),'数据-汇总表'!D3)</f>
        <v>13767.47</v>
      </c>
      <c r="F61" s="617" t="e">
        <f>IF(B41="楼面地价",SUM(F51:F60),ROUND(C43*E61/10000,0))</f>
        <v>#DIV/0!</v>
      </c>
      <c r="G61" s="883"/>
      <c r="H61" s="883"/>
      <c r="I61" s="883"/>
      <c r="J61" s="883"/>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9"/>
      <c r="B62" s="873"/>
      <c r="C62" s="875"/>
      <c r="D62" s="859"/>
      <c r="E62" s="859"/>
      <c r="F62" s="859"/>
      <c r="G62" s="859"/>
      <c r="H62" s="859"/>
      <c r="I62" s="859"/>
      <c r="J62" s="859"/>
      <c r="K62" s="833"/>
      <c r="L62" s="834"/>
      <c r="M62" s="859"/>
      <c r="N62" s="859"/>
      <c r="O62" s="859"/>
      <c r="P62" s="2484"/>
      <c r="Q62" s="2484"/>
      <c r="R62" s="2484"/>
      <c r="S62" s="2484"/>
      <c r="T62" s="2484"/>
      <c r="U62" s="2484"/>
      <c r="V62" s="2484"/>
      <c r="W62" s="2484"/>
      <c r="X62" s="2484"/>
      <c r="Y62" s="2484"/>
      <c r="Z62" s="2484"/>
      <c r="AA62" s="2484"/>
      <c r="AB62" s="2484"/>
      <c r="AC62" s="2484"/>
      <c r="AD62" s="2484"/>
      <c r="AE62" s="2484"/>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4"/>
      <c r="Q63" s="2484"/>
      <c r="R63" s="2484"/>
      <c r="S63" s="2484"/>
      <c r="T63" s="2484"/>
      <c r="U63" s="2484"/>
      <c r="V63" s="2484"/>
      <c r="W63" s="2484"/>
      <c r="X63" s="2484"/>
      <c r="Y63" s="2484"/>
      <c r="Z63" s="2484"/>
      <c r="AA63" s="2484"/>
      <c r="AB63" s="2484"/>
      <c r="AC63" s="2484"/>
      <c r="AD63" s="2484"/>
      <c r="AE63" s="2484"/>
    </row>
    <row r="64" spans="1:31" ht="21.75" thickBot="1">
      <c r="A64" s="658" t="s">
        <v>1793</v>
      </c>
      <c r="B64" s="385"/>
      <c r="C64" s="659"/>
      <c r="D64" s="659"/>
      <c r="E64" s="659"/>
      <c r="F64" s="660"/>
      <c r="G64" s="660"/>
      <c r="H64" s="659"/>
      <c r="I64" s="659"/>
      <c r="J64" s="659"/>
      <c r="K64" s="661"/>
      <c r="L64" s="662"/>
      <c r="M64" s="659"/>
      <c r="N64" s="659"/>
      <c r="O64" s="884"/>
      <c r="P64" s="2534"/>
      <c r="Q64" s="2505"/>
      <c r="R64" s="2484"/>
      <c r="S64" s="2484"/>
      <c r="T64" s="2484"/>
      <c r="U64" s="2484"/>
      <c r="V64" s="2484"/>
      <c r="W64" s="2484"/>
      <c r="X64" s="2484"/>
      <c r="Y64" s="2484"/>
      <c r="Z64" s="2484"/>
      <c r="AA64" s="2484"/>
      <c r="AB64" s="2484"/>
      <c r="AC64" s="2484"/>
      <c r="AD64" s="2484"/>
      <c r="AE64" s="2484"/>
    </row>
    <row r="65" spans="1:31" s="442" customFormat="1" ht="15">
      <c r="A65" s="1628" t="s">
        <v>1899</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9" t="s">
        <v>1919</v>
      </c>
      <c r="B66" s="280" t="str">
        <f>"北京市平均增长率"&amp;TEXT('商业-基准地价修正'!P28,"0.00%")</f>
        <v>北京市平均增长率0.00%</v>
      </c>
      <c r="C66" s="530">
        <v>100</v>
      </c>
      <c r="D66" s="6"/>
      <c r="E66" s="6"/>
      <c r="F66" s="6"/>
      <c r="G66" s="6"/>
      <c r="H66" s="6"/>
      <c r="I66" s="6"/>
      <c r="J66" s="6"/>
      <c r="K66" s="6"/>
      <c r="L66" s="6"/>
      <c r="M66" s="1064"/>
      <c r="N66" s="1064"/>
      <c r="O66" s="1097"/>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1711</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1676</v>
      </c>
      <c r="B68" s="444"/>
      <c r="C68" s="456" t="s">
        <v>1771</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1714</v>
      </c>
      <c r="B70" s="460" t="s">
        <v>1680</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1683</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1685</v>
      </c>
      <c r="B83" s="460" t="s">
        <v>1824</v>
      </c>
      <c r="C83" s="504" t="s">
        <v>1716</v>
      </c>
      <c r="D83" s="504" t="s">
        <v>1717</v>
      </c>
      <c r="E83" s="504" t="s">
        <v>1718</v>
      </c>
      <c r="F83" s="504" t="s">
        <v>1719</v>
      </c>
      <c r="G83" s="504" t="s">
        <v>1720</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1721</v>
      </c>
      <c r="C85" s="509" t="s">
        <v>1716</v>
      </c>
      <c r="D85" s="509" t="s">
        <v>1717</v>
      </c>
      <c r="E85" s="509" t="s">
        <v>1718</v>
      </c>
      <c r="F85" s="509" t="s">
        <v>1719</v>
      </c>
      <c r="G85" s="509" t="s">
        <v>1720</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1902</v>
      </c>
      <c r="C87" s="504" t="s">
        <v>1716</v>
      </c>
      <c r="D87" s="504" t="s">
        <v>1717</v>
      </c>
      <c r="E87" s="504" t="s">
        <v>1718</v>
      </c>
      <c r="F87" s="504" t="s">
        <v>1719</v>
      </c>
      <c r="G87" s="504" t="s">
        <v>1720</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1903</v>
      </c>
      <c r="C89" s="504" t="s">
        <v>1716</v>
      </c>
      <c r="D89" s="504" t="s">
        <v>1717</v>
      </c>
      <c r="E89" s="504" t="s">
        <v>1718</v>
      </c>
      <c r="F89" s="504" t="s">
        <v>1719</v>
      </c>
      <c r="G89" s="504" t="s">
        <v>1720</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1773</v>
      </c>
      <c r="C91" s="504" t="s">
        <v>1716</v>
      </c>
      <c r="D91" s="504" t="s">
        <v>1717</v>
      </c>
      <c r="E91" s="504" t="s">
        <v>1718</v>
      </c>
      <c r="F91" s="504" t="s">
        <v>1719</v>
      </c>
      <c r="G91" s="504" t="s">
        <v>1720</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1920</v>
      </c>
      <c r="C93" s="581" t="s">
        <v>1794</v>
      </c>
      <c r="D93" s="581" t="s">
        <v>1795</v>
      </c>
      <c r="E93" s="581" t="s">
        <v>1796</v>
      </c>
      <c r="F93" s="581" t="s">
        <v>1797</v>
      </c>
      <c r="G93" s="581" t="s">
        <v>1798</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1904</v>
      </c>
      <c r="D95" s="470" t="s">
        <v>1905</v>
      </c>
      <c r="E95" s="470" t="s">
        <v>1906</v>
      </c>
      <c r="F95" s="470" t="s">
        <v>1907</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1810</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1868</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1689</v>
      </c>
      <c r="B107" s="460" t="s">
        <v>1908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1909</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1911</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1912</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54" priority="13" stopIfTrue="1">
      <formula>$F$46="超过30%"</formula>
    </cfRule>
  </conditionalFormatting>
  <conditionalFormatting sqref="E47">
    <cfRule type="expression" dxfId="53" priority="53" stopIfTrue="1">
      <formula>#REF!+$F$47="超过20%"</formula>
    </cfRule>
  </conditionalFormatting>
  <conditionalFormatting sqref="E48">
    <cfRule type="expression" dxfId="52" priority="10" stopIfTrue="1">
      <formula>$F$48="超过30%"</formula>
    </cfRule>
  </conditionalFormatting>
  <conditionalFormatting sqref="F7:F40 H7:H40 J7:J40">
    <cfRule type="cellIs" dxfId="51" priority="1" operator="notEqual">
      <formula>100</formula>
    </cfRule>
  </conditionalFormatting>
  <conditionalFormatting sqref="F42">
    <cfRule type="expression" dxfId="50" priority="4">
      <formula>$D$42="简单平均"</formula>
    </cfRule>
  </conditionalFormatting>
  <conditionalFormatting sqref="F46:F48 H46:H48 J46:J48">
    <cfRule type="containsText" dxfId="49" priority="14" stopIfTrue="1" operator="containsText" text="超过">
      <formula>NOT(ISERROR(SEARCH("超过",F46)))</formula>
    </cfRule>
  </conditionalFormatting>
  <conditionalFormatting sqref="G46">
    <cfRule type="expression" dxfId="48" priority="9" stopIfTrue="1">
      <formula>$H$46="超过30%"</formula>
    </cfRule>
  </conditionalFormatting>
  <conditionalFormatting sqref="G47">
    <cfRule type="expression" dxfId="47" priority="8" stopIfTrue="1">
      <formula>$H$47="超过20%"</formula>
    </cfRule>
  </conditionalFormatting>
  <conditionalFormatting sqref="G48">
    <cfRule type="expression" dxfId="46" priority="12" stopIfTrue="1">
      <formula>$H$48="超过30%"</formula>
    </cfRule>
  </conditionalFormatting>
  <conditionalFormatting sqref="H42">
    <cfRule type="expression" dxfId="45" priority="3">
      <formula>$D$42="简单平均"</formula>
    </cfRule>
  </conditionalFormatting>
  <conditionalFormatting sqref="I46">
    <cfRule type="expression" dxfId="44" priority="7" stopIfTrue="1">
      <formula>$J$46="超过30%"</formula>
    </cfRule>
  </conditionalFormatting>
  <conditionalFormatting sqref="I47">
    <cfRule type="expression" dxfId="43" priority="6" stopIfTrue="1">
      <formula>$J$47="超过20%"</formula>
    </cfRule>
  </conditionalFormatting>
  <conditionalFormatting sqref="I48">
    <cfRule type="expression" dxfId="42" priority="5" stopIfTrue="1">
      <formula>$J$48="超过30%"</formula>
    </cfRule>
  </conditionalFormatting>
  <conditionalFormatting sqref="J42">
    <cfRule type="expression" dxfId="4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2078</v>
      </c>
      <c r="C1" s="3469" t="s">
        <v>2079</v>
      </c>
      <c r="D1" s="3470"/>
      <c r="E1" s="3470"/>
      <c r="F1" s="3470"/>
      <c r="G1" s="3470"/>
      <c r="H1" s="3470"/>
      <c r="I1" s="3470"/>
      <c r="J1" s="3470"/>
      <c r="K1" s="3470"/>
      <c r="L1" s="3470"/>
      <c r="M1" s="3470"/>
      <c r="N1" s="3470"/>
      <c r="O1" s="3470"/>
      <c r="P1" s="3470"/>
      <c r="Q1" s="3470"/>
      <c r="R1" s="3470"/>
      <c r="S1" s="3471"/>
      <c r="T1" s="927" t="s">
        <v>2080</v>
      </c>
    </row>
    <row r="2" spans="1:45" s="625" customFormat="1">
      <c r="A2" s="928"/>
      <c r="B2" s="622" t="s">
        <v>2081</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2"/>
      <c r="G4" s="1222"/>
      <c r="H4" s="1222"/>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
        <v>2082</v>
      </c>
      <c r="C5" s="938"/>
      <c r="D5" s="939"/>
      <c r="E5" s="939"/>
      <c r="F5" s="1225"/>
      <c r="G5" s="1225"/>
      <c r="H5" s="1225"/>
      <c r="I5" s="1225"/>
      <c r="J5" s="1225"/>
      <c r="K5" s="1225"/>
      <c r="L5" s="1226"/>
      <c r="M5" s="1227"/>
      <c r="N5" s="1227"/>
      <c r="O5" s="1225"/>
      <c r="P5" s="1225"/>
      <c r="Q5" s="1225"/>
      <c r="R5" s="1225"/>
      <c r="S5" s="1228"/>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8" t="s">
        <v>2083</v>
      </c>
      <c r="C7" s="849"/>
      <c r="D7" s="843"/>
      <c r="E7" s="843"/>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t="s">
        <v>2084</v>
      </c>
      <c r="C9" s="849"/>
      <c r="D9" s="843"/>
      <c r="E9" s="843"/>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2085</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7" t="s">
        <v>2086</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2087</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2088</v>
      </c>
      <c r="B17" s="1985" t="s">
        <v>2089</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2090</v>
      </c>
      <c r="E19" s="1251"/>
      <c r="F19" s="1251"/>
      <c r="G19" s="1251"/>
      <c r="H19" s="994"/>
      <c r="I19" s="151"/>
      <c r="J19" s="151"/>
      <c r="K19" s="151"/>
      <c r="L19" s="151"/>
      <c r="M19" s="151"/>
      <c r="N19" s="151"/>
      <c r="O19" s="151"/>
      <c r="P19" s="151"/>
      <c r="Q19" s="151"/>
      <c r="R19" s="151"/>
      <c r="S19" s="121"/>
    </row>
    <row r="20" spans="1:45" ht="16.5" thickBot="1">
      <c r="A20" s="632" t="s">
        <v>2091</v>
      </c>
      <c r="B20" s="286" t="e">
        <f ca="1">IF(D20="——",S22,S22-F20)</f>
        <v>#REF!</v>
      </c>
      <c r="C20" s="151"/>
      <c r="D20" s="1987"/>
      <c r="E20" s="1252"/>
      <c r="F20" s="927" t="e">
        <f ca="1">SUMIF(INDIRECT("'"&amp;H20&amp;"'"&amp;"!A:A"),"承租人权益价值",INDIRECT("'"&amp;H20&amp;"'"&amp;"!c:c"))</f>
        <v>#REF!</v>
      </c>
      <c r="G20" s="927" t="s">
        <v>2092</v>
      </c>
      <c r="H20" s="1988"/>
      <c r="I20" s="151"/>
      <c r="J20" s="151"/>
      <c r="K20" s="151"/>
      <c r="L20" s="151"/>
      <c r="M20" s="151"/>
      <c r="N20" s="151"/>
      <c r="O20" s="151"/>
      <c r="P20" s="151"/>
      <c r="Q20" s="151"/>
      <c r="R20" s="151"/>
      <c r="S20" s="121"/>
    </row>
    <row r="21" spans="1:45" ht="15.75">
      <c r="A21" s="632" t="s">
        <v>2093</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2100</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3" t="s">
        <v>2076</v>
      </c>
      <c r="B1" s="4"/>
      <c r="C1" s="4"/>
      <c r="D1" s="4"/>
      <c r="E1" s="4"/>
      <c r="F1" s="2541"/>
      <c r="G1" s="2541"/>
      <c r="H1" s="2541"/>
      <c r="I1" s="2541"/>
      <c r="J1" s="2541"/>
      <c r="K1" s="2541"/>
      <c r="L1" s="2541"/>
      <c r="M1" s="2541"/>
      <c r="N1" s="2541"/>
      <c r="O1" s="2541"/>
      <c r="P1" s="2541"/>
    </row>
    <row r="2" spans="1:16" ht="15.75">
      <c r="A2" s="1982" t="s">
        <v>2068</v>
      </c>
      <c r="B2" s="2384">
        <f ca="1">SUMIF(B6:B13,"&lt;&gt;#ref!",B6:B13)</f>
        <v>0</v>
      </c>
      <c r="C2" s="1982" t="s">
        <v>2069</v>
      </c>
      <c r="D2" s="1982" t="s">
        <v>2070</v>
      </c>
      <c r="E2" s="2394">
        <f ca="1">SUMIF(E6:E13,"&lt;&gt;#ref!",E6:E13)</f>
        <v>0</v>
      </c>
      <c r="F2" s="2541"/>
      <c r="G2" s="2541"/>
      <c r="H2" s="2541"/>
      <c r="I2" s="2541"/>
      <c r="J2" s="2541"/>
      <c r="K2" s="2541"/>
      <c r="L2" s="2541"/>
      <c r="M2" s="2541"/>
      <c r="N2" s="2541"/>
      <c r="O2" s="2541"/>
      <c r="P2" s="2541"/>
    </row>
    <row r="3" spans="1:16" ht="15.75">
      <c r="A3" s="1982" t="s">
        <v>2071</v>
      </c>
      <c r="B3" s="2384" t="e">
        <f ca="1">ROUND(B2*10000/E2,0)</f>
        <v>#DIV/0!</v>
      </c>
      <c r="C3" s="1982" t="s">
        <v>2077</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2072</v>
      </c>
      <c r="B5" s="2392" t="s">
        <v>2073</v>
      </c>
      <c r="C5" s="1983"/>
      <c r="D5" s="2541"/>
      <c r="E5" s="2393" t="s">
        <v>2074</v>
      </c>
      <c r="F5" s="2541"/>
      <c r="G5" s="2541"/>
      <c r="H5" s="2541"/>
      <c r="I5" s="2541"/>
      <c r="J5" s="2541"/>
      <c r="K5" s="2541"/>
      <c r="L5" s="2541"/>
      <c r="M5" s="2541"/>
      <c r="N5" s="2541"/>
      <c r="O5" s="2541"/>
      <c r="P5" s="2541"/>
    </row>
    <row r="6" spans="1:16" ht="15.75">
      <c r="A6" s="2391" t="s">
        <v>2075</v>
      </c>
      <c r="B6" s="2384" t="e">
        <f ca="1">SUMIF(INDIRECT("'"&amp;A6&amp;"'"&amp;"!A:A"),"总价",INDIRECT("'"&amp;A6&amp;"'"&amp;"!B:B"))</f>
        <v>#REF!</v>
      </c>
      <c r="C6" s="1982" t="s">
        <v>2069</v>
      </c>
      <c r="D6" s="2541"/>
      <c r="E6" s="2394" t="e">
        <f ca="1">SUMIF(INDIRECT("'"&amp;A6&amp;"'"&amp;"!C:C"),"建筑面积",INDIRECT("'"&amp;A6&amp;"'"&amp;"!D:D"))</f>
        <v>#REF!</v>
      </c>
      <c r="F6" s="2541"/>
      <c r="G6" s="2541"/>
      <c r="H6" s="2541"/>
      <c r="I6" s="2541"/>
      <c r="J6" s="2541"/>
      <c r="K6" s="2541"/>
      <c r="L6" s="2541"/>
      <c r="M6" s="2541"/>
      <c r="N6" s="2541"/>
      <c r="O6" s="2541"/>
      <c r="P6" s="2541"/>
    </row>
    <row r="7" spans="1:16" ht="15.75">
      <c r="A7" s="2391"/>
      <c r="B7" s="2384" t="e">
        <f ca="1">SUMIF(INDIRECT("'"&amp;A7&amp;"'"&amp;"!A:A"),"总价",INDIRECT("'"&amp;A7&amp;"'"&amp;"!B:B"))</f>
        <v>#REF!</v>
      </c>
      <c r="C7" s="1982" t="s">
        <v>2069</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2" t="s">
        <v>2069</v>
      </c>
      <c r="D8" s="2541"/>
      <c r="E8" s="2394" t="e">
        <f t="shared" ca="1" si="0"/>
        <v>#REF!</v>
      </c>
      <c r="F8" s="2541"/>
      <c r="G8" s="2541"/>
      <c r="H8" s="2541"/>
      <c r="I8" s="2541"/>
      <c r="J8" s="2541"/>
      <c r="K8" s="2541"/>
      <c r="L8" s="2541"/>
      <c r="M8" s="2541"/>
      <c r="N8" s="2541"/>
      <c r="O8" s="2541"/>
      <c r="P8" s="2541"/>
    </row>
    <row r="9" spans="1:16" ht="15.75">
      <c r="A9" s="2391"/>
      <c r="B9" s="2384" t="e">
        <f t="shared" ca="1" si="1"/>
        <v>#REF!</v>
      </c>
      <c r="C9" s="1982" t="s">
        <v>2069</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2" t="s">
        <v>2069</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2" t="s">
        <v>2069</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2" t="s">
        <v>2069</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2" t="s">
        <v>2069</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AK122"/>
  <sheetViews>
    <sheetView view="pageBreakPreview" zoomScale="85" zoomScaleNormal="80" zoomScaleSheetLayoutView="85" workbookViewId="0">
      <selection activeCell="J10" sqref="J1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1921</v>
      </c>
      <c r="B1" s="189"/>
      <c r="C1" s="193" t="s">
        <v>1922</v>
      </c>
      <c r="D1" s="333">
        <f>SUM(D33:D34,D37:D42)</f>
        <v>19484.510000000002</v>
      </c>
      <c r="E1" s="1840"/>
      <c r="F1" s="1840"/>
      <c r="G1" s="1840"/>
      <c r="H1" s="1840"/>
      <c r="I1" s="1840"/>
      <c r="J1" s="1840"/>
      <c r="K1" s="1054"/>
      <c r="L1" s="1841" t="s">
        <v>1923</v>
      </c>
      <c r="M1" s="808">
        <f>SUMPRODUCT((区片价!B5:B9=I2)*(区片价!C3:G3=E2)*(区片价!C5:G9))</f>
        <v>36990</v>
      </c>
      <c r="N1" s="811">
        <f>SUMPRODUCT((因素修正幅度!B5:B9=I2)*(因素修正幅度!C3:G3=E2)*(因素修正幅度!C5:G9))</f>
        <v>9.8000000000000004E-2</v>
      </c>
      <c r="O1" s="1842"/>
      <c r="P1" s="1842"/>
      <c r="Q1" s="1054"/>
      <c r="R1" s="1127" t="s">
        <v>1924</v>
      </c>
      <c r="S1" s="1127" t="s">
        <v>1925</v>
      </c>
      <c r="T1" s="1127" t="s">
        <v>1926</v>
      </c>
      <c r="U1" s="1127" t="s">
        <v>1927</v>
      </c>
      <c r="V1" s="1127" t="s">
        <v>1928</v>
      </c>
      <c r="W1" s="1131"/>
      <c r="X1" s="1131"/>
      <c r="Y1" s="1131"/>
      <c r="Z1" s="1131"/>
      <c r="AA1" s="1131"/>
      <c r="AB1" s="1131"/>
      <c r="AC1" s="1132"/>
      <c r="AD1" s="1133"/>
      <c r="AE1" s="1133"/>
      <c r="AF1" s="1133"/>
      <c r="AG1" s="1133"/>
      <c r="AH1" s="1133"/>
      <c r="AI1" s="1133"/>
      <c r="AJ1" s="1134"/>
    </row>
    <row r="2" spans="1:36" ht="15.75">
      <c r="A2" s="193" t="s">
        <v>1929</v>
      </c>
      <c r="B2" s="196">
        <f>C30</f>
        <v>49057</v>
      </c>
      <c r="C2" s="1844" t="s">
        <v>1930</v>
      </c>
      <c r="D2" s="162" t="s">
        <v>1931</v>
      </c>
      <c r="E2" s="3117" t="s">
        <v>668</v>
      </c>
      <c r="F2" s="162" t="s">
        <v>1932</v>
      </c>
      <c r="G2" s="163" t="str">
        <f>IF(E2="商业",项目基本情况!B37,IF(E2="办公",项目基本情况!C37,IF(E2="住宅",项目基本情况!D37,IF(E2="工业",项目基本情况!E37,项目基本情况!F37))))</f>
        <v>一级</v>
      </c>
      <c r="H2" s="162" t="s">
        <v>1933</v>
      </c>
      <c r="I2" s="163" t="str">
        <f>IF(E2="商业",项目基本情况!B38,IF(E2="办公",项目基本情况!C38,IF(E2="住宅",项目基本情况!D38,IF(E2="工业",项目基本情况!E38,项目基本情况!F38))))</f>
        <v>Ⅰ—02</v>
      </c>
      <c r="J2" s="1840"/>
      <c r="K2" s="1054"/>
      <c r="L2" s="1845" t="s">
        <v>1934</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1.5206</v>
      </c>
      <c r="T2" s="3060">
        <f t="shared" ref="T2:T16" si="0">ROUND($C$5*$C$22*$C$23*$C$24*S2*$C$28,0)</f>
        <v>44638</v>
      </c>
      <c r="U2" s="1128"/>
      <c r="V2" s="3060">
        <f>ROUND(T2*U2/10000,0)</f>
        <v>0</v>
      </c>
      <c r="W2" s="1131"/>
      <c r="X2" s="1131"/>
      <c r="Y2" s="1131"/>
      <c r="Z2" s="1131"/>
      <c r="AA2" s="1131"/>
      <c r="AB2" s="1131"/>
      <c r="AC2" s="1132"/>
      <c r="AD2" s="1133"/>
      <c r="AE2" s="1133"/>
      <c r="AF2" s="1133"/>
      <c r="AG2" s="1133"/>
      <c r="AH2" s="1133"/>
      <c r="AI2" s="1133"/>
      <c r="AJ2" s="1134"/>
    </row>
    <row r="3" spans="1:36" ht="15.75">
      <c r="A3" s="195" t="s">
        <v>1935</v>
      </c>
      <c r="B3" s="196">
        <f>ROUND(B2*10000/D1,0)</f>
        <v>25177</v>
      </c>
      <c r="C3" s="1844" t="s">
        <v>1936</v>
      </c>
      <c r="D3" s="162" t="s">
        <v>1937</v>
      </c>
      <c r="E3" s="3115" t="s">
        <v>2425</v>
      </c>
      <c r="F3" s="1846" t="s">
        <v>3431</v>
      </c>
      <c r="G3" s="706">
        <f>IF(F3="宗地容积率",'数据-汇总表'!I4,IF(F3="估价对象容积率",'数据-汇总表'!I6,'数据-汇总表'!I7))</f>
        <v>7.67</v>
      </c>
      <c r="H3" s="162" t="s">
        <v>1938</v>
      </c>
      <c r="I3" s="727"/>
      <c r="J3" s="1840" t="s">
        <v>1939</v>
      </c>
      <c r="K3" s="1054"/>
      <c r="L3" s="1845" t="s">
        <v>1940</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1.2072000000000001</v>
      </c>
      <c r="T3" s="3060">
        <f t="shared" si="0"/>
        <v>35438</v>
      </c>
      <c r="U3" s="1128"/>
      <c r="V3" s="3060">
        <f t="shared" ref="V3:V16" si="1">ROUND(T3*U3/10000,0)</f>
        <v>0</v>
      </c>
      <c r="W3" s="1131"/>
      <c r="X3" s="1131"/>
      <c r="Y3" s="1131"/>
      <c r="Z3" s="1131"/>
      <c r="AA3" s="1131"/>
      <c r="AB3" s="1131"/>
      <c r="AC3" s="1132"/>
      <c r="AD3" s="1133"/>
      <c r="AE3" s="1133"/>
      <c r="AF3" s="1133"/>
      <c r="AG3" s="1133"/>
      <c r="AH3" s="1133"/>
      <c r="AI3" s="1133"/>
      <c r="AJ3" s="1134"/>
    </row>
    <row r="4" spans="1:36" ht="15.75">
      <c r="A4" s="3479"/>
      <c r="B4" s="3480"/>
      <c r="C4" s="3480"/>
      <c r="D4" s="3481"/>
      <c r="E4" s="3481"/>
      <c r="F4" s="3481"/>
      <c r="G4" s="3481"/>
      <c r="H4" s="3481"/>
      <c r="I4" s="3481"/>
      <c r="J4" s="3482"/>
      <c r="K4" s="1054"/>
      <c r="L4" s="1845" t="s">
        <v>1941</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1.0430999999999999</v>
      </c>
      <c r="T4" s="3060">
        <f t="shared" si="0"/>
        <v>30621</v>
      </c>
      <c r="U4" s="1128"/>
      <c r="V4" s="3060">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1942</v>
      </c>
      <c r="C5" s="707">
        <f>ROUND(IF(E2="商业",C6*C7*C17+C20,(IF(E2="住宅",C6*C13*C17+C20,IF(E2="办公",C6*C12*C17+C20,C6+C20)))),0)</f>
        <v>36990</v>
      </c>
      <c r="D5" s="1250">
        <f>ROUND(C6*C17+C20,0)</f>
        <v>36990</v>
      </c>
      <c r="E5" s="1250"/>
      <c r="F5" s="1849"/>
      <c r="G5" s="1850"/>
      <c r="H5" s="1850"/>
      <c r="I5" s="1850"/>
      <c r="J5" s="1851"/>
      <c r="K5" s="1852"/>
      <c r="L5" s="1845" t="s">
        <v>1943</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0.94389999999999996</v>
      </c>
      <c r="T5" s="3060">
        <f t="shared" si="0"/>
        <v>27709</v>
      </c>
      <c r="U5" s="1128"/>
      <c r="V5" s="3060">
        <f t="shared" si="1"/>
        <v>0</v>
      </c>
      <c r="W5" s="1131"/>
      <c r="X5" s="1131"/>
      <c r="Y5" s="1131"/>
      <c r="Z5" s="1131"/>
      <c r="AA5" s="1131"/>
      <c r="AB5" s="1131"/>
      <c r="AC5" s="1853"/>
      <c r="AD5" s="1854"/>
      <c r="AE5" s="1854"/>
      <c r="AF5" s="1854"/>
      <c r="AG5" s="1854"/>
      <c r="AH5" s="1854"/>
      <c r="AI5" s="1854"/>
      <c r="AJ5" s="1855"/>
    </row>
    <row r="6" spans="1:36" ht="15.75" thickBot="1">
      <c r="A6" s="1857" t="s">
        <v>1944</v>
      </c>
      <c r="B6" s="1858" t="s">
        <v>1945</v>
      </c>
      <c r="C6" s="708">
        <f>SUMIF(L1:L12,G2,M1:M12)</f>
        <v>36990</v>
      </c>
      <c r="D6" s="1859"/>
      <c r="E6" s="1860"/>
      <c r="F6" s="1860"/>
      <c r="G6" s="1861"/>
      <c r="H6" s="1861"/>
      <c r="I6" s="1861"/>
      <c r="J6" s="1862"/>
      <c r="K6" s="1290"/>
      <c r="L6" s="1845" t="s">
        <v>1946</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0.89959999999999996</v>
      </c>
      <c r="T6" s="3060">
        <f t="shared" si="0"/>
        <v>26408</v>
      </c>
      <c r="U6" s="1128"/>
      <c r="V6" s="3060">
        <f t="shared" si="1"/>
        <v>0</v>
      </c>
      <c r="W6" s="1131"/>
      <c r="X6" s="1131"/>
      <c r="Y6" s="1131"/>
      <c r="Z6" s="1131"/>
      <c r="AA6" s="1131"/>
      <c r="AB6" s="1131"/>
      <c r="AC6" s="1853"/>
      <c r="AD6" s="1854"/>
      <c r="AE6" s="1854"/>
      <c r="AF6" s="1854"/>
      <c r="AG6" s="1854"/>
      <c r="AH6" s="1854"/>
      <c r="AI6" s="1854"/>
      <c r="AJ6" s="1855"/>
    </row>
    <row r="7" spans="1:36" ht="24.75" thickBot="1">
      <c r="A7" s="3009" t="s">
        <v>3223</v>
      </c>
      <c r="B7" s="1863" t="s">
        <v>1947</v>
      </c>
      <c r="C7" s="709">
        <f>IF(C8="不临65条商业街",1,ROUND(1+(1.6*E8+1.2*E9+0.8*E10+0.4*E11)*C9,4))</f>
        <v>1</v>
      </c>
      <c r="D7" s="1864" t="s">
        <v>1948</v>
      </c>
      <c r="E7" s="728"/>
      <c r="F7" s="1865"/>
      <c r="G7" s="1866"/>
      <c r="H7" s="1866"/>
      <c r="I7" s="1866"/>
      <c r="J7" s="1867"/>
      <c r="K7" s="1290"/>
      <c r="L7" s="1845" t="s">
        <v>1949</v>
      </c>
      <c r="M7" s="809">
        <f>SUMPRODUCT((区片价!B190:B233=I2)*(区片价!C3:G3=E2)*(区片价!C190:G233))</f>
        <v>0</v>
      </c>
      <c r="N7" s="811">
        <f>SUMPRODUCT((因素修正幅度!B190:B233=I2)*(因素修正幅度!C3:G3=E2)*(因素修正幅度!C190:G233))</f>
        <v>0</v>
      </c>
      <c r="O7" s="1054"/>
      <c r="P7" s="1054"/>
      <c r="Q7" s="1054"/>
      <c r="R7" s="1127">
        <v>6</v>
      </c>
      <c r="S7" s="3114"/>
      <c r="T7" s="3060">
        <f t="shared" si="0"/>
        <v>0</v>
      </c>
      <c r="U7" s="1128"/>
      <c r="V7" s="3060">
        <f t="shared" si="1"/>
        <v>0</v>
      </c>
      <c r="W7" s="1265" t="s">
        <v>1950</v>
      </c>
      <c r="X7" s="1129" t="str">
        <f>G2</f>
        <v>一级</v>
      </c>
      <c r="Y7" s="1129" t="s">
        <v>1951</v>
      </c>
      <c r="Z7" s="1130">
        <f>G3</f>
        <v>7.67</v>
      </c>
      <c r="AA7" s="1131"/>
      <c r="AB7" s="1131"/>
      <c r="AC7" s="1132"/>
      <c r="AD7" s="1133"/>
      <c r="AE7" s="1133"/>
      <c r="AF7" s="1133"/>
      <c r="AG7" s="1133"/>
      <c r="AH7" s="1133"/>
      <c r="AI7" s="1133"/>
      <c r="AJ7" s="1134"/>
    </row>
    <row r="8" spans="1:36" ht="25.5">
      <c r="A8" s="3006"/>
      <c r="B8" s="162" t="s">
        <v>1952</v>
      </c>
      <c r="C8" s="1868" t="s">
        <v>3435</v>
      </c>
      <c r="D8" s="710" t="s">
        <v>112</v>
      </c>
      <c r="E8" s="711" t="e">
        <f>ROUND(C11/E7,4)</f>
        <v>#DIV/0!</v>
      </c>
      <c r="F8" s="1869" t="s">
        <v>1953</v>
      </c>
      <c r="G8" s="1870"/>
      <c r="H8" s="1870"/>
      <c r="I8" s="1870"/>
      <c r="J8" s="1871"/>
      <c r="K8" s="1054"/>
      <c r="L8" s="1845" t="s">
        <v>1954</v>
      </c>
      <c r="M8" s="809">
        <f>SUMPRODUCT((区片价!B234:B276=I2)*(区片价!C3:G3=E2)*(区片价!C234:G276))</f>
        <v>0</v>
      </c>
      <c r="N8" s="811">
        <f>SUMPRODUCT((因素修正幅度!B234:B276=I2)*(因素修正幅度!C3:G3=E2)*(因素修正幅度!C234:G276))</f>
        <v>0</v>
      </c>
      <c r="O8" s="1054"/>
      <c r="P8" s="1054"/>
      <c r="Q8" s="1054"/>
      <c r="R8" s="1127">
        <v>7</v>
      </c>
      <c r="S8" s="1128"/>
      <c r="T8" s="3060">
        <f t="shared" si="0"/>
        <v>0</v>
      </c>
      <c r="U8" s="1128"/>
      <c r="V8" s="3060">
        <f t="shared" si="1"/>
        <v>0</v>
      </c>
      <c r="W8" s="3476" t="s">
        <v>1955</v>
      </c>
      <c r="X8" s="3477"/>
      <c r="Y8" s="1135" t="s">
        <v>1956</v>
      </c>
      <c r="Z8" s="1135" t="s">
        <v>1957</v>
      </c>
      <c r="AA8" s="1135" t="s">
        <v>1958</v>
      </c>
      <c r="AB8" s="1135" t="s">
        <v>1959</v>
      </c>
      <c r="AC8" s="1135" t="s">
        <v>1960</v>
      </c>
      <c r="AD8" s="1135" t="s">
        <v>1961</v>
      </c>
      <c r="AE8" s="1135" t="s">
        <v>1962</v>
      </c>
      <c r="AF8" s="1135" t="s">
        <v>1963</v>
      </c>
      <c r="AG8" s="1135" t="s">
        <v>1964</v>
      </c>
      <c r="AH8" s="1135" t="s">
        <v>1965</v>
      </c>
      <c r="AI8" s="1135" t="s">
        <v>1966</v>
      </c>
      <c r="AJ8" s="1135" t="s">
        <v>1967</v>
      </c>
    </row>
    <row r="9" spans="1:36" ht="15">
      <c r="A9" s="3006"/>
      <c r="B9" s="162" t="s">
        <v>1968</v>
      </c>
      <c r="C9" s="712">
        <f>SUMIF(修正!C71:C138,C8,修正!E71:E138)</f>
        <v>0</v>
      </c>
      <c r="D9" s="163" t="s">
        <v>113</v>
      </c>
      <c r="E9" s="163" t="e">
        <f>ROUND(C11/E7,4)</f>
        <v>#DIV/0!</v>
      </c>
      <c r="F9" s="1869" t="s">
        <v>1969</v>
      </c>
      <c r="G9" s="1870"/>
      <c r="H9" s="1870"/>
      <c r="I9" s="1870"/>
      <c r="J9" s="1871"/>
      <c r="K9" s="1054"/>
      <c r="L9" s="1845" t="s">
        <v>1970</v>
      </c>
      <c r="M9" s="809">
        <f>SUMPRODUCT((区片价!B277:B326=I2)*(区片价!C3:G3=E2)*(区片价!C277:G326))</f>
        <v>0</v>
      </c>
      <c r="N9" s="811">
        <f>SUMPRODUCT((因素修正幅度!B277:B326=I2)*(因素修正幅度!C3:G3=E2)*(因素修正幅度!C277:G326))</f>
        <v>0</v>
      </c>
      <c r="O9" s="1054"/>
      <c r="P9" s="1054"/>
      <c r="Q9" s="1054"/>
      <c r="R9" s="1127">
        <v>8</v>
      </c>
      <c r="S9" s="1128"/>
      <c r="T9" s="3060">
        <f t="shared" si="0"/>
        <v>0</v>
      </c>
      <c r="U9" s="1128"/>
      <c r="V9" s="3060">
        <f t="shared" si="1"/>
        <v>0</v>
      </c>
      <c r="W9" s="3478"/>
      <c r="X9" s="3061" t="s">
        <v>3254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1971</v>
      </c>
      <c r="C10" s="163">
        <f>SUMIF(修正!C71:C138,C8,修正!F71:F138)</f>
        <v>0</v>
      </c>
      <c r="D10" s="163" t="s">
        <v>114</v>
      </c>
      <c r="E10" s="163" t="e">
        <f>ROUND(C11/E7,4)</f>
        <v>#DIV/0!</v>
      </c>
      <c r="F10" s="1869" t="s">
        <v>1972</v>
      </c>
      <c r="G10" s="1870"/>
      <c r="H10" s="1870"/>
      <c r="I10" s="1870"/>
      <c r="J10" s="1871"/>
      <c r="K10" s="1054"/>
      <c r="L10" s="1845" t="s">
        <v>1973</v>
      </c>
      <c r="M10" s="809">
        <f>SUMPRODUCT((区片价!B327:B357=I2)*(区片价!C3:G3=E2)*(区片价!C327:G357))</f>
        <v>0</v>
      </c>
      <c r="N10" s="811">
        <f>SUMPRODUCT((因素修正幅度!B327:B357=I2)*(因素修正幅度!C3:G3=E2)*(因素修正幅度!C327:G357))</f>
        <v>0</v>
      </c>
      <c r="O10" s="1054"/>
      <c r="P10" s="1054"/>
      <c r="Q10" s="1054"/>
      <c r="R10" s="1127">
        <v>9</v>
      </c>
      <c r="S10" s="1128"/>
      <c r="T10" s="3060">
        <f t="shared" si="0"/>
        <v>0</v>
      </c>
      <c r="U10" s="1128"/>
      <c r="V10" s="3060">
        <f t="shared" si="1"/>
        <v>0</v>
      </c>
      <c r="W10" s="347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2" t="s">
        <v>1974</v>
      </c>
      <c r="C11" s="713">
        <f>C10/4</f>
        <v>0</v>
      </c>
      <c r="D11" s="713" t="s">
        <v>115</v>
      </c>
      <c r="E11" s="713" t="e">
        <f>ROUND(C11/E7,4)</f>
        <v>#DIV/0!</v>
      </c>
      <c r="F11" s="1873" t="s">
        <v>1975</v>
      </c>
      <c r="G11" s="1874"/>
      <c r="H11" s="1874"/>
      <c r="I11" s="1874"/>
      <c r="J11" s="1875"/>
      <c r="K11" s="1054"/>
      <c r="L11" s="1845" t="s">
        <v>1976</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f t="shared" si="0"/>
        <v>0</v>
      </c>
      <c r="U11" s="1128"/>
      <c r="V11" s="3060">
        <f t="shared" si="1"/>
        <v>0</v>
      </c>
      <c r="W11" s="1131"/>
      <c r="X11" s="1131"/>
      <c r="Y11" s="1131"/>
      <c r="Z11" s="1131"/>
      <c r="AA11" s="1131"/>
      <c r="AB11" s="1131"/>
      <c r="AC11" s="1132"/>
      <c r="AD11" s="2550"/>
      <c r="AE11" s="2550"/>
      <c r="AF11" s="2550"/>
      <c r="AG11" s="2550"/>
      <c r="AH11" s="2550"/>
      <c r="AI11" s="2550"/>
      <c r="AJ11" s="2551"/>
    </row>
    <row r="12" spans="1:36" ht="25.5" thickBot="1">
      <c r="A12" s="3009" t="s">
        <v>3224</v>
      </c>
      <c r="B12" s="3010" t="s">
        <v>3225</v>
      </c>
      <c r="C12" s="3011"/>
      <c r="D12" s="3012" t="s">
        <v>3226</v>
      </c>
      <c r="E12" s="3013" t="s">
        <v>3227</v>
      </c>
      <c r="F12" s="3014"/>
      <c r="G12" s="3015"/>
      <c r="H12" s="3015"/>
      <c r="I12" s="3015"/>
      <c r="J12" s="3016"/>
      <c r="K12" s="1054"/>
      <c r="L12" s="1794" t="s">
        <v>1979</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f t="shared" si="0"/>
        <v>0</v>
      </c>
      <c r="U12" s="1128"/>
      <c r="V12" s="3060">
        <f t="shared" si="1"/>
        <v>0</v>
      </c>
      <c r="W12" s="1131"/>
      <c r="X12" s="1131"/>
      <c r="Y12" s="1131"/>
      <c r="Z12" s="1131"/>
      <c r="AA12" s="1131"/>
      <c r="AB12" s="1131"/>
      <c r="AC12" s="1132"/>
      <c r="AD12" s="2550"/>
      <c r="AE12" s="2550"/>
      <c r="AF12" s="2550"/>
      <c r="AG12" s="2550"/>
      <c r="AH12" s="2550"/>
      <c r="AI12" s="2550"/>
      <c r="AJ12" s="2551"/>
    </row>
    <row r="13" spans="1:36" ht="15.75" thickBot="1">
      <c r="A13" s="3009" t="s">
        <v>3228</v>
      </c>
      <c r="B13" s="1876" t="s">
        <v>1977</v>
      </c>
      <c r="C13" s="709">
        <f>ROUND(C16*D16*E16*F16*G16*H16*I16*J16,4)</f>
        <v>0</v>
      </c>
      <c r="D13" s="1877" t="s">
        <v>1978</v>
      </c>
      <c r="E13" s="1878"/>
      <c r="F13" s="1878"/>
      <c r="G13" s="1879"/>
      <c r="H13" s="1879"/>
      <c r="I13" s="1879"/>
      <c r="J13" s="1880"/>
      <c r="K13" s="1054"/>
      <c r="L13" s="3"/>
      <c r="M13" s="4"/>
      <c r="N13" s="3007"/>
      <c r="O13" s="1054"/>
      <c r="P13" s="1054"/>
      <c r="Q13" s="1054"/>
      <c r="R13" s="1127">
        <v>12</v>
      </c>
      <c r="S13" s="1128"/>
      <c r="T13" s="3060">
        <f t="shared" si="0"/>
        <v>0</v>
      </c>
      <c r="U13" s="1128"/>
      <c r="V13" s="3060">
        <f t="shared" si="1"/>
        <v>0</v>
      </c>
      <c r="W13" s="1131"/>
      <c r="X13" s="1131"/>
      <c r="Y13" s="1131"/>
      <c r="Z13" s="1131"/>
      <c r="AA13" s="1131"/>
      <c r="AB13" s="1131"/>
      <c r="AC13" s="1132"/>
      <c r="AD13" s="2550"/>
      <c r="AE13" s="2550"/>
      <c r="AF13" s="2550"/>
      <c r="AG13" s="2550"/>
      <c r="AH13" s="2550"/>
      <c r="AI13" s="2550"/>
      <c r="AJ13" s="2551"/>
    </row>
    <row r="14" spans="1:36" ht="15">
      <c r="A14" s="3005"/>
      <c r="B14" s="1881" t="s">
        <v>1980</v>
      </c>
      <c r="C14" s="1882" t="s">
        <v>1981</v>
      </c>
      <c r="D14" s="1259" t="s">
        <v>1982</v>
      </c>
      <c r="E14" s="27" t="s">
        <v>1983</v>
      </c>
      <c r="F14" s="3017" t="s">
        <v>3229</v>
      </c>
      <c r="G14" s="3017" t="s">
        <v>3229</v>
      </c>
      <c r="H14" s="3017" t="s">
        <v>3229</v>
      </c>
      <c r="I14" s="3017" t="s">
        <v>3229</v>
      </c>
      <c r="J14" s="3017" t="s">
        <v>3229</v>
      </c>
      <c r="K14" s="1054"/>
      <c r="L14" s="1054"/>
      <c r="M14" s="1054"/>
      <c r="N14" s="1054"/>
      <c r="O14" s="1054"/>
      <c r="P14" s="1054"/>
      <c r="Q14" s="1054"/>
      <c r="R14" s="1127">
        <v>13</v>
      </c>
      <c r="S14" s="1128"/>
      <c r="T14" s="3060">
        <f t="shared" si="0"/>
        <v>0</v>
      </c>
      <c r="U14" s="1128"/>
      <c r="V14" s="3060">
        <f t="shared" si="1"/>
        <v>0</v>
      </c>
      <c r="W14" s="1131"/>
      <c r="X14" s="1131"/>
      <c r="Y14" s="1131"/>
      <c r="Z14" s="1131"/>
      <c r="AA14" s="1131"/>
      <c r="AB14" s="1131"/>
      <c r="AC14" s="1132"/>
      <c r="AD14" s="2550"/>
      <c r="AE14" s="2550"/>
      <c r="AF14" s="2550"/>
      <c r="AG14" s="2550"/>
      <c r="AH14" s="2550"/>
      <c r="AI14" s="2550"/>
      <c r="AJ14" s="2551"/>
    </row>
    <row r="15" spans="1:36" ht="15">
      <c r="A15" s="3005"/>
      <c r="B15" s="1883"/>
      <c r="C15" s="1884"/>
      <c r="D15" s="1885"/>
      <c r="E15" s="1886"/>
      <c r="F15" s="1468" t="s">
        <v>3230</v>
      </c>
      <c r="G15" s="1926"/>
      <c r="H15" s="3018"/>
      <c r="I15" s="3019"/>
      <c r="J15" s="3020"/>
      <c r="K15" s="1054"/>
      <c r="L15" s="1054"/>
      <c r="M15" s="1054"/>
      <c r="N15" s="1054"/>
      <c r="O15" s="1054"/>
      <c r="P15" s="1054"/>
      <c r="Q15" s="1054"/>
      <c r="R15" s="1127">
        <v>14</v>
      </c>
      <c r="S15" s="1128"/>
      <c r="T15" s="3060">
        <f t="shared" si="0"/>
        <v>0</v>
      </c>
      <c r="U15" s="1128"/>
      <c r="V15" s="3060">
        <f t="shared" si="1"/>
        <v>0</v>
      </c>
      <c r="W15" s="1131"/>
      <c r="X15" s="1131"/>
      <c r="Y15" s="1131"/>
      <c r="Z15" s="1131"/>
      <c r="AA15" s="1131"/>
      <c r="AB15" s="1131"/>
      <c r="AC15" s="1132"/>
      <c r="AD15" s="2550"/>
      <c r="AE15" s="2550"/>
      <c r="AF15" s="2550"/>
      <c r="AG15" s="2550"/>
      <c r="AH15" s="2550"/>
      <c r="AI15" s="2550"/>
      <c r="AJ15" s="2551"/>
    </row>
    <row r="16" spans="1:36" ht="15.75" thickBot="1">
      <c r="A16" s="3005"/>
      <c r="B16" s="3023" t="s">
        <v>1984</v>
      </c>
      <c r="C16" s="3021"/>
      <c r="D16" s="3021"/>
      <c r="E16" s="3021"/>
      <c r="F16" s="3021">
        <v>1</v>
      </c>
      <c r="G16" s="3021">
        <v>1</v>
      </c>
      <c r="H16" s="3021">
        <v>1</v>
      </c>
      <c r="I16" s="3021">
        <v>1</v>
      </c>
      <c r="J16" s="3022">
        <v>1</v>
      </c>
      <c r="K16" s="1054"/>
      <c r="L16" s="1842"/>
      <c r="M16" s="1842"/>
      <c r="N16" s="1842"/>
      <c r="O16" s="1842"/>
      <c r="P16" s="1842"/>
      <c r="Q16" s="1054"/>
      <c r="R16" s="1127">
        <v>15</v>
      </c>
      <c r="S16" s="1128"/>
      <c r="T16" s="3060">
        <f t="shared" si="0"/>
        <v>0</v>
      </c>
      <c r="U16" s="1128"/>
      <c r="V16" s="3060">
        <f t="shared" si="1"/>
        <v>0</v>
      </c>
      <c r="W16" s="1131"/>
      <c r="X16" s="1131"/>
      <c r="Y16" s="1131"/>
      <c r="Z16" s="1131"/>
      <c r="AA16" s="1131"/>
      <c r="AB16" s="1131"/>
      <c r="AC16" s="1132"/>
      <c r="AD16" s="2550"/>
      <c r="AE16" s="2550"/>
      <c r="AF16" s="2550"/>
      <c r="AG16" s="2550"/>
      <c r="AH16" s="2550"/>
      <c r="AI16" s="2550"/>
      <c r="AJ16" s="2551"/>
    </row>
    <row r="17" spans="1:37">
      <c r="A17" s="3032" t="s">
        <v>3231</v>
      </c>
      <c r="B17" s="3024" t="s">
        <v>3232</v>
      </c>
      <c r="C17" s="3033">
        <f>ROUND(IF(OR(E2="工业",E2="公共服务"),1,IF(AND(E18=0,E19=0),1,IF(AND(E18=J24,E19=G19),0.8,IF(E19=0,1+E17*(-0.2),1+E17*G17*(-0.2))))),4)</f>
        <v>1</v>
      </c>
      <c r="D17" s="3025" t="s">
        <v>3233</v>
      </c>
      <c r="E17" s="3033">
        <f>ROUND(G18/I18,2)</f>
        <v>0</v>
      </c>
      <c r="F17" s="3025" t="s">
        <v>3236</v>
      </c>
      <c r="G17" s="3033" t="e">
        <f>ROUND(E19/G19,2)</f>
        <v>#DIV/0!</v>
      </c>
      <c r="H17" s="3033"/>
      <c r="I17" s="3033"/>
      <c r="J17" s="3034"/>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5"/>
      <c r="B18" s="2306"/>
      <c r="C18" s="3031"/>
      <c r="D18" s="3026" t="s">
        <v>3234</v>
      </c>
      <c r="E18" s="2353"/>
      <c r="F18" s="3027" t="s">
        <v>3237</v>
      </c>
      <c r="G18" s="3031">
        <f>ROUND(1-(1/(POWER(1+G24,E18))),4)</f>
        <v>0</v>
      </c>
      <c r="H18" s="3027" t="s">
        <v>3239</v>
      </c>
      <c r="I18" s="3031">
        <f>ROUND(1-(1/(POWER(1+G24,J24))),4)</f>
        <v>0.88249999999999995</v>
      </c>
      <c r="J18" s="3036"/>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9"/>
    </row>
    <row r="19" spans="1:37" s="1856" customFormat="1" ht="15" thickBot="1">
      <c r="A19" s="3037"/>
      <c r="B19" s="3038"/>
      <c r="C19" s="3039"/>
      <c r="D19" s="3039" t="s">
        <v>3235</v>
      </c>
      <c r="E19" s="3040"/>
      <c r="F19" s="3041" t="s">
        <v>3238</v>
      </c>
      <c r="G19" s="3040"/>
      <c r="H19" s="3039"/>
      <c r="I19" s="3039"/>
      <c r="J19" s="3042"/>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2"/>
      <c r="AH19" s="1978"/>
      <c r="AI19" s="561"/>
      <c r="AJ19" s="561"/>
      <c r="AK19" s="1897"/>
    </row>
    <row r="20" spans="1:37" s="1856" customFormat="1" ht="14.25">
      <c r="A20" s="3483" t="s">
        <v>3240</v>
      </c>
      <c r="B20" s="159" t="s">
        <v>1989</v>
      </c>
      <c r="C20" s="3028">
        <f>ROUND(IF(F21="与级别开发程度一致",0,(G21-E21)/C21),0)</f>
        <v>0</v>
      </c>
      <c r="D20" s="3043" t="s">
        <v>1993</v>
      </c>
      <c r="E20" s="3044"/>
      <c r="F20" s="3489" t="s">
        <v>1990</v>
      </c>
      <c r="G20" s="3490"/>
      <c r="H20" s="3029"/>
      <c r="I20" s="3029"/>
      <c r="J20" s="3030"/>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6" customFormat="1" ht="26.25" thickBot="1">
      <c r="A21" s="3484"/>
      <c r="B21" s="2000" t="s">
        <v>1992</v>
      </c>
      <c r="C21" s="2001">
        <f>IF(E3="M4科研用地",SUMPRODUCT((修正!A2:A7=E3)*(修正!B1:M1=G2)*(修正!B2:M7)),SUMPRODUCT((修正!A2:A7=E2)*(修正!B1:M1=G2)*(修正!B2:M7)))</f>
        <v>3.5</v>
      </c>
      <c r="D21" s="179" t="str">
        <f>IF(OR(G2="八级",G2="九级",G2="十级",G2="十一级",G2="十二级"),"五通一平","七通一平")</f>
        <v>七通一平</v>
      </c>
      <c r="E21" s="1991">
        <f>SUMPRODUCT((修正!B1:M1=G2)*(修正!B17:M17))</f>
        <v>375</v>
      </c>
      <c r="F21" s="1992" t="s">
        <v>3432</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6" customFormat="1" ht="15.75" thickBot="1">
      <c r="A22" s="1994" t="s">
        <v>363</v>
      </c>
      <c r="B22" s="1995" t="s">
        <v>1995</v>
      </c>
      <c r="C22" s="1996">
        <f>SUMIF(修正!C20:C51,E3,修正!E20:E51)</f>
        <v>1</v>
      </c>
      <c r="D22" s="1997"/>
      <c r="E22" s="1998"/>
      <c r="F22" s="1998"/>
      <c r="G22" s="1998"/>
      <c r="H22" s="1998"/>
      <c r="I22" s="1998"/>
      <c r="J22" s="1999"/>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90" t="s">
        <v>364</v>
      </c>
      <c r="B23" s="1891" t="s">
        <v>1996</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1997</v>
      </c>
      <c r="E23" s="715">
        <v>44197</v>
      </c>
      <c r="F23" s="1894" t="s">
        <v>1998</v>
      </c>
      <c r="G23" s="716">
        <f>'数据-取费表'!B2</f>
        <v>45804</v>
      </c>
      <c r="H23" s="3045" t="s">
        <v>3242</v>
      </c>
      <c r="I23" s="3046" t="str">
        <f>IF(H23="季度增幅（自定义）",SUMIF(N25:N28,E2,O25:O28),"")</f>
        <v/>
      </c>
      <c r="J23" s="3138" t="s">
        <v>3241</v>
      </c>
      <c r="K23" s="1059"/>
      <c r="L23" s="1895" t="s">
        <v>1999</v>
      </c>
      <c r="M23" s="1239">
        <f>ROUND(SUMIF(地价!B2:G2,E2,地价!B16:G16),0)</f>
        <v>350</v>
      </c>
      <c r="N23" s="1896" t="s">
        <v>2000</v>
      </c>
      <c r="O23" s="717">
        <f>ROUNDDOWN(DATEDIF(E23,G23,"M")/3,0)</f>
        <v>17</v>
      </c>
      <c r="P23" s="1055"/>
      <c r="Q23" s="2549"/>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2001</v>
      </c>
      <c r="C24" s="718">
        <f>ROUND(POWER(1+G24,J24-I24)*(POWER(1+G24,I24)-1)/(POWER(1+G24,J24)-1),4)</f>
        <v>0.72929999999999995</v>
      </c>
      <c r="D24" s="1900" t="s">
        <v>2002</v>
      </c>
      <c r="E24" s="1246">
        <f>存贷款利率!E28/100</f>
        <v>4.3499999999999997E-2</v>
      </c>
      <c r="F24" s="1900" t="s">
        <v>1994</v>
      </c>
      <c r="G24" s="722">
        <f>SUMIF(M30:Q30,E2,M33:Q33)</f>
        <v>5.5E-2</v>
      </c>
      <c r="H24" s="1900" t="s">
        <v>2003</v>
      </c>
      <c r="I24" s="723">
        <f>SUMIF('数据-取费表'!C6:C15,E2,'数据-取费表'!F6:F15)/COUNTIF('数据-取费表'!C6:C15,E2)</f>
        <v>19.27</v>
      </c>
      <c r="J24" s="724">
        <f>IF(E2="住宅",70,IF(E2="商业",40,50))</f>
        <v>40</v>
      </c>
      <c r="K24" s="1059"/>
      <c r="L24" s="1901" t="s">
        <v>2004</v>
      </c>
      <c r="M24" s="1240">
        <f>ROUND(SUMPRODUCT((地价!A4:A16=YEAR(G23)&amp;"-"&amp;ROUNDUP(MONTH(G23)/3,0))*(地价!B2:G2=E2)*(地价!B4:G16)),0)</f>
        <v>0</v>
      </c>
      <c r="N24" s="1902" t="s">
        <v>2005</v>
      </c>
      <c r="O24" s="1903" t="s">
        <v>2006</v>
      </c>
      <c r="P24" s="1904" t="s">
        <v>2007</v>
      </c>
      <c r="Q24" s="1842"/>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5" t="s">
        <v>366</v>
      </c>
      <c r="B25" s="1906" t="s">
        <v>3321</v>
      </c>
      <c r="C25" s="461">
        <f>IF(B25="容积率修正",IF(G3&lt;10,D26,J26),C27)</f>
        <v>0.91549999999999998</v>
      </c>
      <c r="D25" s="1907"/>
      <c r="E25" s="1907"/>
      <c r="F25" s="1907"/>
      <c r="G25" s="1907"/>
      <c r="H25" s="1907"/>
      <c r="I25" s="1907"/>
      <c r="J25" s="1908"/>
      <c r="K25" s="1059"/>
      <c r="L25" s="2549"/>
      <c r="M25" s="2549"/>
      <c r="N25" s="1909" t="s">
        <v>2008</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2009</v>
      </c>
      <c r="B26" s="1910" t="s">
        <v>2010</v>
      </c>
      <c r="C26" s="1910" t="s">
        <v>3243</v>
      </c>
      <c r="D26" s="1261">
        <f>IF(E26=G26,F26,IF(G3&lt;10,ROUND(F26+(H26-F26)*(G3-E26)/(G26-E26),4),"——"))</f>
        <v>0.91549999999999998</v>
      </c>
      <c r="E26" s="706">
        <f>ROUNDDOWN(G3,1)</f>
        <v>7.6</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0.91649999999999998</v>
      </c>
      <c r="G26" s="706">
        <f>ROUNDUP(G3,1)</f>
        <v>7.6999999999999993</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0.91510000000000002</v>
      </c>
      <c r="I26" s="1910" t="s">
        <v>3244</v>
      </c>
      <c r="J26" s="374" t="str">
        <f>IF(G3&gt;=10,D115,"——")</f>
        <v>——</v>
      </c>
      <c r="K26" s="1059"/>
      <c r="L26" s="2549"/>
      <c r="M26" s="2549"/>
      <c r="N26" s="1909" t="s">
        <v>2011</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2012</v>
      </c>
      <c r="B27" s="1911" t="s">
        <v>2013</v>
      </c>
      <c r="C27" s="789">
        <f>ROUND(IF(I3&lt;6,SUMPRODUCT((B106:B110=I3)*(C105:N105=G2)*(C106:N110)),SUMIF(C105:N105,G2,C112:N112)),4)</f>
        <v>0</v>
      </c>
      <c r="D27" s="1840"/>
      <c r="E27" s="1840"/>
      <c r="F27" s="1912"/>
      <c r="G27" s="1913"/>
      <c r="H27" s="1914"/>
      <c r="I27" s="1915"/>
      <c r="J27" s="1916"/>
      <c r="K27" s="1054"/>
      <c r="L27" s="1842"/>
      <c r="M27" s="1842"/>
      <c r="N27" s="1909" t="s">
        <v>2014</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2015</v>
      </c>
      <c r="C28" s="714">
        <f>SUMIF(A47:A101,E2,B47:B101)</f>
        <v>1.0525</v>
      </c>
      <c r="D28" s="1892"/>
      <c r="E28" s="1917"/>
      <c r="F28" s="1917"/>
      <c r="G28" s="1917"/>
      <c r="H28" s="1917"/>
      <c r="I28" s="1917"/>
      <c r="J28" s="1918"/>
      <c r="K28" s="1059"/>
      <c r="L28" s="2549"/>
      <c r="M28" s="2549"/>
      <c r="N28" s="1919" t="s">
        <v>2016</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2017</v>
      </c>
      <c r="C29" s="719"/>
      <c r="D29" s="1866"/>
      <c r="E29" s="1866"/>
      <c r="F29" s="1921"/>
      <c r="G29" s="1866"/>
      <c r="H29" s="1866"/>
      <c r="I29" s="1866"/>
      <c r="J29" s="1867"/>
      <c r="K29" s="1054"/>
      <c r="L29" s="1842"/>
      <c r="M29" s="1842"/>
      <c r="N29" s="2546" t="s">
        <v>2018</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2019</v>
      </c>
      <c r="C30" s="2143">
        <f>IF(B25="容积率修正",E33+SUM(E37:E42),SUM(V2:V16)+SUM(E37:E42))</f>
        <v>49057</v>
      </c>
      <c r="D30" s="1923"/>
      <c r="E30" s="1840"/>
      <c r="F30" s="1924"/>
      <c r="G30" s="1840"/>
      <c r="H30" s="1840"/>
      <c r="I30" s="1840"/>
      <c r="J30" s="1925"/>
      <c r="K30" s="1054"/>
      <c r="L30" s="3052" t="s">
        <v>1931</v>
      </c>
      <c r="M30" s="3053" t="s">
        <v>1985</v>
      </c>
      <c r="N30" s="3053" t="s">
        <v>1986</v>
      </c>
      <c r="O30" s="3053" t="s">
        <v>1987</v>
      </c>
      <c r="P30" s="3053" t="s">
        <v>1988</v>
      </c>
      <c r="Q30" s="3056" t="s">
        <v>3248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2020</v>
      </c>
      <c r="C31" s="720">
        <f>E34+SUM(I37:I42)</f>
        <v>2686</v>
      </c>
      <c r="D31" s="1927"/>
      <c r="E31" s="1928"/>
      <c r="F31" s="1929"/>
      <c r="G31" s="1928"/>
      <c r="H31" s="1928"/>
      <c r="I31" s="1928"/>
      <c r="J31" s="1930"/>
      <c r="K31" s="1054"/>
      <c r="L31" s="3054" t="s">
        <v>1991</v>
      </c>
      <c r="M31" s="162">
        <v>0.25</v>
      </c>
      <c r="N31" s="162">
        <v>0.2</v>
      </c>
      <c r="O31" s="162">
        <v>0.15</v>
      </c>
      <c r="P31" s="162">
        <v>0.1</v>
      </c>
      <c r="Q31" s="3049">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2021</v>
      </c>
      <c r="C32" s="1933" t="s">
        <v>2022</v>
      </c>
      <c r="D32" s="1933" t="s">
        <v>2023</v>
      </c>
      <c r="E32" s="1934" t="s">
        <v>2024</v>
      </c>
      <c r="F32" s="1935"/>
      <c r="G32" s="1879"/>
      <c r="H32" s="1879"/>
      <c r="I32" s="1879"/>
      <c r="J32" s="1880"/>
      <c r="K32" s="1054"/>
      <c r="L32" s="3055" t="s">
        <v>1994</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2025</v>
      </c>
      <c r="C33" s="167">
        <f>ROUND(C5*C22*C23*C24*C25*C28,0)</f>
        <v>26875</v>
      </c>
      <c r="D33" s="1938">
        <f>'数据-汇总表'!F19</f>
        <v>14255.86</v>
      </c>
      <c r="E33" s="725">
        <f>ROUND(C33*D33/10000,0)</f>
        <v>38313</v>
      </c>
      <c r="F33" s="3047" t="s">
        <v>3246</v>
      </c>
      <c r="G33" s="1939"/>
      <c r="H33" s="1939"/>
      <c r="I33" s="1939"/>
      <c r="J33" s="1940"/>
      <c r="K33" s="1054"/>
      <c r="L33" s="3050" t="s">
        <v>3249</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2026</v>
      </c>
      <c r="C34" s="179">
        <f>ROUND(IF(E2="工业",C33*M42,IF(B25="楼层修正",SUM(V2:V16)*M41*10000/D34,C33*M41)),0)</f>
        <v>6719</v>
      </c>
      <c r="D34" s="1943"/>
      <c r="E34" s="725">
        <f>ROUND(IF(B25="楼层修正",SUM(V2:V16)*M40,C34*D34/10000),0)</f>
        <v>0</v>
      </c>
      <c r="F34" s="1944" t="s">
        <v>2027</v>
      </c>
      <c r="G34" s="1945"/>
      <c r="H34" s="1945"/>
      <c r="I34" s="1945"/>
      <c r="J34" s="1946"/>
      <c r="K34" s="1054"/>
      <c r="L34" s="3050" t="s">
        <v>3250</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2028</v>
      </c>
      <c r="C35" s="3048" t="s">
        <v>3247</v>
      </c>
      <c r="D35" s="1879"/>
      <c r="E35" s="1949"/>
      <c r="F35" s="1949"/>
      <c r="G35" s="1877" t="s">
        <v>2029</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2022</v>
      </c>
      <c r="D36" s="433" t="s">
        <v>2023</v>
      </c>
      <c r="E36" s="433" t="s">
        <v>2024</v>
      </c>
      <c r="F36" s="333" t="s">
        <v>2030</v>
      </c>
      <c r="G36" s="1952" t="s">
        <v>2022</v>
      </c>
      <c r="H36" s="1952" t="s">
        <v>2023</v>
      </c>
      <c r="I36" s="1952" t="s">
        <v>2024</v>
      </c>
      <c r="J36" s="235"/>
      <c r="K36" s="1962" t="s">
        <v>3251</v>
      </c>
      <c r="L36" s="3139">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87"/>
      <c r="B37" s="1953" t="s">
        <v>2031</v>
      </c>
      <c r="C37" s="167">
        <f>ROUND(D5*C22*C23*C24*C28*F37,0)</f>
        <v>20549</v>
      </c>
      <c r="D37" s="1938">
        <f>'数据-汇总表'!G19</f>
        <v>5228.6499999999996</v>
      </c>
      <c r="E37" s="163">
        <f>ROUND(C37*D37/10000,0)</f>
        <v>10744</v>
      </c>
      <c r="F37" s="163">
        <f>SUMIF(修正!A57:A68,G2,修正!B57:B68)</f>
        <v>0.7</v>
      </c>
      <c r="G37" s="163">
        <f>ROUND(IF(E2="工业",C37*$M$42,C37*$M$41),0)</f>
        <v>5137</v>
      </c>
      <c r="H37" s="163">
        <f>D37</f>
        <v>5228.6499999999996</v>
      </c>
      <c r="I37" s="163">
        <f>ROUND(G37*H37/10000,0)</f>
        <v>2686</v>
      </c>
      <c r="J37" s="2751"/>
      <c r="K37" s="3058" t="s">
        <v>3252</v>
      </c>
      <c r="L37" s="1962">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88"/>
      <c r="B38" s="1882" t="s">
        <v>2032</v>
      </c>
      <c r="C38" s="167">
        <f>ROUND(D5*C22*C23*C24*C28*F38,0)</f>
        <v>11742</v>
      </c>
      <c r="D38" s="1938"/>
      <c r="E38" s="163">
        <f t="shared" ref="E38:E42" si="4">ROUND(C38*D38/10000,0)</f>
        <v>0</v>
      </c>
      <c r="F38" s="163">
        <f>SUMIF(修正!A57:A68,G2,修正!C57:C68)</f>
        <v>0.4</v>
      </c>
      <c r="G38" s="163">
        <f>ROUND(IF(E2="工业",C38*$M$42,C38*$M$41),0)</f>
        <v>2936</v>
      </c>
      <c r="H38" s="163">
        <f t="shared" ref="H38:H42" si="5">D38</f>
        <v>0</v>
      </c>
      <c r="I38" s="163">
        <f t="shared" ref="I38:I42" si="6">ROUND(G38*H38/10000,0)</f>
        <v>0</v>
      </c>
      <c r="J38" s="2750"/>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88"/>
      <c r="B39" s="1882" t="s">
        <v>3245</v>
      </c>
      <c r="C39" s="167">
        <f>ROUND(D5*C22*C23*C24*C28*F39,0)</f>
        <v>8807</v>
      </c>
      <c r="D39" s="1938"/>
      <c r="E39" s="163">
        <f t="shared" si="4"/>
        <v>0</v>
      </c>
      <c r="F39" s="163">
        <f>SUMIF(修正!A57:A68,G2,修正!D57:D68)</f>
        <v>0.3</v>
      </c>
      <c r="G39" s="163">
        <f>ROUND(IF(E2="工业",C39*$M$42,C39*$M$41),0)</f>
        <v>2202</v>
      </c>
      <c r="H39" s="163">
        <f t="shared" si="5"/>
        <v>0</v>
      </c>
      <c r="I39" s="163">
        <f t="shared" si="6"/>
        <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2033</v>
      </c>
      <c r="C40" s="163">
        <f>ROUND(D5*C22*C23*C24*C28*F40,0)</f>
        <v>8807</v>
      </c>
      <c r="D40" s="1938"/>
      <c r="E40" s="163">
        <f t="shared" si="4"/>
        <v>0</v>
      </c>
      <c r="F40" s="167">
        <f>SUMIF(修正!A57:A68,G2,修正!E57:E68)</f>
        <v>0.3</v>
      </c>
      <c r="G40" s="163">
        <f>ROUND(IF(E2="工业",C40*$M$42,C40*$M$41),0)</f>
        <v>2202</v>
      </c>
      <c r="H40" s="163">
        <f t="shared" si="5"/>
        <v>0</v>
      </c>
      <c r="I40" s="163">
        <f t="shared" si="6"/>
        <v>0</v>
      </c>
      <c r="J40" s="937"/>
      <c r="L40" s="1955" t="s">
        <v>2034</v>
      </c>
      <c r="M40" s="1956"/>
      <c r="Z40" s="1055"/>
      <c r="AA40" s="1055"/>
      <c r="AB40" s="1055"/>
      <c r="AC40" s="1055"/>
      <c r="AD40" s="1055"/>
      <c r="AE40" s="1055"/>
      <c r="AF40" s="1055"/>
      <c r="AG40" s="1055"/>
      <c r="AH40" s="1055"/>
      <c r="AI40" s="1055"/>
      <c r="AJ40" s="1055"/>
    </row>
    <row r="41" spans="1:37" s="1054" customFormat="1">
      <c r="A41" s="1954"/>
      <c r="B41" s="1882" t="s">
        <v>2035</v>
      </c>
      <c r="C41" s="163">
        <f>ROUND(D5*C22*C23*C44*C28*F41,0)</f>
        <v>8345</v>
      </c>
      <c r="D41" s="1938"/>
      <c r="E41" s="163">
        <f t="shared" si="4"/>
        <v>0</v>
      </c>
      <c r="F41" s="167">
        <f>SUMIF(修正!A57:A68,G2,修正!F57:F68)</f>
        <v>0.3</v>
      </c>
      <c r="G41" s="163">
        <f>ROUND(IF(E2="工业",C41*$M$42,C41*$M$41),0)</f>
        <v>2086</v>
      </c>
      <c r="H41" s="163">
        <f t="shared" si="5"/>
        <v>0</v>
      </c>
      <c r="I41" s="163">
        <f t="shared" si="6"/>
        <v>0</v>
      </c>
      <c r="J41" s="937"/>
      <c r="L41" s="3059" t="s">
        <v>3253</v>
      </c>
      <c r="M41" s="1957">
        <v>0.25</v>
      </c>
      <c r="Z41" s="1055"/>
      <c r="AA41" s="1055"/>
      <c r="AB41" s="1055"/>
      <c r="AC41" s="1055"/>
      <c r="AD41" s="1055"/>
      <c r="AE41" s="1055"/>
      <c r="AF41" s="1055"/>
      <c r="AG41" s="1055"/>
      <c r="AH41" s="1055"/>
      <c r="AI41" s="1055"/>
      <c r="AJ41" s="1055"/>
    </row>
    <row r="42" spans="1:37" s="1054" customFormat="1" ht="13.5" thickBot="1">
      <c r="A42" s="1941"/>
      <c r="B42" s="1958" t="s">
        <v>2036</v>
      </c>
      <c r="C42" s="179">
        <f>ROUND(D5*C22*C23*C44*C28*F42,0)</f>
        <v>5564</v>
      </c>
      <c r="D42" s="1943"/>
      <c r="E42" s="179">
        <f t="shared" si="4"/>
        <v>0</v>
      </c>
      <c r="F42" s="721">
        <f>SUMIF(修正!A57:A68,G2,修正!G57:G68)</f>
        <v>0.2</v>
      </c>
      <c r="G42" s="179">
        <f>ROUND(IF(E2="工业",C42*$M$42,C42*$M$41),0)</f>
        <v>1391</v>
      </c>
      <c r="H42" s="179">
        <f t="shared" si="5"/>
        <v>0</v>
      </c>
      <c r="I42" s="179">
        <f t="shared" si="6"/>
        <v>0</v>
      </c>
      <c r="J42" s="1959"/>
      <c r="L42" s="1960" t="s">
        <v>1988</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2117</v>
      </c>
      <c r="C44" s="333">
        <f>ROUND(POWER(1+E44,H44-G44)*(POWER(1+E44,G44)-1)/(POWER(1+E44,H44)-1),4)</f>
        <v>0.69110000000000005</v>
      </c>
      <c r="D44" s="163" t="s">
        <v>1994</v>
      </c>
      <c r="E44" s="1989">
        <f>G24</f>
        <v>5.5E-2</v>
      </c>
      <c r="F44" s="163" t="s">
        <v>2003</v>
      </c>
      <c r="G44" s="175">
        <f>项目基本情况!D15</f>
        <v>19.27</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2037</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2038</v>
      </c>
      <c r="B48" s="1966">
        <f>1+E50</f>
        <v>1.0525</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2039</v>
      </c>
      <c r="B49" s="1260" t="s">
        <v>2040</v>
      </c>
      <c r="C49" s="1260" t="s">
        <v>2041</v>
      </c>
      <c r="D49" s="1260" t="s">
        <v>2042</v>
      </c>
      <c r="E49" s="699" t="s">
        <v>2043</v>
      </c>
      <c r="F49" s="1969" t="s">
        <v>2044</v>
      </c>
      <c r="G49" s="1260" t="s">
        <v>310</v>
      </c>
      <c r="H49" s="1970" t="s">
        <v>2045</v>
      </c>
      <c r="I49" s="1260" t="s">
        <v>2046</v>
      </c>
      <c r="J49" s="530" t="s">
        <v>1716</v>
      </c>
      <c r="K49" s="530" t="s">
        <v>1717</v>
      </c>
      <c r="L49" s="530" t="s">
        <v>1718</v>
      </c>
      <c r="M49" s="530" t="s">
        <v>1719</v>
      </c>
      <c r="N49" s="530" t="s">
        <v>1720</v>
      </c>
      <c r="AA49" s="1055"/>
      <c r="AB49" s="1055"/>
      <c r="AC49" s="1055"/>
      <c r="AD49" s="1055"/>
      <c r="AE49" s="1055"/>
      <c r="AF49" s="1055"/>
      <c r="AG49" s="1055"/>
      <c r="AH49" s="1055"/>
      <c r="AI49" s="1055"/>
      <c r="AJ49" s="1055"/>
      <c r="AK49" s="1055"/>
    </row>
    <row r="50" spans="1:37" s="1054" customFormat="1" ht="24.75">
      <c r="A50" s="1968" t="s">
        <v>2047</v>
      </c>
      <c r="B50" s="1971">
        <f>估价对象房地状况!C4</f>
        <v>0</v>
      </c>
      <c r="C50" s="1885" t="s">
        <v>3433</v>
      </c>
      <c r="D50" s="1000">
        <f t="shared" ref="D50:D58" si="7">SUMIF($J$49:$N$49,C50,J50:N50)</f>
        <v>1.47E-2</v>
      </c>
      <c r="E50" s="700">
        <f>ROUND(SUM(D50:D58),4)</f>
        <v>5.2499999999999998E-2</v>
      </c>
      <c r="F50" s="1673">
        <f>IF(E2="商业",SUMIF(L1:L12,G2,N1:N12),"——")</f>
        <v>9.8000000000000004E-2</v>
      </c>
      <c r="G50" s="998">
        <f>H50</f>
        <v>1.47E-2</v>
      </c>
      <c r="H50" s="1001">
        <f t="shared" ref="H50:H58" si="8">IFERROR(ROUNDDOWN($F$50*I50/2,4),"——")</f>
        <v>1.47E-2</v>
      </c>
      <c r="I50" s="3065">
        <v>0.3</v>
      </c>
      <c r="J50" s="999">
        <f t="shared" ref="J50:J58" si="9">K50+$G50</f>
        <v>2.9399999999999999E-2</v>
      </c>
      <c r="K50" s="999">
        <f t="shared" ref="K50:K58" si="10">$L50+$G50</f>
        <v>1.47E-2</v>
      </c>
      <c r="L50" s="999">
        <v>0</v>
      </c>
      <c r="M50" s="999">
        <f t="shared" ref="M50:N58" si="11">L50-$G50</f>
        <v>-1.47E-2</v>
      </c>
      <c r="N50" s="999">
        <f t="shared" si="11"/>
        <v>-2.9399999999999999E-2</v>
      </c>
      <c r="AA50" s="1055"/>
      <c r="AB50" s="1055"/>
      <c r="AC50" s="1055"/>
      <c r="AD50" s="1055"/>
      <c r="AE50" s="1055"/>
      <c r="AF50" s="1055"/>
      <c r="AG50" s="1055"/>
      <c r="AH50" s="1055"/>
      <c r="AI50" s="1055"/>
      <c r="AJ50" s="1055"/>
      <c r="AK50" s="1055"/>
    </row>
    <row r="51" spans="1:37" s="1054" customFormat="1" ht="14.25">
      <c r="A51" s="1968" t="s">
        <v>2048</v>
      </c>
      <c r="B51" s="1260">
        <f>估价对象房地状况!C18</f>
        <v>0</v>
      </c>
      <c r="C51" s="1885" t="s">
        <v>3433</v>
      </c>
      <c r="D51" s="1000">
        <f t="shared" si="7"/>
        <v>1.0699999999999999E-2</v>
      </c>
      <c r="E51" s="701"/>
      <c r="F51" s="1673"/>
      <c r="G51" s="998">
        <f t="shared" ref="G51:G58" si="12">H51</f>
        <v>1.0699999999999999E-2</v>
      </c>
      <c r="H51" s="1001">
        <f t="shared" si="8"/>
        <v>1.0699999999999999E-2</v>
      </c>
      <c r="I51" s="3065">
        <v>0.22</v>
      </c>
      <c r="J51" s="999">
        <f t="shared" si="9"/>
        <v>2.1399999999999999E-2</v>
      </c>
      <c r="K51" s="999">
        <f t="shared" si="10"/>
        <v>1.0699999999999999E-2</v>
      </c>
      <c r="L51" s="999">
        <v>0</v>
      </c>
      <c r="M51" s="999">
        <f t="shared" si="11"/>
        <v>-1.0699999999999999E-2</v>
      </c>
      <c r="N51" s="999">
        <f t="shared" si="11"/>
        <v>-2.1399999999999999E-2</v>
      </c>
      <c r="AA51" s="1055"/>
      <c r="AB51" s="1055"/>
      <c r="AC51" s="1055"/>
      <c r="AD51" s="1055"/>
      <c r="AE51" s="1055"/>
      <c r="AF51" s="1055"/>
      <c r="AG51" s="1055"/>
      <c r="AH51" s="1055"/>
      <c r="AI51" s="1055"/>
      <c r="AJ51" s="1055"/>
      <c r="AK51" s="1055"/>
    </row>
    <row r="52" spans="1:37" s="1054" customFormat="1" ht="36">
      <c r="A52" s="3067" t="s">
        <v>3255</v>
      </c>
      <c r="B52" s="1260">
        <f>估价对象房地状况!C19</f>
        <v>0</v>
      </c>
      <c r="C52" s="1885" t="s">
        <v>3433</v>
      </c>
      <c r="D52" s="1000">
        <f t="shared" si="7"/>
        <v>5.7999999999999996E-3</v>
      </c>
      <c r="E52" s="701"/>
      <c r="F52" s="1673"/>
      <c r="G52" s="998">
        <f t="shared" si="12"/>
        <v>5.7999999999999996E-3</v>
      </c>
      <c r="H52" s="1001">
        <f t="shared" si="8"/>
        <v>5.7999999999999996E-3</v>
      </c>
      <c r="I52" s="3065">
        <v>0.12</v>
      </c>
      <c r="J52" s="999">
        <f t="shared" si="9"/>
        <v>1.1599999999999999E-2</v>
      </c>
      <c r="K52" s="999">
        <f t="shared" si="10"/>
        <v>5.7999999999999996E-3</v>
      </c>
      <c r="L52" s="999">
        <v>0</v>
      </c>
      <c r="M52" s="999">
        <f t="shared" si="11"/>
        <v>-5.7999999999999996E-3</v>
      </c>
      <c r="N52" s="999">
        <f t="shared" si="11"/>
        <v>-1.1599999999999999E-2</v>
      </c>
      <c r="AA52" s="1055"/>
      <c r="AB52" s="1055"/>
      <c r="AC52" s="1055"/>
      <c r="AD52" s="1055"/>
      <c r="AE52" s="1055"/>
      <c r="AF52" s="1055"/>
      <c r="AG52" s="1055"/>
      <c r="AH52" s="1055"/>
      <c r="AI52" s="1055"/>
      <c r="AJ52" s="1055"/>
      <c r="AK52" s="1055"/>
    </row>
    <row r="53" spans="1:37" s="1054" customFormat="1" ht="36.75">
      <c r="A53" s="1968" t="s">
        <v>2049</v>
      </c>
      <c r="B53" s="1972" t="s">
        <v>2050</v>
      </c>
      <c r="C53" s="1885" t="s">
        <v>3433</v>
      </c>
      <c r="D53" s="1000">
        <f t="shared" si="7"/>
        <v>2.3999999999999998E-3</v>
      </c>
      <c r="E53" s="701"/>
      <c r="F53" s="1673"/>
      <c r="G53" s="998">
        <f t="shared" si="12"/>
        <v>2.3999999999999998E-3</v>
      </c>
      <c r="H53" s="1001">
        <f t="shared" si="8"/>
        <v>2.3999999999999998E-3</v>
      </c>
      <c r="I53" s="3065">
        <v>0.05</v>
      </c>
      <c r="J53" s="999">
        <f t="shared" si="9"/>
        <v>4.7999999999999996E-3</v>
      </c>
      <c r="K53" s="999">
        <f t="shared" si="10"/>
        <v>2.3999999999999998E-3</v>
      </c>
      <c r="L53" s="999">
        <v>0</v>
      </c>
      <c r="M53" s="999">
        <f t="shared" si="11"/>
        <v>-2.3999999999999998E-3</v>
      </c>
      <c r="N53" s="999">
        <f t="shared" si="11"/>
        <v>-4.7999999999999996E-3</v>
      </c>
      <c r="AA53" s="1055"/>
      <c r="AB53" s="1055"/>
      <c r="AC53" s="1055"/>
      <c r="AD53" s="1055"/>
      <c r="AE53" s="1055"/>
      <c r="AF53" s="1055"/>
      <c r="AG53" s="1055"/>
      <c r="AH53" s="1055"/>
      <c r="AI53" s="1055"/>
      <c r="AJ53" s="1055"/>
      <c r="AK53" s="1055"/>
    </row>
    <row r="54" spans="1:37" s="1054" customFormat="1" ht="24">
      <c r="A54" s="1968" t="s">
        <v>2051</v>
      </c>
      <c r="B54" s="1260">
        <f>估价对象房地状况!C24</f>
        <v>0</v>
      </c>
      <c r="C54" s="1885" t="s">
        <v>3433</v>
      </c>
      <c r="D54" s="1000">
        <f t="shared" si="7"/>
        <v>3.8999999999999998E-3</v>
      </c>
      <c r="E54" s="701"/>
      <c r="F54" s="1673"/>
      <c r="G54" s="998">
        <f t="shared" si="12"/>
        <v>3.8999999999999998E-3</v>
      </c>
      <c r="H54" s="1001">
        <f t="shared" si="8"/>
        <v>3.8999999999999998E-3</v>
      </c>
      <c r="I54" s="3065">
        <v>0.08</v>
      </c>
      <c r="J54" s="999">
        <f t="shared" si="9"/>
        <v>7.7999999999999996E-3</v>
      </c>
      <c r="K54" s="999">
        <f t="shared" si="10"/>
        <v>3.8999999999999998E-3</v>
      </c>
      <c r="L54" s="999">
        <v>0</v>
      </c>
      <c r="M54" s="999">
        <f t="shared" si="11"/>
        <v>-3.8999999999999998E-3</v>
      </c>
      <c r="N54" s="999">
        <f t="shared" si="11"/>
        <v>-7.7999999999999996E-3</v>
      </c>
      <c r="AA54" s="1055"/>
      <c r="AB54" s="1055"/>
      <c r="AC54" s="1055"/>
      <c r="AD54" s="1055"/>
      <c r="AE54" s="1055"/>
      <c r="AF54" s="1055"/>
      <c r="AG54" s="1055"/>
      <c r="AH54" s="1055"/>
      <c r="AI54" s="1055"/>
      <c r="AJ54" s="1055"/>
      <c r="AK54" s="1055"/>
    </row>
    <row r="55" spans="1:37" s="1054" customFormat="1" ht="24">
      <c r="A55" s="1968" t="s">
        <v>2052</v>
      </c>
      <c r="B55" s="1973" t="s">
        <v>2053</v>
      </c>
      <c r="C55" s="1885" t="s">
        <v>3433</v>
      </c>
      <c r="D55" s="1000">
        <f t="shared" si="7"/>
        <v>2.3999999999999998E-3</v>
      </c>
      <c r="E55" s="701"/>
      <c r="F55" s="1673"/>
      <c r="G55" s="998">
        <f t="shared" si="12"/>
        <v>2.3999999999999998E-3</v>
      </c>
      <c r="H55" s="1001">
        <f t="shared" si="8"/>
        <v>2.3999999999999998E-3</v>
      </c>
      <c r="I55" s="3065">
        <v>0.05</v>
      </c>
      <c r="J55" s="999">
        <f t="shared" si="9"/>
        <v>4.7999999999999996E-3</v>
      </c>
      <c r="K55" s="999">
        <f t="shared" si="10"/>
        <v>2.3999999999999998E-3</v>
      </c>
      <c r="L55" s="999">
        <v>0</v>
      </c>
      <c r="M55" s="999">
        <f t="shared" si="11"/>
        <v>-2.3999999999999998E-3</v>
      </c>
      <c r="N55" s="999">
        <f t="shared" si="11"/>
        <v>-4.7999999999999996E-3</v>
      </c>
      <c r="AA55" s="1055"/>
      <c r="AB55" s="1055"/>
      <c r="AC55" s="1055"/>
      <c r="AD55" s="1055"/>
      <c r="AE55" s="1055"/>
      <c r="AF55" s="1055"/>
      <c r="AG55" s="1055"/>
      <c r="AH55" s="1055"/>
      <c r="AI55" s="1055"/>
      <c r="AJ55" s="1055"/>
      <c r="AK55" s="1055"/>
    </row>
    <row r="56" spans="1:37" s="1054" customFormat="1" ht="24">
      <c r="A56" s="1974" t="s">
        <v>2054</v>
      </c>
      <c r="B56" s="1238">
        <f>估价对象房地状况!C21</f>
        <v>0</v>
      </c>
      <c r="C56" s="1885" t="s">
        <v>3433</v>
      </c>
      <c r="D56" s="1000">
        <f t="shared" si="7"/>
        <v>2.3999999999999998E-3</v>
      </c>
      <c r="E56" s="701"/>
      <c r="F56" s="1673"/>
      <c r="G56" s="998">
        <f t="shared" si="12"/>
        <v>2.3999999999999998E-3</v>
      </c>
      <c r="H56" s="1001">
        <f t="shared" si="8"/>
        <v>2.3999999999999998E-3</v>
      </c>
      <c r="I56" s="3065">
        <v>0.05</v>
      </c>
      <c r="J56" s="999">
        <f t="shared" si="9"/>
        <v>4.7999999999999996E-3</v>
      </c>
      <c r="K56" s="999">
        <f t="shared" si="10"/>
        <v>2.3999999999999998E-3</v>
      </c>
      <c r="L56" s="999">
        <v>0</v>
      </c>
      <c r="M56" s="999">
        <f t="shared" si="11"/>
        <v>-2.3999999999999998E-3</v>
      </c>
      <c r="N56" s="999">
        <f t="shared" si="11"/>
        <v>-4.7999999999999996E-3</v>
      </c>
      <c r="AA56" s="1055"/>
      <c r="AB56" s="1055"/>
      <c r="AC56" s="1055"/>
      <c r="AD56" s="1055"/>
      <c r="AE56" s="1055"/>
      <c r="AF56" s="1055"/>
      <c r="AG56" s="1055"/>
      <c r="AH56" s="1055"/>
      <c r="AI56" s="1055"/>
      <c r="AJ56" s="1055"/>
      <c r="AK56" s="1055"/>
    </row>
    <row r="57" spans="1:37" s="1054" customFormat="1" ht="24">
      <c r="A57" s="1974" t="s">
        <v>2055</v>
      </c>
      <c r="B57" s="1260">
        <f>估价对象房地状况!C22</f>
        <v>0</v>
      </c>
      <c r="C57" s="1885" t="s">
        <v>3434</v>
      </c>
      <c r="D57" s="1000">
        <f t="shared" si="7"/>
        <v>7.7999999999999996E-3</v>
      </c>
      <c r="E57" s="701"/>
      <c r="F57" s="1673"/>
      <c r="G57" s="998">
        <f t="shared" si="12"/>
        <v>3.8999999999999998E-3</v>
      </c>
      <c r="H57" s="1001">
        <f t="shared" si="8"/>
        <v>3.8999999999999998E-3</v>
      </c>
      <c r="I57" s="3065">
        <v>0.08</v>
      </c>
      <c r="J57" s="999">
        <f t="shared" si="9"/>
        <v>7.7999999999999996E-3</v>
      </c>
      <c r="K57" s="999">
        <f t="shared" si="10"/>
        <v>3.8999999999999998E-3</v>
      </c>
      <c r="L57" s="999">
        <v>0</v>
      </c>
      <c r="M57" s="999">
        <f t="shared" si="11"/>
        <v>-3.8999999999999998E-3</v>
      </c>
      <c r="N57" s="999">
        <f t="shared" si="11"/>
        <v>-7.7999999999999996E-3</v>
      </c>
      <c r="AA57" s="1055"/>
      <c r="AB57" s="1055"/>
      <c r="AC57" s="1055"/>
      <c r="AD57" s="1055"/>
      <c r="AE57" s="1055"/>
      <c r="AF57" s="1055"/>
      <c r="AG57" s="1055"/>
      <c r="AH57" s="1055"/>
      <c r="AI57" s="1055"/>
      <c r="AJ57" s="1055"/>
      <c r="AK57" s="1055"/>
    </row>
    <row r="58" spans="1:37" s="1054" customFormat="1" ht="24.75" thickBot="1">
      <c r="A58" s="1975" t="s">
        <v>2056</v>
      </c>
      <c r="B58" s="1976">
        <f>估价对象房地状况!C20</f>
        <v>0</v>
      </c>
      <c r="C58" s="1885" t="s">
        <v>3433</v>
      </c>
      <c r="D58" s="1000">
        <f t="shared" si="7"/>
        <v>2.3999999999999998E-3</v>
      </c>
      <c r="E58" s="702"/>
      <c r="F58" s="1673"/>
      <c r="G58" s="998">
        <f t="shared" si="12"/>
        <v>2.3999999999999998E-3</v>
      </c>
      <c r="H58" s="1001">
        <f t="shared" si="8"/>
        <v>2.3999999999999998E-3</v>
      </c>
      <c r="I58" s="3066">
        <v>0.05</v>
      </c>
      <c r="J58" s="999">
        <f t="shared" si="9"/>
        <v>4.7999999999999996E-3</v>
      </c>
      <c r="K58" s="999">
        <f t="shared" si="10"/>
        <v>2.3999999999999998E-3</v>
      </c>
      <c r="L58" s="999">
        <v>0</v>
      </c>
      <c r="M58" s="999">
        <f t="shared" si="11"/>
        <v>-2.3999999999999998E-3</v>
      </c>
      <c r="N58" s="999">
        <f t="shared" si="11"/>
        <v>-4.7999999999999996E-3</v>
      </c>
      <c r="AA58" s="1055"/>
      <c r="AB58" s="1055"/>
      <c r="AC58" s="1055"/>
      <c r="AD58" s="1055"/>
      <c r="AE58" s="1055"/>
      <c r="AF58" s="1055"/>
      <c r="AG58" s="1055"/>
      <c r="AH58" s="1055"/>
      <c r="AI58" s="1055"/>
      <c r="AJ58" s="1055"/>
      <c r="AK58" s="1055"/>
    </row>
    <row r="59" spans="1:37" s="1054" customFormat="1" ht="15">
      <c r="A59" s="1965" t="s">
        <v>2057</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2039</v>
      </c>
      <c r="B60" s="1260"/>
      <c r="C60" s="1260" t="s">
        <v>2041</v>
      </c>
      <c r="D60" s="1260" t="s">
        <v>2042</v>
      </c>
      <c r="E60" s="699" t="s">
        <v>2043</v>
      </c>
      <c r="F60" s="1969" t="s">
        <v>2058</v>
      </c>
      <c r="G60" s="1260" t="s">
        <v>310</v>
      </c>
      <c r="H60" s="1970" t="s">
        <v>2045</v>
      </c>
      <c r="I60" s="1260" t="s">
        <v>2046</v>
      </c>
      <c r="J60" s="530" t="s">
        <v>1716</v>
      </c>
      <c r="K60" s="530" t="s">
        <v>1717</v>
      </c>
      <c r="L60" s="530" t="s">
        <v>1718</v>
      </c>
      <c r="M60" s="530" t="s">
        <v>1719</v>
      </c>
      <c r="N60" s="530" t="s">
        <v>1720</v>
      </c>
      <c r="AA60" s="1055"/>
      <c r="AB60" s="1055"/>
      <c r="AC60" s="1055"/>
      <c r="AD60" s="1055"/>
      <c r="AE60" s="1055"/>
      <c r="AF60" s="1055"/>
      <c r="AG60" s="1055"/>
      <c r="AH60" s="1055"/>
      <c r="AI60" s="1055"/>
      <c r="AJ60" s="1055"/>
      <c r="AK60" s="1055"/>
    </row>
    <row r="61" spans="1:37" s="1054" customFormat="1" ht="24">
      <c r="A61" s="1968" t="s">
        <v>2059</v>
      </c>
      <c r="B61" s="1971">
        <f>估价对象房地状况!C17</f>
        <v>0</v>
      </c>
      <c r="C61" s="1885"/>
      <c r="D61" s="1000">
        <f t="shared" ref="D61:D69" si="13">SUMIF($J$60:$N$60,C61,J61:N61)</f>
        <v>0</v>
      </c>
      <c r="E61" s="700">
        <f>ROUND(SUM(D61:D69),4)</f>
        <v>0</v>
      </c>
      <c r="F61" s="1673" t="str">
        <f>IF(E2="办公",SUMIF(L1:L12,G2,N1:N12),"——")</f>
        <v>——</v>
      </c>
      <c r="G61" s="998"/>
      <c r="H61" s="1001" t="str">
        <f t="shared" ref="H61:H69" si="14">IFERROR(ROUNDDOWN($F$61*I61/2,4),"——")</f>
        <v>——</v>
      </c>
      <c r="I61" s="3065">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8" t="s">
        <v>2048</v>
      </c>
      <c r="B62" s="1260">
        <f>估价对象房地状况!C18</f>
        <v>0</v>
      </c>
      <c r="C62" s="1885"/>
      <c r="D62" s="1000">
        <f t="shared" si="13"/>
        <v>0</v>
      </c>
      <c r="E62" s="701"/>
      <c r="F62" s="1673"/>
      <c r="G62" s="998"/>
      <c r="H62" s="1001" t="str">
        <f t="shared" si="14"/>
        <v>——</v>
      </c>
      <c r="I62" s="3065">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67" t="s">
        <v>3255</v>
      </c>
      <c r="B63" s="1260">
        <f>估价对象房地状况!C19</f>
        <v>0</v>
      </c>
      <c r="C63" s="1885"/>
      <c r="D63" s="1000">
        <f t="shared" si="13"/>
        <v>0</v>
      </c>
      <c r="E63" s="701"/>
      <c r="F63" s="1673"/>
      <c r="G63" s="998"/>
      <c r="H63" s="1001" t="str">
        <f t="shared" si="14"/>
        <v>——</v>
      </c>
      <c r="I63" s="3065">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8" t="s">
        <v>2049</v>
      </c>
      <c r="B64" s="1972" t="s">
        <v>2050</v>
      </c>
      <c r="C64" s="1885"/>
      <c r="D64" s="1000">
        <f t="shared" si="13"/>
        <v>0</v>
      </c>
      <c r="E64" s="701"/>
      <c r="F64" s="1673"/>
      <c r="G64" s="998"/>
      <c r="H64" s="1001" t="str">
        <f t="shared" si="14"/>
        <v>——</v>
      </c>
      <c r="I64" s="3065">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8" t="s">
        <v>2051</v>
      </c>
      <c r="B65" s="1260">
        <f>估价对象房地状况!C24</f>
        <v>0</v>
      </c>
      <c r="C65" s="1885"/>
      <c r="D65" s="1000">
        <f t="shared" si="13"/>
        <v>0</v>
      </c>
      <c r="E65" s="701"/>
      <c r="F65" s="1673"/>
      <c r="G65" s="998"/>
      <c r="H65" s="1001" t="str">
        <f t="shared" si="14"/>
        <v>——</v>
      </c>
      <c r="I65" s="3065">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8" t="s">
        <v>2052</v>
      </c>
      <c r="B66" s="1973" t="s">
        <v>2053</v>
      </c>
      <c r="C66" s="1885"/>
      <c r="D66" s="1000">
        <f t="shared" si="13"/>
        <v>0</v>
      </c>
      <c r="E66" s="701"/>
      <c r="F66" s="1673"/>
      <c r="G66" s="998"/>
      <c r="H66" s="1001" t="str">
        <f t="shared" si="14"/>
        <v>——</v>
      </c>
      <c r="I66" s="3065">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8" t="s">
        <v>2054</v>
      </c>
      <c r="B67" s="1238">
        <f>估价对象房地状况!C21</f>
        <v>0</v>
      </c>
      <c r="C67" s="1885"/>
      <c r="D67" s="1000">
        <f t="shared" si="13"/>
        <v>0</v>
      </c>
      <c r="E67" s="701"/>
      <c r="F67" s="1673"/>
      <c r="G67" s="998"/>
      <c r="H67" s="1001" t="str">
        <f t="shared" si="14"/>
        <v>——</v>
      </c>
      <c r="I67" s="3065">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8" t="s">
        <v>2055</v>
      </c>
      <c r="B68" s="1238">
        <f>估价对象房地状况!C22</f>
        <v>0</v>
      </c>
      <c r="C68" s="1885"/>
      <c r="D68" s="1000">
        <f t="shared" si="13"/>
        <v>0</v>
      </c>
      <c r="E68" s="701"/>
      <c r="F68" s="1673"/>
      <c r="G68" s="998"/>
      <c r="H68" s="1001" t="str">
        <f t="shared" si="14"/>
        <v>——</v>
      </c>
      <c r="I68" s="3065">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5" t="s">
        <v>2056</v>
      </c>
      <c r="B69" s="1977">
        <f>估价对象房地状况!C20</f>
        <v>0</v>
      </c>
      <c r="C69" s="1885"/>
      <c r="D69" s="1000">
        <f t="shared" si="13"/>
        <v>0</v>
      </c>
      <c r="E69" s="702"/>
      <c r="F69" s="1673"/>
      <c r="G69" s="998"/>
      <c r="H69" s="1001" t="str">
        <f t="shared" si="14"/>
        <v>——</v>
      </c>
      <c r="I69" s="3066">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5" t="s">
        <v>2060</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2039</v>
      </c>
      <c r="B71" s="1260"/>
      <c r="C71" s="1260" t="s">
        <v>2041</v>
      </c>
      <c r="D71" s="1260" t="s">
        <v>2042</v>
      </c>
      <c r="E71" s="699" t="s">
        <v>2043</v>
      </c>
      <c r="F71" s="1969" t="s">
        <v>2058</v>
      </c>
      <c r="G71" s="1260" t="s">
        <v>310</v>
      </c>
      <c r="H71" s="1970" t="s">
        <v>2045</v>
      </c>
      <c r="I71" s="1260" t="s">
        <v>2046</v>
      </c>
      <c r="J71" s="530" t="s">
        <v>1716</v>
      </c>
      <c r="K71" s="530" t="s">
        <v>1717</v>
      </c>
      <c r="L71" s="530" t="s">
        <v>1718</v>
      </c>
      <c r="M71" s="530" t="s">
        <v>1719</v>
      </c>
      <c r="N71" s="530" t="s">
        <v>1720</v>
      </c>
      <c r="AA71" s="1055"/>
      <c r="AB71" s="1055"/>
      <c r="AC71" s="1055"/>
      <c r="AD71" s="1055"/>
      <c r="AE71" s="1055"/>
      <c r="AF71" s="1055"/>
      <c r="AG71" s="1055"/>
      <c r="AH71" s="1055"/>
      <c r="AI71" s="1055"/>
      <c r="AJ71" s="1055"/>
      <c r="AK71" s="1055"/>
    </row>
    <row r="72" spans="1:37" s="1054" customFormat="1" ht="24">
      <c r="A72" s="1968" t="s">
        <v>2061</v>
      </c>
      <c r="B72" s="1971">
        <f>估价对象房地状况!C15</f>
        <v>0</v>
      </c>
      <c r="C72" s="1885"/>
      <c r="D72" s="1000">
        <f t="shared" ref="D72:D80" si="18">SUMIF($J$71:$N$71,C72,J72:N72)</f>
        <v>0</v>
      </c>
      <c r="E72" s="700">
        <f>ROUND(SUM(D72:D80),4)</f>
        <v>0</v>
      </c>
      <c r="F72" s="1673" t="str">
        <f>IF(E2="住宅",SUMIF(L1:L12,G2,N1:N12),"——")</f>
        <v>——</v>
      </c>
      <c r="G72" s="998"/>
      <c r="H72" s="1001" t="str">
        <f t="shared" ref="H72:H80" si="19">IFERROR(ROUNDDOWN($F$72*I72/2,4),"——")</f>
        <v>——</v>
      </c>
      <c r="I72" s="3065">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8" t="s">
        <v>2048</v>
      </c>
      <c r="B73" s="1260">
        <f>估价对象房地状况!C18</f>
        <v>0</v>
      </c>
      <c r="C73" s="1885"/>
      <c r="D73" s="1000">
        <f t="shared" si="18"/>
        <v>0</v>
      </c>
      <c r="E73" s="703"/>
      <c r="F73" s="1673"/>
      <c r="G73" s="998"/>
      <c r="H73" s="1001" t="str">
        <f t="shared" si="19"/>
        <v>——</v>
      </c>
      <c r="I73" s="3065">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7" t="s">
        <v>3255</v>
      </c>
      <c r="B74" s="1260">
        <f>估价对象房地状况!C19</f>
        <v>0</v>
      </c>
      <c r="C74" s="1885"/>
      <c r="D74" s="1000">
        <f t="shared" si="18"/>
        <v>0</v>
      </c>
      <c r="E74" s="703"/>
      <c r="F74" s="1673"/>
      <c r="G74" s="998"/>
      <c r="H74" s="1001" t="str">
        <f t="shared" si="19"/>
        <v>——</v>
      </c>
      <c r="I74" s="3065">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2062</v>
      </c>
      <c r="B75" s="1260">
        <f>估价对象房地状况!C24</f>
        <v>0</v>
      </c>
      <c r="C75" s="1885"/>
      <c r="D75" s="1000">
        <f t="shared" si="18"/>
        <v>0</v>
      </c>
      <c r="E75" s="703"/>
      <c r="F75" s="1673"/>
      <c r="G75" s="998"/>
      <c r="H75" s="1001" t="str">
        <f t="shared" si="19"/>
        <v>——</v>
      </c>
      <c r="I75" s="3065">
        <v>0.05</v>
      </c>
      <c r="J75" s="999">
        <f t="shared" si="20"/>
        <v>0</v>
      </c>
      <c r="K75" s="999">
        <f t="shared" si="21"/>
        <v>0</v>
      </c>
      <c r="L75" s="999">
        <v>0</v>
      </c>
      <c r="M75" s="999">
        <f t="shared" si="22"/>
        <v>0</v>
      </c>
      <c r="N75" s="999">
        <f t="shared" si="22"/>
        <v>0</v>
      </c>
      <c r="O75" s="1054"/>
      <c r="P75" s="1054"/>
      <c r="Q75" s="1842"/>
      <c r="Z75" s="1843"/>
      <c r="AA75" s="1893"/>
      <c r="AG75" s="1056"/>
      <c r="AK75" s="1893"/>
    </row>
    <row r="76" spans="1:37" ht="24">
      <c r="A76" s="1968" t="s">
        <v>2054</v>
      </c>
      <c r="B76" s="1238">
        <f>估价对象房地状况!C21</f>
        <v>0</v>
      </c>
      <c r="C76" s="1885"/>
      <c r="D76" s="1000">
        <f t="shared" si="18"/>
        <v>0</v>
      </c>
      <c r="E76" s="703"/>
      <c r="F76" s="1673"/>
      <c r="G76" s="998"/>
      <c r="H76" s="1001" t="str">
        <f t="shared" si="19"/>
        <v>——</v>
      </c>
      <c r="I76" s="3065">
        <v>0.08</v>
      </c>
      <c r="J76" s="999">
        <f t="shared" si="20"/>
        <v>0</v>
      </c>
      <c r="K76" s="999">
        <f t="shared" si="21"/>
        <v>0</v>
      </c>
      <c r="L76" s="999">
        <v>0</v>
      </c>
      <c r="M76" s="999">
        <f t="shared" si="22"/>
        <v>0</v>
      </c>
      <c r="N76" s="999">
        <f t="shared" si="22"/>
        <v>0</v>
      </c>
      <c r="O76" s="1054"/>
      <c r="P76" s="1054"/>
      <c r="Z76" s="1843"/>
      <c r="AA76" s="1893"/>
      <c r="AG76" s="1056"/>
      <c r="AK76" s="1893"/>
    </row>
    <row r="77" spans="1:37" ht="24">
      <c r="A77" s="1968" t="s">
        <v>2055</v>
      </c>
      <c r="B77" s="1238">
        <f>估价对象房地状况!C22</f>
        <v>0</v>
      </c>
      <c r="C77" s="1885"/>
      <c r="D77" s="1000">
        <f t="shared" si="18"/>
        <v>0</v>
      </c>
      <c r="E77" s="703"/>
      <c r="F77" s="1673"/>
      <c r="G77" s="998"/>
      <c r="H77" s="1001" t="str">
        <f t="shared" si="19"/>
        <v>——</v>
      </c>
      <c r="I77" s="3065">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2052</v>
      </c>
      <c r="B78" s="1973" t="s">
        <v>2053</v>
      </c>
      <c r="C78" s="1885"/>
      <c r="D78" s="1000">
        <f t="shared" si="18"/>
        <v>0</v>
      </c>
      <c r="E78" s="703"/>
      <c r="F78" s="1673"/>
      <c r="G78" s="998"/>
      <c r="H78" s="1001" t="str">
        <f t="shared" si="19"/>
        <v>——</v>
      </c>
      <c r="I78" s="3065">
        <v>0.05</v>
      </c>
      <c r="J78" s="999">
        <f t="shared" si="20"/>
        <v>0</v>
      </c>
      <c r="K78" s="999">
        <f t="shared" si="21"/>
        <v>0</v>
      </c>
      <c r="L78" s="999">
        <v>0</v>
      </c>
      <c r="M78" s="999">
        <f t="shared" si="22"/>
        <v>0</v>
      </c>
      <c r="N78" s="999">
        <f t="shared" si="22"/>
        <v>0</v>
      </c>
      <c r="O78" s="1842"/>
      <c r="P78" s="1842"/>
      <c r="Z78" s="1843"/>
      <c r="AA78" s="1893"/>
      <c r="AG78" s="1056"/>
      <c r="AK78" s="1893"/>
    </row>
    <row r="79" spans="1:37" ht="24">
      <c r="A79" s="1968" t="s">
        <v>2056</v>
      </c>
      <c r="B79" s="1971">
        <f>估价对象房地状况!C20</f>
        <v>0</v>
      </c>
      <c r="C79" s="1885"/>
      <c r="D79" s="1000">
        <f t="shared" si="18"/>
        <v>0</v>
      </c>
      <c r="E79" s="703"/>
      <c r="F79" s="1673"/>
      <c r="G79" s="998"/>
      <c r="H79" s="1001" t="str">
        <f t="shared" si="19"/>
        <v>——</v>
      </c>
      <c r="I79" s="3065">
        <v>0.12</v>
      </c>
      <c r="J79" s="999">
        <f t="shared" si="20"/>
        <v>0</v>
      </c>
      <c r="K79" s="999">
        <f t="shared" si="21"/>
        <v>0</v>
      </c>
      <c r="L79" s="999">
        <v>0</v>
      </c>
      <c r="M79" s="999">
        <f t="shared" si="22"/>
        <v>0</v>
      </c>
      <c r="N79" s="999">
        <f t="shared" si="22"/>
        <v>0</v>
      </c>
      <c r="Z79" s="1843"/>
      <c r="AA79" s="1893"/>
      <c r="AG79" s="1056"/>
      <c r="AK79" s="1893"/>
    </row>
    <row r="80" spans="1:37" ht="24.75" thickBot="1">
      <c r="A80" s="1975" t="s">
        <v>2063</v>
      </c>
      <c r="B80" s="1979"/>
      <c r="C80" s="1885"/>
      <c r="D80" s="1000">
        <f t="shared" si="18"/>
        <v>0</v>
      </c>
      <c r="E80" s="704"/>
      <c r="F80" s="1673"/>
      <c r="G80" s="998"/>
      <c r="H80" s="1001" t="str">
        <f t="shared" si="19"/>
        <v>——</v>
      </c>
      <c r="I80" s="3066">
        <v>0.05</v>
      </c>
      <c r="J80" s="999">
        <f t="shared" si="20"/>
        <v>0</v>
      </c>
      <c r="K80" s="999">
        <f t="shared" si="21"/>
        <v>0</v>
      </c>
      <c r="L80" s="999">
        <v>0</v>
      </c>
      <c r="M80" s="999">
        <f t="shared" si="22"/>
        <v>0</v>
      </c>
      <c r="N80" s="999">
        <f t="shared" si="22"/>
        <v>0</v>
      </c>
      <c r="Z80" s="1843"/>
      <c r="AA80" s="1893"/>
      <c r="AG80" s="1056"/>
      <c r="AK80" s="1893"/>
    </row>
    <row r="81" spans="1:37" ht="15">
      <c r="A81" s="1965" t="s">
        <v>2064</v>
      </c>
      <c r="B81" s="1966">
        <f>1+E83</f>
        <v>1</v>
      </c>
      <c r="C81" s="697"/>
      <c r="D81" s="697"/>
      <c r="E81" s="698"/>
      <c r="F81" s="1967"/>
      <c r="G81" s="3"/>
      <c r="H81" s="3"/>
      <c r="I81" s="3"/>
      <c r="J81" s="4"/>
      <c r="K81" s="4"/>
      <c r="L81" s="4"/>
      <c r="M81" s="4"/>
      <c r="N81" s="4"/>
      <c r="Z81" s="1843"/>
      <c r="AA81" s="1893"/>
      <c r="AG81" s="1056"/>
      <c r="AK81" s="1893"/>
    </row>
    <row r="82" spans="1:37" ht="24.75">
      <c r="A82" s="1968" t="s">
        <v>2039</v>
      </c>
      <c r="B82" s="1260"/>
      <c r="C82" s="1260" t="s">
        <v>2041</v>
      </c>
      <c r="D82" s="1260" t="s">
        <v>2042</v>
      </c>
      <c r="E82" s="699" t="s">
        <v>2043</v>
      </c>
      <c r="F82" s="1969" t="s">
        <v>2058</v>
      </c>
      <c r="G82" s="1260" t="s">
        <v>310</v>
      </c>
      <c r="H82" s="1970" t="s">
        <v>2045</v>
      </c>
      <c r="I82" s="1260" t="s">
        <v>2046</v>
      </c>
      <c r="J82" s="530" t="s">
        <v>1716</v>
      </c>
      <c r="K82" s="530" t="s">
        <v>1717</v>
      </c>
      <c r="L82" s="530" t="s">
        <v>1718</v>
      </c>
      <c r="M82" s="530" t="s">
        <v>1719</v>
      </c>
      <c r="N82" s="530" t="s">
        <v>1720</v>
      </c>
      <c r="Z82" s="1843"/>
      <c r="AA82" s="1893"/>
      <c r="AG82" s="1056"/>
      <c r="AK82" s="1893"/>
    </row>
    <row r="83" spans="1:37" ht="24">
      <c r="A83" s="1968" t="s">
        <v>2065</v>
      </c>
      <c r="B83" s="1260">
        <f>估价对象房地状况!G15</f>
        <v>0</v>
      </c>
      <c r="C83" s="1885"/>
      <c r="D83" s="1000">
        <f t="shared" ref="D83:D90" si="23">SUMIF($J$82:$N$82,C83,J83:N83)</f>
        <v>0</v>
      </c>
      <c r="E83" s="700">
        <f>ROUND(SUM(D83:D90),4)</f>
        <v>0</v>
      </c>
      <c r="F83" s="1673" t="str">
        <f>IF(E2="工业",SUMIF(L1:L12,G2,N1:N12),"——")</f>
        <v>——</v>
      </c>
      <c r="G83" s="998"/>
      <c r="H83" s="1001" t="str">
        <f t="shared" ref="H83:H90" si="24">IFERROR(ROUNDDOWN($F$83*I83/2,4),"——")</f>
        <v>——</v>
      </c>
      <c r="I83" s="3065">
        <v>0.26</v>
      </c>
      <c r="J83" s="999">
        <f t="shared" ref="J83:J90" si="25">K83+$G83</f>
        <v>0</v>
      </c>
      <c r="K83" s="999">
        <f t="shared" ref="K83:K90" si="26">$L83+$G83</f>
        <v>0</v>
      </c>
      <c r="L83" s="999">
        <v>0</v>
      </c>
      <c r="M83" s="999">
        <f t="shared" ref="M83:N90" si="27">L83-$G83</f>
        <v>0</v>
      </c>
      <c r="N83" s="999">
        <f t="shared" si="27"/>
        <v>0</v>
      </c>
      <c r="Z83" s="1843"/>
      <c r="AA83" s="1893"/>
      <c r="AG83" s="1056"/>
      <c r="AK83" s="1893"/>
    </row>
    <row r="84" spans="1:37" ht="14.25">
      <c r="A84" s="1968" t="s">
        <v>2048</v>
      </c>
      <c r="B84" s="1260">
        <f>估价对象房地状况!G16</f>
        <v>0</v>
      </c>
      <c r="C84" s="1885"/>
      <c r="D84" s="1000">
        <f t="shared" si="23"/>
        <v>0</v>
      </c>
      <c r="E84" s="703"/>
      <c r="F84" s="1673"/>
      <c r="G84" s="998"/>
      <c r="H84" s="1001" t="str">
        <f t="shared" si="24"/>
        <v>——</v>
      </c>
      <c r="I84" s="3065">
        <v>0.3</v>
      </c>
      <c r="J84" s="999">
        <f t="shared" si="25"/>
        <v>0</v>
      </c>
      <c r="K84" s="999">
        <f t="shared" si="26"/>
        <v>0</v>
      </c>
      <c r="L84" s="999">
        <v>0</v>
      </c>
      <c r="M84" s="999">
        <f t="shared" si="27"/>
        <v>0</v>
      </c>
      <c r="N84" s="999">
        <f t="shared" si="27"/>
        <v>0</v>
      </c>
      <c r="Z84" s="1843"/>
      <c r="AA84" s="1893"/>
      <c r="AG84" s="1056"/>
      <c r="AK84" s="1893"/>
    </row>
    <row r="85" spans="1:37" ht="36">
      <c r="A85" s="3067" t="s">
        <v>3256</v>
      </c>
      <c r="B85" s="1260">
        <f>估价对象房地状况!G17</f>
        <v>0</v>
      </c>
      <c r="C85" s="1885"/>
      <c r="D85" s="1000">
        <f t="shared" si="23"/>
        <v>0</v>
      </c>
      <c r="E85" s="703"/>
      <c r="F85" s="1673"/>
      <c r="G85" s="998"/>
      <c r="H85" s="1001" t="str">
        <f t="shared" si="24"/>
        <v>——</v>
      </c>
      <c r="I85" s="3065">
        <v>0.1</v>
      </c>
      <c r="J85" s="999">
        <f t="shared" si="25"/>
        <v>0</v>
      </c>
      <c r="K85" s="999">
        <f t="shared" si="26"/>
        <v>0</v>
      </c>
      <c r="L85" s="999">
        <v>0</v>
      </c>
      <c r="M85" s="999">
        <f t="shared" si="27"/>
        <v>0</v>
      </c>
      <c r="N85" s="999">
        <f t="shared" si="27"/>
        <v>0</v>
      </c>
      <c r="Z85" s="1843"/>
      <c r="AA85" s="1893"/>
      <c r="AG85" s="1056"/>
      <c r="AK85" s="1893"/>
    </row>
    <row r="86" spans="1:37" ht="14.25">
      <c r="A86" s="1968" t="s">
        <v>2062</v>
      </c>
      <c r="B86" s="1260">
        <f>估价对象房地状况!G22</f>
        <v>0</v>
      </c>
      <c r="C86" s="1885"/>
      <c r="D86" s="1000">
        <f t="shared" si="23"/>
        <v>0</v>
      </c>
      <c r="E86" s="703"/>
      <c r="F86" s="1673"/>
      <c r="G86" s="998"/>
      <c r="H86" s="1001" t="str">
        <f t="shared" si="24"/>
        <v>——</v>
      </c>
      <c r="I86" s="3065">
        <v>0.05</v>
      </c>
      <c r="J86" s="999">
        <f t="shared" si="25"/>
        <v>0</v>
      </c>
      <c r="K86" s="999">
        <f t="shared" si="26"/>
        <v>0</v>
      </c>
      <c r="L86" s="999">
        <v>0</v>
      </c>
      <c r="M86" s="999">
        <f t="shared" si="27"/>
        <v>0</v>
      </c>
      <c r="N86" s="999">
        <f t="shared" si="27"/>
        <v>0</v>
      </c>
      <c r="Z86" s="1843"/>
      <c r="AA86" s="1893"/>
      <c r="AG86" s="1056"/>
      <c r="AK86" s="1893"/>
    </row>
    <row r="87" spans="1:37" ht="24">
      <c r="A87" s="1968" t="s">
        <v>2054</v>
      </c>
      <c r="B87" s="1238">
        <f>估价对象房地状况!G19</f>
        <v>0</v>
      </c>
      <c r="C87" s="1885"/>
      <c r="D87" s="1000">
        <f t="shared" si="23"/>
        <v>0</v>
      </c>
      <c r="E87" s="703"/>
      <c r="F87" s="1673"/>
      <c r="G87" s="998"/>
      <c r="H87" s="1001" t="str">
        <f t="shared" si="24"/>
        <v>——</v>
      </c>
      <c r="I87" s="3065">
        <v>0.06</v>
      </c>
      <c r="J87" s="999">
        <f t="shared" si="25"/>
        <v>0</v>
      </c>
      <c r="K87" s="999">
        <f t="shared" si="26"/>
        <v>0</v>
      </c>
      <c r="L87" s="999">
        <v>0</v>
      </c>
      <c r="M87" s="999">
        <f t="shared" si="27"/>
        <v>0</v>
      </c>
      <c r="N87" s="999">
        <f t="shared" si="27"/>
        <v>0</v>
      </c>
    </row>
    <row r="88" spans="1:37" ht="24">
      <c r="A88" s="1968" t="s">
        <v>2055</v>
      </c>
      <c r="B88" s="1238">
        <f>估价对象房地状况!G20</f>
        <v>0</v>
      </c>
      <c r="C88" s="1885"/>
      <c r="D88" s="1000">
        <f t="shared" si="23"/>
        <v>0</v>
      </c>
      <c r="E88" s="703"/>
      <c r="F88" s="1673"/>
      <c r="G88" s="998"/>
      <c r="H88" s="1001" t="str">
        <f t="shared" si="24"/>
        <v>——</v>
      </c>
      <c r="I88" s="3065">
        <v>0.12</v>
      </c>
      <c r="J88" s="999">
        <f t="shared" si="25"/>
        <v>0</v>
      </c>
      <c r="K88" s="999">
        <f t="shared" si="26"/>
        <v>0</v>
      </c>
      <c r="L88" s="999">
        <v>0</v>
      </c>
      <c r="M88" s="999">
        <f t="shared" si="27"/>
        <v>0</v>
      </c>
      <c r="N88" s="999">
        <f t="shared" si="27"/>
        <v>0</v>
      </c>
    </row>
    <row r="89" spans="1:37" ht="24">
      <c r="A89" s="1968" t="s">
        <v>2052</v>
      </c>
      <c r="B89" s="1973" t="s">
        <v>2066</v>
      </c>
      <c r="C89" s="1885"/>
      <c r="D89" s="1000">
        <f t="shared" si="23"/>
        <v>0</v>
      </c>
      <c r="E89" s="703"/>
      <c r="F89" s="1673"/>
      <c r="G89" s="998"/>
      <c r="H89" s="1001" t="str">
        <f t="shared" si="24"/>
        <v>——</v>
      </c>
      <c r="I89" s="3065">
        <v>0.06</v>
      </c>
      <c r="J89" s="999">
        <f t="shared" si="25"/>
        <v>0</v>
      </c>
      <c r="K89" s="999">
        <f t="shared" si="26"/>
        <v>0</v>
      </c>
      <c r="L89" s="999">
        <v>0</v>
      </c>
      <c r="M89" s="999">
        <f t="shared" si="27"/>
        <v>0</v>
      </c>
      <c r="N89" s="999">
        <f t="shared" si="27"/>
        <v>0</v>
      </c>
    </row>
    <row r="90" spans="1:37" ht="15" thickBot="1">
      <c r="A90" s="1975" t="s">
        <v>2067</v>
      </c>
      <c r="B90" s="1980">
        <f>估价对象房地状况!G18</f>
        <v>0</v>
      </c>
      <c r="C90" s="1885"/>
      <c r="D90" s="1000">
        <f t="shared" si="23"/>
        <v>0</v>
      </c>
      <c r="E90" s="704"/>
      <c r="F90" s="1673"/>
      <c r="G90" s="998"/>
      <c r="H90" s="1001" t="str">
        <f t="shared" si="24"/>
        <v>——</v>
      </c>
      <c r="I90" s="3066">
        <v>0.05</v>
      </c>
      <c r="J90" s="999">
        <f t="shared" si="25"/>
        <v>0</v>
      </c>
      <c r="K90" s="999">
        <f t="shared" si="26"/>
        <v>0</v>
      </c>
      <c r="L90" s="999">
        <v>0</v>
      </c>
      <c r="M90" s="999">
        <f t="shared" si="27"/>
        <v>0</v>
      </c>
      <c r="N90" s="999">
        <f t="shared" si="27"/>
        <v>0</v>
      </c>
    </row>
    <row r="91" spans="1:37" ht="15">
      <c r="A91" s="3075" t="s">
        <v>2598</v>
      </c>
      <c r="B91" s="3076">
        <f>1+E93</f>
        <v>1</v>
      </c>
      <c r="C91" s="3069"/>
      <c r="D91" s="3070"/>
      <c r="E91" s="1673"/>
      <c r="F91" s="1673"/>
      <c r="G91" s="3071"/>
      <c r="H91" s="3072"/>
      <c r="I91" s="3073"/>
      <c r="J91" s="3074"/>
      <c r="K91" s="3074"/>
      <c r="L91" s="3074"/>
      <c r="M91" s="3074"/>
      <c r="N91" s="3074"/>
    </row>
    <row r="92" spans="1:37" ht="24.75">
      <c r="A92" s="3077" t="s">
        <v>3257</v>
      </c>
      <c r="B92" s="2306"/>
      <c r="C92" s="2306" t="s">
        <v>3266</v>
      </c>
      <c r="D92" s="2306" t="s">
        <v>3267</v>
      </c>
      <c r="E92" s="3049" t="s">
        <v>3268</v>
      </c>
      <c r="F92" s="3079" t="s">
        <v>3269</v>
      </c>
      <c r="G92" s="2306" t="s">
        <v>3270</v>
      </c>
      <c r="H92" s="3086" t="s">
        <v>3273</v>
      </c>
      <c r="I92" s="2306" t="s">
        <v>3274</v>
      </c>
      <c r="J92" s="2148" t="s">
        <v>3275</v>
      </c>
      <c r="K92" s="2148" t="s">
        <v>3276</v>
      </c>
      <c r="L92" s="2148" t="s">
        <v>3277</v>
      </c>
      <c r="M92" s="2148" t="s">
        <v>3278</v>
      </c>
      <c r="N92" s="2148" t="s">
        <v>3279</v>
      </c>
    </row>
    <row r="93" spans="1:37" ht="24">
      <c r="A93" s="3067" t="s">
        <v>3258</v>
      </c>
      <c r="B93" s="1219"/>
      <c r="C93" s="1885"/>
      <c r="D93" s="2306">
        <f>SUMIF($J$92:$N$92,C93,J93:N93)</f>
        <v>0</v>
      </c>
      <c r="E93" s="3080">
        <f>ROUND(SUM(D93:D101),4)</f>
        <v>0</v>
      </c>
      <c r="F93" s="1673" t="str">
        <f>IF(E2="公共服务",SUMIF(L1:L12,G2,N1:N12),"——")</f>
        <v>——</v>
      </c>
      <c r="G93" s="3071"/>
      <c r="H93" s="3116" t="str">
        <f>IFERROR(ROUNDDOWN($F$93*I93/2,4),"——")</f>
        <v>——</v>
      </c>
      <c r="I93" s="3065">
        <v>0.25</v>
      </c>
      <c r="J93" s="1910">
        <f t="shared" ref="J93:J101" si="28">K93+$G93</f>
        <v>0</v>
      </c>
      <c r="K93" s="1910">
        <f t="shared" ref="K93:K101" si="29">$L93+$G93</f>
        <v>0</v>
      </c>
      <c r="L93" s="1910">
        <v>0</v>
      </c>
      <c r="M93" s="1910">
        <f t="shared" ref="M93:N101" si="30">L93-$G93</f>
        <v>0</v>
      </c>
      <c r="N93" s="1910">
        <f t="shared" si="30"/>
        <v>0</v>
      </c>
    </row>
    <row r="94" spans="1:37" ht="14.25">
      <c r="A94" s="3077" t="s">
        <v>3259</v>
      </c>
      <c r="B94" s="3068">
        <f>估价对象房地状况!C18</f>
        <v>0</v>
      </c>
      <c r="C94" s="1885"/>
      <c r="D94" s="2306">
        <f t="shared" ref="D94:D101" si="31">SUMIF($J$60:$N$60,C94,J94:N94)</f>
        <v>0</v>
      </c>
      <c r="E94" s="3081"/>
      <c r="F94" s="1673"/>
      <c r="G94" s="3071"/>
      <c r="H94" s="3116" t="str">
        <f>IFERROR(ROUNDDOWN($F$93*I94/2,4),"——")</f>
        <v>——</v>
      </c>
      <c r="I94" s="3065">
        <v>0.26</v>
      </c>
      <c r="J94" s="1910">
        <f t="shared" si="28"/>
        <v>0</v>
      </c>
      <c r="K94" s="1910">
        <f t="shared" si="29"/>
        <v>0</v>
      </c>
      <c r="L94" s="1910">
        <v>0</v>
      </c>
      <c r="M94" s="1910">
        <f t="shared" si="30"/>
        <v>0</v>
      </c>
      <c r="N94" s="1910">
        <f t="shared" si="30"/>
        <v>0</v>
      </c>
    </row>
    <row r="95" spans="1:37" ht="36">
      <c r="A95" s="3067" t="s">
        <v>3255</v>
      </c>
      <c r="B95" s="3068">
        <f>估价对象房地状况!C19</f>
        <v>0</v>
      </c>
      <c r="C95" s="1885"/>
      <c r="D95" s="2306">
        <f t="shared" si="31"/>
        <v>0</v>
      </c>
      <c r="E95" s="3081"/>
      <c r="F95" s="1673"/>
      <c r="G95" s="3071"/>
      <c r="H95" s="3116" t="str">
        <f t="shared" ref="H95:H101" si="32">IFERROR(ROUNDDOWN($F$93*I95/2,4),"——")</f>
        <v>——</v>
      </c>
      <c r="I95" s="3065">
        <v>0.11</v>
      </c>
      <c r="J95" s="1910">
        <f t="shared" si="28"/>
        <v>0</v>
      </c>
      <c r="K95" s="1910">
        <f t="shared" si="29"/>
        <v>0</v>
      </c>
      <c r="L95" s="1910">
        <v>0</v>
      </c>
      <c r="M95" s="1910">
        <f t="shared" si="30"/>
        <v>0</v>
      </c>
      <c r="N95" s="1910">
        <f t="shared" si="30"/>
        <v>0</v>
      </c>
    </row>
    <row r="96" spans="1:37" ht="36.75">
      <c r="A96" s="3077" t="s">
        <v>3260</v>
      </c>
      <c r="B96" s="3083" t="s">
        <v>3271</v>
      </c>
      <c r="C96" s="1885"/>
      <c r="D96" s="2306">
        <f t="shared" si="31"/>
        <v>0</v>
      </c>
      <c r="E96" s="3081"/>
      <c r="F96" s="1673"/>
      <c r="G96" s="3071"/>
      <c r="H96" s="3116" t="str">
        <f t="shared" si="32"/>
        <v>——</v>
      </c>
      <c r="I96" s="3065">
        <v>0.05</v>
      </c>
      <c r="J96" s="1910">
        <f t="shared" si="28"/>
        <v>0</v>
      </c>
      <c r="K96" s="1910">
        <f t="shared" si="29"/>
        <v>0</v>
      </c>
      <c r="L96" s="1910">
        <v>0</v>
      </c>
      <c r="M96" s="1910">
        <f t="shared" si="30"/>
        <v>0</v>
      </c>
      <c r="N96" s="1910">
        <f t="shared" si="30"/>
        <v>0</v>
      </c>
    </row>
    <row r="97" spans="1:14" ht="24">
      <c r="A97" s="3077" t="s">
        <v>3261</v>
      </c>
      <c r="B97" s="3068">
        <f>估价对象房地状况!C24</f>
        <v>0</v>
      </c>
      <c r="C97" s="1885"/>
      <c r="D97" s="2306">
        <f t="shared" si="31"/>
        <v>0</v>
      </c>
      <c r="E97" s="3081"/>
      <c r="F97" s="1673"/>
      <c r="G97" s="3071"/>
      <c r="H97" s="3116" t="str">
        <f t="shared" si="32"/>
        <v>——</v>
      </c>
      <c r="I97" s="3065">
        <v>0.05</v>
      </c>
      <c r="J97" s="1910">
        <f t="shared" si="28"/>
        <v>0</v>
      </c>
      <c r="K97" s="1910">
        <f t="shared" si="29"/>
        <v>0</v>
      </c>
      <c r="L97" s="1910">
        <v>0</v>
      </c>
      <c r="M97" s="1910">
        <f t="shared" si="30"/>
        <v>0</v>
      </c>
      <c r="N97" s="1910">
        <f t="shared" si="30"/>
        <v>0</v>
      </c>
    </row>
    <row r="98" spans="1:14" ht="24">
      <c r="A98" s="3077" t="s">
        <v>3262</v>
      </c>
      <c r="B98" s="3084" t="s">
        <v>3272</v>
      </c>
      <c r="C98" s="1885"/>
      <c r="D98" s="2306">
        <f t="shared" si="31"/>
        <v>0</v>
      </c>
      <c r="E98" s="3081"/>
      <c r="F98" s="1673"/>
      <c r="G98" s="3071"/>
      <c r="H98" s="3116" t="str">
        <f t="shared" si="32"/>
        <v>——</v>
      </c>
      <c r="I98" s="3065">
        <v>0.06</v>
      </c>
      <c r="J98" s="1910">
        <f t="shared" si="28"/>
        <v>0</v>
      </c>
      <c r="K98" s="1910">
        <f t="shared" si="29"/>
        <v>0</v>
      </c>
      <c r="L98" s="1910">
        <v>0</v>
      </c>
      <c r="M98" s="1910">
        <f t="shared" si="30"/>
        <v>0</v>
      </c>
      <c r="N98" s="1910">
        <f t="shared" si="30"/>
        <v>0</v>
      </c>
    </row>
    <row r="99" spans="1:14" ht="24">
      <c r="A99" s="3077" t="s">
        <v>3263</v>
      </c>
      <c r="B99" s="3068">
        <f>估价对象房地状况!C21</f>
        <v>0</v>
      </c>
      <c r="C99" s="1885"/>
      <c r="D99" s="2306">
        <f t="shared" si="31"/>
        <v>0</v>
      </c>
      <c r="E99" s="3081"/>
      <c r="F99" s="1673"/>
      <c r="G99" s="3071"/>
      <c r="H99" s="3116" t="str">
        <f t="shared" si="32"/>
        <v>——</v>
      </c>
      <c r="I99" s="3065">
        <v>0.06</v>
      </c>
      <c r="J99" s="1910">
        <f t="shared" si="28"/>
        <v>0</v>
      </c>
      <c r="K99" s="1910">
        <f t="shared" si="29"/>
        <v>0</v>
      </c>
      <c r="L99" s="1910">
        <v>0</v>
      </c>
      <c r="M99" s="1910">
        <f t="shared" si="30"/>
        <v>0</v>
      </c>
      <c r="N99" s="1910">
        <f t="shared" si="30"/>
        <v>0</v>
      </c>
    </row>
    <row r="100" spans="1:14" ht="24">
      <c r="A100" s="3077" t="s">
        <v>3264</v>
      </c>
      <c r="B100" s="3068">
        <f>估价对象房地状况!C22</f>
        <v>0</v>
      </c>
      <c r="C100" s="1885"/>
      <c r="D100" s="2306">
        <f t="shared" si="31"/>
        <v>0</v>
      </c>
      <c r="E100" s="3081"/>
      <c r="F100" s="1673"/>
      <c r="G100" s="3071"/>
      <c r="H100" s="3116" t="str">
        <f t="shared" si="32"/>
        <v>——</v>
      </c>
      <c r="I100" s="3065">
        <v>0.09</v>
      </c>
      <c r="J100" s="1910">
        <f t="shared" si="28"/>
        <v>0</v>
      </c>
      <c r="K100" s="1910">
        <f t="shared" si="29"/>
        <v>0</v>
      </c>
      <c r="L100" s="1910">
        <v>0</v>
      </c>
      <c r="M100" s="1910">
        <f t="shared" si="30"/>
        <v>0</v>
      </c>
      <c r="N100" s="1910">
        <f t="shared" si="30"/>
        <v>0</v>
      </c>
    </row>
    <row r="101" spans="1:14" ht="24.75" thickBot="1">
      <c r="A101" s="3078" t="s">
        <v>3265</v>
      </c>
      <c r="B101" s="3085">
        <f>估价对象房地状况!C20</f>
        <v>0</v>
      </c>
      <c r="C101" s="1885"/>
      <c r="D101" s="2306">
        <f t="shared" si="31"/>
        <v>0</v>
      </c>
      <c r="E101" s="3082"/>
      <c r="F101" s="1673"/>
      <c r="G101" s="3071"/>
      <c r="H101" s="3116" t="str">
        <f t="shared" si="32"/>
        <v>——</v>
      </c>
      <c r="I101" s="3066">
        <v>7.0000000000000007E-2</v>
      </c>
      <c r="J101" s="1910">
        <f t="shared" si="28"/>
        <v>0</v>
      </c>
      <c r="K101" s="1910">
        <f t="shared" si="29"/>
        <v>0</v>
      </c>
      <c r="L101" s="1910">
        <v>0</v>
      </c>
      <c r="M101" s="1910">
        <f t="shared" si="30"/>
        <v>0</v>
      </c>
      <c r="N101" s="1910">
        <f t="shared" si="30"/>
        <v>0</v>
      </c>
    </row>
    <row r="103" spans="1:14">
      <c r="A103" s="3485" t="s">
        <v>3280</v>
      </c>
      <c r="B103" s="3485"/>
      <c r="C103" s="3485"/>
      <c r="D103" s="3485"/>
      <c r="E103" s="3485"/>
      <c r="F103" s="3485"/>
      <c r="G103" s="3485"/>
      <c r="H103" s="3485"/>
      <c r="I103" s="3485"/>
      <c r="J103" s="3485"/>
      <c r="K103" s="1665"/>
      <c r="L103" s="1665"/>
      <c r="M103" s="1665"/>
      <c r="N103" s="1665"/>
    </row>
    <row r="104" spans="1:14">
      <c r="A104" s="3486" t="s">
        <v>3281</v>
      </c>
      <c r="B104" s="3486" t="s">
        <v>3282</v>
      </c>
      <c r="C104" s="3087" t="s">
        <v>3283</v>
      </c>
      <c r="D104" s="3088"/>
      <c r="E104" s="3088"/>
      <c r="F104" s="3088"/>
      <c r="G104" s="3088"/>
      <c r="H104" s="3088"/>
      <c r="I104" s="3088"/>
      <c r="J104" s="3089"/>
      <c r="K104" s="3090"/>
      <c r="L104" s="3090"/>
      <c r="M104" s="3090"/>
      <c r="N104" s="3090"/>
    </row>
    <row r="105" spans="1:14">
      <c r="A105" s="3486"/>
      <c r="B105" s="3486"/>
      <c r="C105" s="3091" t="s">
        <v>3284</v>
      </c>
      <c r="D105" s="3091" t="s">
        <v>3285</v>
      </c>
      <c r="E105" s="3091" t="s">
        <v>3286</v>
      </c>
      <c r="F105" s="3091" t="s">
        <v>3287</v>
      </c>
      <c r="G105" s="3091" t="s">
        <v>3288</v>
      </c>
      <c r="H105" s="3091" t="s">
        <v>3289</v>
      </c>
      <c r="I105" s="3091" t="s">
        <v>3290</v>
      </c>
      <c r="J105" s="3091" t="s">
        <v>3291</v>
      </c>
      <c r="K105" s="3091" t="s">
        <v>3292</v>
      </c>
      <c r="L105" s="3091" t="s">
        <v>3293</v>
      </c>
      <c r="M105" s="3091" t="s">
        <v>3294</v>
      </c>
      <c r="N105" s="3091" t="s">
        <v>3295</v>
      </c>
    </row>
    <row r="106" spans="1:14">
      <c r="A106" s="3472" t="s">
        <v>3296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3"/>
      <c r="B111" s="3091" t="s">
        <v>3254</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474"/>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475" t="s">
        <v>3297</v>
      </c>
      <c r="B113" s="3475"/>
      <c r="C113" s="3475"/>
      <c r="D113" s="3475"/>
      <c r="E113" s="3475"/>
      <c r="F113" s="3475"/>
      <c r="G113" s="3475"/>
      <c r="H113" s="3475"/>
      <c r="I113" s="3475"/>
      <c r="J113" s="3475"/>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3298</v>
      </c>
      <c r="B116" s="3111">
        <f>G3</f>
        <v>7.67</v>
      </c>
      <c r="C116" s="3096" t="s">
        <v>3299</v>
      </c>
      <c r="D116" s="3097">
        <f>SUMPRODUCT((A118:A122=F116)*(B117:M117=H116)*B118:M122)</f>
        <v>0.91239999999999999</v>
      </c>
      <c r="E116" s="162" t="s">
        <v>3300</v>
      </c>
      <c r="F116" s="3098" t="str">
        <f>E2</f>
        <v>商业</v>
      </c>
      <c r="G116" s="162" t="s">
        <v>3301</v>
      </c>
      <c r="H116" s="3098" t="str">
        <f>G2</f>
        <v>一级</v>
      </c>
      <c r="I116" s="162"/>
      <c r="J116" s="3099"/>
      <c r="K116" s="3099"/>
      <c r="L116" s="3099"/>
      <c r="M116" s="3099"/>
      <c r="N116" s="3094"/>
    </row>
    <row r="117" spans="1:14">
      <c r="A117" s="3100"/>
      <c r="B117" s="3101" t="s">
        <v>3302</v>
      </c>
      <c r="C117" s="3101" t="s">
        <v>3303</v>
      </c>
      <c r="D117" s="3101" t="s">
        <v>3304</v>
      </c>
      <c r="E117" s="3102" t="s">
        <v>3305</v>
      </c>
      <c r="F117" s="3102" t="s">
        <v>3306</v>
      </c>
      <c r="G117" s="3102" t="s">
        <v>3307</v>
      </c>
      <c r="H117" s="3103" t="s">
        <v>3308</v>
      </c>
      <c r="I117" s="3103" t="s">
        <v>3309</v>
      </c>
      <c r="J117" s="3104" t="s">
        <v>3310</v>
      </c>
      <c r="K117" s="3104" t="s">
        <v>3311</v>
      </c>
      <c r="L117" s="3104" t="s">
        <v>3312</v>
      </c>
      <c r="M117" s="3105" t="s">
        <v>3313</v>
      </c>
      <c r="N117" s="3094"/>
    </row>
    <row r="118" spans="1:14">
      <c r="A118" s="3054" t="s">
        <v>3314</v>
      </c>
      <c r="B118" s="3086">
        <f>ROUND(0.9968-0.011*B116,4)</f>
        <v>0.91239999999999999</v>
      </c>
      <c r="C118" s="3086">
        <f>B118</f>
        <v>0.91239999999999999</v>
      </c>
      <c r="D118" s="3086">
        <f>ROUND(0.949-0.014*B116,4)</f>
        <v>0.84160000000000001</v>
      </c>
      <c r="E118" s="3086">
        <f>D118</f>
        <v>0.84160000000000001</v>
      </c>
      <c r="F118" s="3086">
        <f>E118</f>
        <v>0.84160000000000001</v>
      </c>
      <c r="G118" s="3086">
        <f>F118</f>
        <v>0.84160000000000001</v>
      </c>
      <c r="H118" s="3086">
        <f>G118</f>
        <v>0.84160000000000001</v>
      </c>
      <c r="I118" s="3086">
        <f>ROUND(0.8486-0.018*B116,4)</f>
        <v>0.71050000000000002</v>
      </c>
      <c r="J118" s="3086">
        <f t="shared" ref="J118:M122" si="36">I118</f>
        <v>0.71050000000000002</v>
      </c>
      <c r="K118" s="3086">
        <f t="shared" si="36"/>
        <v>0.71050000000000002</v>
      </c>
      <c r="L118" s="3086">
        <f t="shared" si="36"/>
        <v>0.71050000000000002</v>
      </c>
      <c r="M118" s="3106">
        <f t="shared" si="36"/>
        <v>0.71050000000000002</v>
      </c>
      <c r="N118" s="3094"/>
    </row>
    <row r="119" spans="1:14">
      <c r="A119" s="3054" t="s">
        <v>3315</v>
      </c>
      <c r="B119" s="3086">
        <f>ROUND(0.993-0.0112*B116,4)</f>
        <v>0.90710000000000002</v>
      </c>
      <c r="C119" s="3086">
        <f>B119</f>
        <v>0.90710000000000002</v>
      </c>
      <c r="D119" s="3086">
        <f>ROUND(0.9415-0.0142*B116,4)</f>
        <v>0.83260000000000001</v>
      </c>
      <c r="E119" s="3086">
        <f t="shared" ref="E119:H120" si="37">D119</f>
        <v>0.83260000000000001</v>
      </c>
      <c r="F119" s="3086">
        <f t="shared" si="37"/>
        <v>0.83260000000000001</v>
      </c>
      <c r="G119" s="3086">
        <f t="shared" si="37"/>
        <v>0.83260000000000001</v>
      </c>
      <c r="H119" s="3086">
        <f t="shared" si="37"/>
        <v>0.83260000000000001</v>
      </c>
      <c r="I119" s="3086">
        <f>ROUND(0.838-0.0182*B116,4)</f>
        <v>0.69840000000000002</v>
      </c>
      <c r="J119" s="3086">
        <f t="shared" si="36"/>
        <v>0.69840000000000002</v>
      </c>
      <c r="K119" s="3086">
        <f t="shared" si="36"/>
        <v>0.69840000000000002</v>
      </c>
      <c r="L119" s="3086">
        <f t="shared" si="36"/>
        <v>0.69840000000000002</v>
      </c>
      <c r="M119" s="3106">
        <f t="shared" si="36"/>
        <v>0.69840000000000002</v>
      </c>
      <c r="N119" s="3094"/>
    </row>
    <row r="120" spans="1:14">
      <c r="A120" s="3054" t="s">
        <v>3316</v>
      </c>
      <c r="B120" s="3086">
        <f>ROUND(0.9448-0.0115*B116,4)</f>
        <v>0.85660000000000003</v>
      </c>
      <c r="C120" s="3086">
        <f>B120</f>
        <v>0.85660000000000003</v>
      </c>
      <c r="D120" s="3086">
        <f>ROUND(0.937-0.0145*B116,4)</f>
        <v>0.82579999999999998</v>
      </c>
      <c r="E120" s="3086">
        <f t="shared" si="37"/>
        <v>0.82579999999999998</v>
      </c>
      <c r="F120" s="3086">
        <f t="shared" si="37"/>
        <v>0.82579999999999998</v>
      </c>
      <c r="G120" s="3086">
        <f t="shared" si="37"/>
        <v>0.82579999999999998</v>
      </c>
      <c r="H120" s="3086">
        <f t="shared" si="37"/>
        <v>0.82579999999999998</v>
      </c>
      <c r="I120" s="3086">
        <f>ROUND(0.7965-0.0185*B116,4)</f>
        <v>0.65459999999999996</v>
      </c>
      <c r="J120" s="3086">
        <f t="shared" si="36"/>
        <v>0.65459999999999996</v>
      </c>
      <c r="K120" s="3086">
        <f t="shared" si="36"/>
        <v>0.65459999999999996</v>
      </c>
      <c r="L120" s="3086">
        <f t="shared" si="36"/>
        <v>0.65459999999999996</v>
      </c>
      <c r="M120" s="3106">
        <f t="shared" si="36"/>
        <v>0.65459999999999996</v>
      </c>
      <c r="N120" s="3094"/>
    </row>
    <row r="121" spans="1:14" ht="13.5" thickBot="1">
      <c r="A121" s="3107" t="s">
        <v>3317</v>
      </c>
      <c r="B121" s="3108">
        <f>ROUND(0.7836-0.012*B116,4)</f>
        <v>0.69159999999999999</v>
      </c>
      <c r="C121" s="3108">
        <f>B121</f>
        <v>0.69159999999999999</v>
      </c>
      <c r="D121" s="3108">
        <f>ROUND(0.753-0.015*B116,4)</f>
        <v>0.63800000000000001</v>
      </c>
      <c r="E121" s="3108">
        <f>D121</f>
        <v>0.63800000000000001</v>
      </c>
      <c r="F121" s="3108">
        <f>E121</f>
        <v>0.63800000000000001</v>
      </c>
      <c r="G121" s="3108">
        <f>ROUND(0.6612-0.018*B116,4)</f>
        <v>0.52310000000000001</v>
      </c>
      <c r="H121" s="3108">
        <f>G121</f>
        <v>0.52310000000000001</v>
      </c>
      <c r="I121" s="3108">
        <f>ROUND(0.5905-0.019*B116,4)</f>
        <v>0.44479999999999997</v>
      </c>
      <c r="J121" s="3108">
        <f t="shared" si="36"/>
        <v>0.44479999999999997</v>
      </c>
      <c r="K121" s="3108">
        <f t="shared" si="36"/>
        <v>0.44479999999999997</v>
      </c>
      <c r="L121" s="3108">
        <f t="shared" si="36"/>
        <v>0.44479999999999997</v>
      </c>
      <c r="M121" s="3109">
        <f t="shared" si="36"/>
        <v>0.44479999999999997</v>
      </c>
      <c r="N121" s="3094"/>
    </row>
    <row r="122" spans="1:14">
      <c r="A122" s="3110" t="s">
        <v>2598</v>
      </c>
      <c r="B122" s="3086">
        <f>ROUND(0.9404-0.0106*B116,4)</f>
        <v>0.85909999999999997</v>
      </c>
      <c r="C122" s="3086">
        <f>B122</f>
        <v>0.85909999999999997</v>
      </c>
      <c r="D122" s="3086">
        <f>ROUND(0.8955-0.0135*B116,4)</f>
        <v>0.79200000000000004</v>
      </c>
      <c r="E122" s="3086">
        <f t="shared" ref="E122:H122" si="38">D122</f>
        <v>0.79200000000000004</v>
      </c>
      <c r="F122" s="3086">
        <f t="shared" si="38"/>
        <v>0.79200000000000004</v>
      </c>
      <c r="G122" s="3086">
        <f t="shared" si="38"/>
        <v>0.79200000000000004</v>
      </c>
      <c r="H122" s="3086">
        <f t="shared" si="38"/>
        <v>0.79200000000000004</v>
      </c>
      <c r="I122" s="3086">
        <f>ROUND(0.7632-0.0166*B116,4)</f>
        <v>0.63590000000000002</v>
      </c>
      <c r="J122" s="3086">
        <f t="shared" si="36"/>
        <v>0.63590000000000002</v>
      </c>
      <c r="K122" s="3086">
        <f t="shared" si="36"/>
        <v>0.63590000000000002</v>
      </c>
      <c r="L122" s="3086">
        <f t="shared" si="36"/>
        <v>0.63590000000000002</v>
      </c>
      <c r="M122" s="3106">
        <f t="shared" si="36"/>
        <v>0.63590000000000002</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825C7-87C2-41DB-AF09-220ED41B7E82}">
  <sheetPr>
    <tabColor rgb="FFFF0000"/>
  </sheetPr>
  <dimension ref="A1:AJ512"/>
  <sheetViews>
    <sheetView view="pageBreakPreview" topLeftCell="A3" zoomScale="85" zoomScaleNormal="100" zoomScaleSheetLayoutView="85" zoomScalePageLayoutView="80" workbookViewId="0">
      <selection activeCell="H25" sqref="H25"/>
    </sheetView>
  </sheetViews>
  <sheetFormatPr defaultColWidth="12.625" defaultRowHeight="21.75" customHeight="1"/>
  <cols>
    <col min="1" max="2" width="12.625" style="1559"/>
    <col min="3" max="4" width="12.625" style="1559" customWidth="1"/>
    <col min="5" max="9" width="12.625" style="1559"/>
    <col min="10" max="11" width="12.625" style="684" customWidth="1"/>
    <col min="12" max="12" width="12.625" style="684"/>
    <col min="13" max="13" width="14.125" style="684" bestFit="1" customWidth="1"/>
    <col min="14" max="26" width="12.625" style="684"/>
    <col min="27" max="35" width="12.625" style="1621"/>
    <col min="36" max="16384" width="12.625" style="1559"/>
  </cols>
  <sheetData>
    <row r="1" spans="1:12" ht="21.75" customHeight="1" thickBot="1">
      <c r="A1" s="1519" t="s">
        <v>1257</v>
      </c>
      <c r="B1" s="646"/>
      <c r="C1" s="1618"/>
      <c r="D1" s="646"/>
      <c r="E1" s="646"/>
      <c r="F1" s="1619" t="s">
        <v>1258</v>
      </c>
      <c r="G1" s="1451"/>
      <c r="H1" s="1619" t="str">
        <f>IF(G1="现房","——","估价对象范围")</f>
        <v>估价对象范围</v>
      </c>
      <c r="I1" s="1620"/>
    </row>
    <row r="2" spans="1:12" ht="21.75" customHeight="1" thickBot="1">
      <c r="A2" s="3308" t="str">
        <f>项目基本情况!S2</f>
        <v>北京市房地产</v>
      </c>
      <c r="B2" s="3309"/>
      <c r="C2" s="3309"/>
      <c r="D2" s="3309"/>
      <c r="E2" s="3309"/>
      <c r="F2" s="3309"/>
      <c r="G2" s="3309"/>
      <c r="H2" s="3309"/>
      <c r="I2" s="3310"/>
    </row>
    <row r="3" spans="1:12" ht="12.75">
      <c r="A3" s="3312" t="s">
        <v>1259</v>
      </c>
      <c r="B3" s="3313"/>
      <c r="C3" s="3313"/>
      <c r="D3" s="3313"/>
      <c r="E3" s="3313"/>
      <c r="F3" s="3313"/>
      <c r="G3" s="3313"/>
      <c r="H3" s="3313"/>
      <c r="I3" s="3313"/>
    </row>
    <row r="4" spans="1:12" ht="14.25">
      <c r="A4" s="1622" t="s">
        <v>1260</v>
      </c>
      <c r="B4" s="1623" t="s">
        <v>1261</v>
      </c>
      <c r="C4" s="1624" t="s">
        <v>3476</v>
      </c>
      <c r="D4" s="1624" t="s">
        <v>3466</v>
      </c>
      <c r="E4" s="3314" t="s">
        <v>1262</v>
      </c>
      <c r="F4" s="3315"/>
      <c r="G4" s="3315"/>
      <c r="H4" s="3315"/>
      <c r="I4" s="3316"/>
      <c r="K4" s="138" t="str">
        <f>IF(ISNUMBER(FIND("比较法",'办公结果表 '!C4)),"比较法",IF(ISNUMBER(FIND("成本法",'办公结果表 '!C4)),"成本法",IF(ISNUMBER(FIND("假设开发法",'办公结果表 '!C4)),"假设开发法",IF(ISNUMBER(FIND("收益法",'办公结果表 '!C4)),"收益法","基准地价系数修正法"))))</f>
        <v>成本法</v>
      </c>
      <c r="L4" s="138" t="str">
        <f>IF(ISNUMBER(FIND("比较法",'办公结果表 '!D4)),"比较法",IF(ISNUMBER(FIND("成本法",'办公结果表 '!D4)),"成本法",IF(ISNUMBER(FIND("假设开发法",'办公结果表 '!D4)),"假设开发法",IF(ISNUMBER(FIND("收益法",'办公结果表 '!D4)),"收益法","基准地价系数修正法"))))</f>
        <v>收益法</v>
      </c>
    </row>
    <row r="5" spans="1:12" ht="12.75">
      <c r="A5" s="3288" t="s">
        <v>1263</v>
      </c>
      <c r="B5" s="3275">
        <v>25</v>
      </c>
      <c r="C5" s="3291"/>
      <c r="D5" s="3311"/>
      <c r="E5" s="123" t="s">
        <v>1264</v>
      </c>
      <c r="F5" s="1625"/>
      <c r="G5" s="1625"/>
      <c r="H5" s="1625"/>
      <c r="I5" s="1279"/>
    </row>
    <row r="6" spans="1:12" ht="12.75">
      <c r="A6" s="3288"/>
      <c r="B6" s="3275"/>
      <c r="C6" s="3292"/>
      <c r="D6" s="3311"/>
      <c r="E6" s="123" t="s">
        <v>1265</v>
      </c>
      <c r="F6" s="1625"/>
      <c r="G6" s="1625"/>
      <c r="H6" s="1625"/>
      <c r="I6" s="1279"/>
    </row>
    <row r="7" spans="1:12" ht="12.75">
      <c r="A7" s="3288"/>
      <c r="B7" s="3275"/>
      <c r="C7" s="3293"/>
      <c r="D7" s="3311"/>
      <c r="E7" s="123" t="s">
        <v>1266</v>
      </c>
      <c r="F7" s="1625"/>
      <c r="G7" s="1625"/>
      <c r="H7" s="1625"/>
      <c r="I7" s="1279"/>
    </row>
    <row r="8" spans="1:12" ht="12.75">
      <c r="A8" s="3288" t="s">
        <v>1267</v>
      </c>
      <c r="B8" s="3275">
        <v>15</v>
      </c>
      <c r="C8" s="3291"/>
      <c r="D8" s="3311"/>
      <c r="E8" s="123" t="s">
        <v>1268</v>
      </c>
      <c r="F8" s="1625"/>
      <c r="G8" s="1625"/>
      <c r="H8" s="1625"/>
      <c r="I8" s="1279"/>
    </row>
    <row r="9" spans="1:12" ht="12.75">
      <c r="A9" s="3288"/>
      <c r="B9" s="3275"/>
      <c r="C9" s="3293"/>
      <c r="D9" s="3311"/>
      <c r="E9" s="123" t="s">
        <v>1269</v>
      </c>
      <c r="F9" s="1625"/>
      <c r="G9" s="1625"/>
      <c r="H9" s="1625"/>
      <c r="I9" s="1279"/>
    </row>
    <row r="10" spans="1:12" ht="12.75">
      <c r="A10" s="3288" t="s">
        <v>1270</v>
      </c>
      <c r="B10" s="3275">
        <v>15</v>
      </c>
      <c r="C10" s="3291"/>
      <c r="D10" s="3311"/>
      <c r="E10" s="123" t="s">
        <v>1271</v>
      </c>
      <c r="F10" s="1625"/>
      <c r="G10" s="1625"/>
      <c r="H10" s="1625"/>
      <c r="I10" s="1279"/>
    </row>
    <row r="11" spans="1:12" ht="12.75">
      <c r="A11" s="3288"/>
      <c r="B11" s="3275"/>
      <c r="C11" s="3293"/>
      <c r="D11" s="3311"/>
      <c r="E11" s="123" t="s">
        <v>1272</v>
      </c>
      <c r="F11" s="1625"/>
      <c r="G11" s="1625"/>
      <c r="H11" s="1625"/>
      <c r="I11" s="1279"/>
    </row>
    <row r="12" spans="1:12" ht="12.75">
      <c r="A12" s="3288" t="s">
        <v>1273</v>
      </c>
      <c r="B12" s="3275">
        <v>15</v>
      </c>
      <c r="C12" s="3291"/>
      <c r="D12" s="3311"/>
      <c r="E12" s="123" t="s">
        <v>1274</v>
      </c>
      <c r="F12" s="1625"/>
      <c r="G12" s="1625"/>
      <c r="H12" s="1625"/>
      <c r="I12" s="1279"/>
    </row>
    <row r="13" spans="1:12" ht="12.75">
      <c r="A13" s="3288"/>
      <c r="B13" s="3275"/>
      <c r="C13" s="3293"/>
      <c r="D13" s="3311"/>
      <c r="E13" s="123" t="s">
        <v>1275</v>
      </c>
      <c r="F13" s="1625"/>
      <c r="G13" s="1625"/>
      <c r="H13" s="1625"/>
      <c r="I13" s="1279"/>
    </row>
    <row r="14" spans="1:12" ht="12.75">
      <c r="A14" s="3288" t="s">
        <v>1276</v>
      </c>
      <c r="B14" s="3275">
        <v>30</v>
      </c>
      <c r="C14" s="3291">
        <v>3</v>
      </c>
      <c r="D14" s="3311">
        <v>7</v>
      </c>
      <c r="E14" s="123" t="s">
        <v>1277</v>
      </c>
      <c r="F14" s="1625"/>
      <c r="G14" s="1625"/>
      <c r="H14" s="1625"/>
      <c r="I14" s="1279"/>
    </row>
    <row r="15" spans="1:12" ht="12.75">
      <c r="A15" s="3288"/>
      <c r="B15" s="3275"/>
      <c r="C15" s="3292"/>
      <c r="D15" s="3311"/>
      <c r="E15" s="123" t="s">
        <v>1278</v>
      </c>
      <c r="F15" s="1625"/>
      <c r="G15" s="1625"/>
      <c r="H15" s="1625"/>
      <c r="I15" s="1279"/>
    </row>
    <row r="16" spans="1:12" ht="12.75">
      <c r="A16" s="3288"/>
      <c r="B16" s="3275"/>
      <c r="C16" s="3293"/>
      <c r="D16" s="3311"/>
      <c r="E16" s="123" t="s">
        <v>1279</v>
      </c>
      <c r="F16" s="1625"/>
      <c r="G16" s="1625"/>
      <c r="H16" s="1625"/>
      <c r="I16" s="1279"/>
    </row>
    <row r="17" spans="1:36" ht="15">
      <c r="A17" s="1626" t="s">
        <v>1280</v>
      </c>
      <c r="B17" s="54"/>
      <c r="C17" s="124">
        <f>SUM(C5:C16)</f>
        <v>3</v>
      </c>
      <c r="D17" s="124">
        <f>SUM(D5:D16)</f>
        <v>7</v>
      </c>
      <c r="E17" s="121"/>
      <c r="F17" s="121"/>
      <c r="G17" s="121"/>
      <c r="H17" s="121"/>
      <c r="I17" s="121"/>
      <c r="K17" s="294"/>
      <c r="L17" s="294" t="s">
        <v>1281</v>
      </c>
      <c r="M17" s="294" t="s">
        <v>1282</v>
      </c>
    </row>
    <row r="18" spans="1:36" ht="31.9" customHeight="1" thickBot="1">
      <c r="A18" s="1627" t="s">
        <v>1283</v>
      </c>
      <c r="B18" s="1540"/>
      <c r="C18" s="125">
        <f>ROUND(C17/SUM(C17:D17),2)</f>
        <v>0.3</v>
      </c>
      <c r="D18" s="125">
        <f>1-C18</f>
        <v>0.7</v>
      </c>
      <c r="E18" s="3298" t="s">
        <v>2126</v>
      </c>
      <c r="F18" s="3299"/>
      <c r="G18" s="3299"/>
      <c r="H18" s="3299"/>
      <c r="I18" s="3299"/>
      <c r="K18" s="294" t="s">
        <v>1284</v>
      </c>
      <c r="L18" s="294">
        <f>IF(C1="",'数据-汇总表'!E3,SUMIF(项目类型,C1,'数据-汇总表'!E17:E26)+SUMIF(项目类型,C1,'数据-汇总表'!I17:I26))</f>
        <v>139616.6</v>
      </c>
      <c r="M18" s="294">
        <f>IF(C1="",'数据-汇总表'!E3,SUMIF(项目类型,C1,'数据-汇总表'!E17:E26))</f>
        <v>139616.6</v>
      </c>
    </row>
    <row r="19" spans="1:36" ht="15">
      <c r="A19" s="1628" t="s">
        <v>1285</v>
      </c>
      <c r="B19" s="1629" t="s">
        <v>1286</v>
      </c>
      <c r="C19" s="126">
        <f ca="1">SUMIF(INDIRECT("'"&amp;C4&amp;"'"&amp;"!A:A"),'办公结果表 '!B19,INDIRECT("'"&amp;C4&amp;"'"&amp;"!B:B"))</f>
        <v>503527</v>
      </c>
      <c r="D19" s="127">
        <f ca="1">SUMIF(INDIRECT("'"&amp;D4&amp;"'"&amp;"!A:A"),'办公结果表 '!B19,INDIRECT("'"&amp;D4&amp;"'"&amp;"!B:B"))</f>
        <v>870004</v>
      </c>
      <c r="E19" s="1628" t="s">
        <v>1287</v>
      </c>
      <c r="F19" s="1629" t="s">
        <v>1286</v>
      </c>
      <c r="G19" s="128">
        <f ca="1">ROUND(C19*$C$18+D19*$D$18,0)</f>
        <v>760061</v>
      </c>
      <c r="H19" s="1630" t="s">
        <v>1288</v>
      </c>
      <c r="I19" s="121"/>
      <c r="K19" s="294" t="s">
        <v>1289</v>
      </c>
      <c r="L19" s="294">
        <f>IF(C1="",'数据-汇总表'!D3,SUMIF(项目类型,C1,'数据-汇总表'!D17:D26)+SUMIF(项目类型,C1,'数据-汇总表'!H17:H27))</f>
        <v>13767.47</v>
      </c>
      <c r="M19" s="294">
        <f>IF(C1="",'数据-汇总表'!D3,SUMIF(项目类型,C1,'数据-汇总表'!D17:D26))</f>
        <v>13767.47</v>
      </c>
    </row>
    <row r="20" spans="1:36" ht="15">
      <c r="A20" s="1631"/>
      <c r="B20" s="43" t="s">
        <v>1290</v>
      </c>
      <c r="C20" s="129">
        <f ca="1">SUMIF(INDIRECT("'"&amp;C4&amp;"'"&amp;"!A:A"),'办公结果表 '!B20,INDIRECT("'"&amp;C4&amp;"'"&amp;"!B:B"))</f>
        <v>55099</v>
      </c>
      <c r="D20" s="130">
        <f ca="1">SUMIF(INDIRECT("'"&amp;D4&amp;"'"&amp;"!A:A"),'办公结果表 '!B20,INDIRECT("'"&amp;D4&amp;"'"&amp;"!B:B"))</f>
        <v>95201</v>
      </c>
      <c r="E20" s="1631"/>
      <c r="F20" s="43" t="s">
        <v>1290</v>
      </c>
      <c r="G20" s="131">
        <f ca="1">ROUND(C20*$C$18+D20*$D$18,0)</f>
        <v>83170</v>
      </c>
      <c r="H20" s="758" t="s">
        <v>1291</v>
      </c>
      <c r="I20" s="121"/>
    </row>
    <row r="21" spans="1:36" ht="15" customHeight="1" thickBot="1">
      <c r="A21" s="449"/>
      <c r="B21" s="93" t="s">
        <v>1292</v>
      </c>
      <c r="C21" s="678">
        <f ca="1">ROUND(C19*10000/L19,0)</f>
        <v>365737</v>
      </c>
      <c r="D21" s="679">
        <f ca="1">ROUND(D19*10000/L19,0)</f>
        <v>631927</v>
      </c>
      <c r="E21" s="449"/>
      <c r="F21" s="93" t="s">
        <v>1292</v>
      </c>
      <c r="G21" s="132">
        <f ca="1">ROUND(G19*10000/L19,0)</f>
        <v>552070</v>
      </c>
      <c r="H21" s="1632" t="s">
        <v>1291</v>
      </c>
      <c r="I21" s="121"/>
    </row>
    <row r="22" spans="1:36" ht="15" thickBot="1">
      <c r="A22" s="1562" t="s">
        <v>1293</v>
      </c>
      <c r="B22" s="1633"/>
      <c r="C22" s="1634"/>
      <c r="D22" s="680">
        <f ca="1">IF(C19&lt;D19,D19/C19-1,C19/D19-1)</f>
        <v>0.72781995801615396</v>
      </c>
      <c r="E22" s="121"/>
      <c r="F22" s="121"/>
      <c r="G22" s="121"/>
      <c r="H22" s="121"/>
      <c r="I22" s="121"/>
    </row>
    <row r="23" spans="1:36" ht="13.5" thickBot="1">
      <c r="A23" s="646"/>
      <c r="B23" s="646"/>
      <c r="C23" s="646"/>
      <c r="D23" s="646"/>
      <c r="E23" s="121"/>
      <c r="F23" s="121"/>
      <c r="G23" s="121"/>
      <c r="H23" s="121"/>
      <c r="I23" s="121"/>
    </row>
    <row r="24" spans="1:36" ht="14.25">
      <c r="A24" s="3282" t="s">
        <v>1294</v>
      </c>
      <c r="B24" s="1629" t="s">
        <v>1286</v>
      </c>
      <c r="C24" s="128">
        <f>IF(B30=0,0,D30)</f>
        <v>0</v>
      </c>
      <c r="D24" s="1635"/>
      <c r="E24" s="121"/>
      <c r="F24" s="121"/>
      <c r="G24" s="121"/>
      <c r="H24" s="121"/>
      <c r="I24" s="121"/>
    </row>
    <row r="25" spans="1:36" ht="14.25">
      <c r="A25" s="3283"/>
      <c r="B25" s="43" t="s">
        <v>1290</v>
      </c>
      <c r="C25" s="133">
        <f>IF(B30=0,0,C30)</f>
        <v>0</v>
      </c>
      <c r="D25" s="1636"/>
      <c r="E25" s="121"/>
      <c r="F25" s="121"/>
      <c r="G25" s="121"/>
      <c r="H25" s="121"/>
      <c r="I25" s="121"/>
    </row>
    <row r="26" spans="1:36" ht="13.5" customHeight="1">
      <c r="A26" s="1637" t="s">
        <v>1295</v>
      </c>
      <c r="B26" s="134" t="s">
        <v>1296</v>
      </c>
      <c r="C26" s="134" t="s">
        <v>1297</v>
      </c>
      <c r="D26" s="135" t="s">
        <v>1298</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1299</v>
      </c>
      <c r="B30" s="134"/>
      <c r="C30" s="134"/>
      <c r="D30" s="134"/>
      <c r="E30" s="2125" t="s">
        <v>2127</v>
      </c>
      <c r="F30" s="121"/>
      <c r="G30" s="121"/>
      <c r="H30" s="121"/>
      <c r="I30" s="121"/>
    </row>
    <row r="31" spans="1:36" s="2131" customFormat="1" ht="26.45" customHeight="1" thickTop="1" thickBot="1">
      <c r="A31" s="2126"/>
      <c r="B31" s="2127"/>
      <c r="C31" s="2127"/>
      <c r="D31" s="2127"/>
      <c r="E31" s="2127"/>
      <c r="F31" s="2127"/>
      <c r="G31" s="2127"/>
      <c r="H31" s="2127"/>
      <c r="I31" s="2128" t="s">
        <v>2128</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1300</v>
      </c>
      <c r="B32" s="1533"/>
      <c r="C32" s="136">
        <f ca="1">IF(D32="总价",G19-C24,G20-C25)</f>
        <v>760061</v>
      </c>
      <c r="D32" s="1639" t="s">
        <v>3470</v>
      </c>
      <c r="E32" s="121"/>
      <c r="F32" s="121"/>
      <c r="G32" s="121"/>
      <c r="H32" s="121"/>
      <c r="I32" s="121"/>
    </row>
    <row r="33" spans="1:15" ht="15">
      <c r="A33" s="738" t="s">
        <v>1301</v>
      </c>
      <c r="B33" s="123"/>
      <c r="C33" s="1640" t="s">
        <v>3471</v>
      </c>
      <c r="D33" s="1641" t="s">
        <v>3441</v>
      </c>
      <c r="E33" s="1642" t="s">
        <v>1302</v>
      </c>
      <c r="F33" s="1643" t="str">
        <f>IF(D32="楼面单价","取值（单价）","取值（总价）")</f>
        <v>取值（总价）</v>
      </c>
      <c r="G33" s="121"/>
      <c r="H33" s="121"/>
      <c r="I33" s="121"/>
    </row>
    <row r="34" spans="1:15" ht="15">
      <c r="A34" s="1644"/>
      <c r="B34" s="1645" t="s">
        <v>1303</v>
      </c>
      <c r="C34" s="140" t="e">
        <f ca="1">IF(C33="自定义",F34,C32-C35)</f>
        <v>#REF!</v>
      </c>
      <c r="D34" s="806" t="e">
        <f ca="1">IF(C33="自定义",ROUND(C34/C32,3),IF(C33="收益比率",SUMIF(INDIRECT("'"&amp;D33&amp;"'"&amp;"!b:b"),"土地收益比率",INDIRECT("'"&amp;D33&amp;"'"&amp;"!c:c")),SUMIF(INDIRECT("'"&amp;D33&amp;"'"&amp;"!b:b"),"土地成本比率",INDIRECT("'"&amp;D33&amp;"'"&amp;"!c:c"))))</f>
        <v>#REF!</v>
      </c>
      <c r="E34" s="1646" t="s">
        <v>1304</v>
      </c>
      <c r="F34" s="1241"/>
      <c r="G34" s="121"/>
      <c r="H34" s="121"/>
      <c r="I34" s="121"/>
    </row>
    <row r="35" spans="1:15" ht="15.75" thickBot="1">
      <c r="A35" s="1647"/>
      <c r="B35" s="1648" t="s">
        <v>1305</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1306</v>
      </c>
      <c r="F35" s="146"/>
      <c r="G35" s="121"/>
      <c r="H35" s="121"/>
      <c r="I35" s="121"/>
    </row>
    <row r="36" spans="1:15" ht="15.75" thickBot="1">
      <c r="A36" s="3302" t="s">
        <v>1307</v>
      </c>
      <c r="B36" s="1650" t="s">
        <v>1308</v>
      </c>
      <c r="C36" s="137"/>
      <c r="D36" s="1651"/>
      <c r="E36" s="1565"/>
      <c r="F36" s="1652"/>
      <c r="G36" s="121"/>
      <c r="H36" s="121"/>
      <c r="I36" s="121"/>
    </row>
    <row r="37" spans="1:15" ht="15.75" thickBot="1">
      <c r="A37" s="3303"/>
      <c r="B37" s="1553" t="s">
        <v>1309</v>
      </c>
      <c r="C37" s="139"/>
      <c r="D37" s="1069"/>
      <c r="E37" s="1069"/>
      <c r="F37" s="1652"/>
      <c r="G37" s="121"/>
      <c r="H37" s="121"/>
      <c r="I37" s="121"/>
    </row>
    <row r="38" spans="1:15" ht="15.75" thickBot="1">
      <c r="A38" s="3304"/>
      <c r="B38" s="1653" t="s">
        <v>1310</v>
      </c>
      <c r="C38" s="641"/>
      <c r="D38" s="1654" t="s">
        <v>1311</v>
      </c>
      <c r="E38" s="1069"/>
      <c r="F38" s="1652"/>
      <c r="G38" s="121"/>
      <c r="H38" s="121"/>
      <c r="I38" s="121"/>
    </row>
    <row r="39" spans="1:15" ht="15">
      <c r="A39" s="1631" t="s">
        <v>1312</v>
      </c>
      <c r="B39" s="1655" t="s">
        <v>1296</v>
      </c>
      <c r="C39" s="1656" t="s">
        <v>1297</v>
      </c>
      <c r="D39" s="1656" t="s">
        <v>1315</v>
      </c>
      <c r="E39" s="1657" t="s">
        <v>1298</v>
      </c>
      <c r="F39" s="1652"/>
      <c r="G39" s="121"/>
      <c r="H39" s="121"/>
      <c r="I39" s="121"/>
    </row>
    <row r="40" spans="1:15" ht="14.25">
      <c r="A40" s="1658" t="s">
        <v>1317</v>
      </c>
      <c r="B40" s="141"/>
      <c r="C40" s="142"/>
      <c r="D40" s="142"/>
      <c r="E40" s="143"/>
      <c r="F40" s="1652"/>
      <c r="G40" s="121"/>
      <c r="H40" s="121"/>
      <c r="I40" s="121"/>
    </row>
    <row r="41" spans="1:15" ht="14.25">
      <c r="A41" s="1658" t="s">
        <v>1318</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1319</v>
      </c>
      <c r="B44" s="1662"/>
      <c r="C44" s="1662"/>
      <c r="D44" s="1663"/>
      <c r="E44" s="1663"/>
      <c r="F44" s="1664"/>
      <c r="G44" s="1664"/>
      <c r="H44" s="1664"/>
      <c r="I44" s="1664"/>
      <c r="J44" s="1665" t="s">
        <v>1320</v>
      </c>
      <c r="K44" s="4"/>
      <c r="L44" s="4"/>
      <c r="M44" s="4"/>
      <c r="N44" s="4"/>
      <c r="O44" s="4"/>
    </row>
    <row r="45" spans="1:15" ht="14.25" customHeight="1" thickBot="1">
      <c r="A45" s="3279" t="s">
        <v>1321</v>
      </c>
      <c r="B45" s="3280"/>
      <c r="C45" s="3281"/>
      <c r="D45" s="147">
        <f ca="1">ROUND(H101*F45,0)</f>
        <v>760061</v>
      </c>
      <c r="E45" s="148" t="s">
        <v>1322</v>
      </c>
      <c r="F45" s="149">
        <v>1</v>
      </c>
      <c r="G45" s="150" t="s">
        <v>1323</v>
      </c>
      <c r="H45" s="121"/>
      <c r="I45" s="121"/>
      <c r="J45" s="3357" t="s">
        <v>1324</v>
      </c>
      <c r="K45" s="3357"/>
      <c r="L45" s="3357"/>
      <c r="M45" s="3357"/>
      <c r="N45" s="3357"/>
      <c r="O45" s="3357"/>
    </row>
    <row r="46" spans="1:15" ht="14.25" customHeight="1">
      <c r="A46" s="3276" t="s">
        <v>1325</v>
      </c>
      <c r="B46" s="3277"/>
      <c r="C46" s="3277"/>
      <c r="D46" s="3277"/>
      <c r="E46" s="3277"/>
      <c r="F46" s="3277"/>
      <c r="G46" s="3278"/>
      <c r="H46" s="1666"/>
      <c r="I46" s="151"/>
      <c r="J46" s="2306">
        <v>1</v>
      </c>
      <c r="K46" s="3338" t="s">
        <v>1326</v>
      </c>
      <c r="L46" s="3338"/>
      <c r="M46" s="3358"/>
      <c r="N46" s="3358"/>
      <c r="O46" s="3358"/>
    </row>
    <row r="47" spans="1:15" ht="12" customHeight="1">
      <c r="A47" s="152" t="s">
        <v>1327</v>
      </c>
      <c r="B47" s="153"/>
      <c r="C47" s="154"/>
      <c r="D47" s="1022" t="s">
        <v>1328</v>
      </c>
      <c r="E47" s="294" t="s">
        <v>1329</v>
      </c>
      <c r="F47" s="155" t="s">
        <v>1330</v>
      </c>
      <c r="G47" s="2329" t="s">
        <v>1331</v>
      </c>
      <c r="H47" s="2330"/>
      <c r="I47" s="151"/>
      <c r="J47" s="2306">
        <v>2</v>
      </c>
      <c r="K47" s="3338" t="s">
        <v>1332</v>
      </c>
      <c r="L47" s="3338"/>
      <c r="M47" s="3359">
        <f>'数据-取费表'!B2</f>
        <v>45804</v>
      </c>
      <c r="N47" s="3359"/>
      <c r="O47" s="3359"/>
    </row>
    <row r="48" spans="1:15" ht="25.5">
      <c r="A48" s="3307" t="s">
        <v>1333</v>
      </c>
      <c r="B48" s="3290"/>
      <c r="C48" s="3290"/>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1334</v>
      </c>
      <c r="H48" s="2333"/>
      <c r="I48" s="1666"/>
      <c r="J48" s="2306">
        <v>3</v>
      </c>
      <c r="K48" s="3338" t="s">
        <v>1335</v>
      </c>
      <c r="L48" s="3338"/>
      <c r="M48" s="3360">
        <f ca="1">H101</f>
        <v>760061</v>
      </c>
      <c r="N48" s="3360"/>
      <c r="O48" s="3360"/>
    </row>
    <row r="49" spans="1:35" ht="25.5" customHeight="1">
      <c r="A49" s="2150" t="s">
        <v>1336</v>
      </c>
      <c r="B49" s="3274" t="s">
        <v>1337</v>
      </c>
      <c r="C49" s="3274"/>
      <c r="D49" s="1476">
        <v>0</v>
      </c>
      <c r="E49" s="316" t="s">
        <v>1338</v>
      </c>
      <c r="F49" s="2231" t="s">
        <v>28</v>
      </c>
      <c r="G49" s="3344"/>
      <c r="H49" s="2132" t="s">
        <v>2129</v>
      </c>
      <c r="I49" s="2133"/>
      <c r="J49" s="2306">
        <v>4</v>
      </c>
      <c r="K49" s="3338" t="str">
        <f>IF(项目基本情况!E8="房地产抵押价值","房地产抵押价值","抵押担保权已注销时的房地产抵押价值")</f>
        <v>房地产抵押价值</v>
      </c>
      <c r="L49" s="3338"/>
      <c r="M49" s="3360">
        <f ca="1">IF(项目基本情况!E8="房地产抵押价值",H107,H109)</f>
        <v>760061</v>
      </c>
      <c r="N49" s="3360"/>
      <c r="O49" s="3360"/>
    </row>
    <row r="50" spans="1:35" ht="25.5" customHeight="1">
      <c r="A50" s="2334"/>
      <c r="B50" s="3274" t="s">
        <v>1339</v>
      </c>
      <c r="C50" s="3274"/>
      <c r="D50" s="2187"/>
      <c r="E50" s="323"/>
      <c r="F50" s="2231"/>
      <c r="G50" s="3345"/>
      <c r="H50" s="2134" t="s">
        <v>2130</v>
      </c>
      <c r="I50" s="2133"/>
      <c r="J50" s="3357" t="s">
        <v>1340</v>
      </c>
      <c r="K50" s="3357"/>
      <c r="L50" s="3357"/>
      <c r="M50" s="3357"/>
      <c r="N50" s="3357"/>
      <c r="O50" s="3357"/>
    </row>
    <row r="51" spans="1:35" ht="20.45" customHeight="1">
      <c r="A51" s="2335"/>
      <c r="B51" s="3274" t="s">
        <v>1341</v>
      </c>
      <c r="C51" s="3274"/>
      <c r="D51" s="1022"/>
      <c r="E51" s="319"/>
      <c r="F51" s="2231"/>
      <c r="G51" s="3346"/>
      <c r="H51" s="2134" t="s">
        <v>2131</v>
      </c>
      <c r="I51" s="2133"/>
      <c r="J51" s="2307" t="s">
        <v>1342</v>
      </c>
      <c r="K51" s="3338" t="s">
        <v>1343</v>
      </c>
      <c r="L51" s="3338"/>
      <c r="M51" s="2307" t="s">
        <v>1344</v>
      </c>
      <c r="N51" s="2307" t="s">
        <v>1345</v>
      </c>
      <c r="O51" s="2307" t="s">
        <v>1346</v>
      </c>
    </row>
    <row r="52" spans="1:35" ht="24" customHeight="1">
      <c r="A52" s="2151" t="s">
        <v>1347</v>
      </c>
      <c r="B52" s="3274" t="s">
        <v>1348</v>
      </c>
      <c r="C52" s="3274"/>
      <c r="D52" s="1022">
        <f ca="1">ROUND(D45*'数据-取费表'!B41/(1+'数据-取费表'!C42),0)</f>
        <v>40537</v>
      </c>
      <c r="E52" s="1254" t="s">
        <v>1349</v>
      </c>
      <c r="F52" s="2336">
        <f>'数据-取费表'!B41</f>
        <v>5.6000000000000001E-2</v>
      </c>
      <c r="G52" s="2337"/>
      <c r="H52" s="2327"/>
      <c r="I52" s="1667"/>
      <c r="J52" s="2306">
        <v>1</v>
      </c>
      <c r="K52" s="3339" t="s">
        <v>1350</v>
      </c>
      <c r="L52" s="3339"/>
      <c r="M52" s="2308" t="b">
        <f>D48</f>
        <v>0</v>
      </c>
      <c r="N52" s="2306" t="str">
        <f>E48</f>
        <v>销售额×税（费）率</v>
      </c>
      <c r="O52" s="2309">
        <f>F48</f>
        <v>5.6000000000000001E-2</v>
      </c>
    </row>
    <row r="53" spans="1:35" ht="12" customHeight="1">
      <c r="A53" s="2151" t="s">
        <v>1351</v>
      </c>
      <c r="B53" s="3300" t="s">
        <v>2277</v>
      </c>
      <c r="C53" s="3301"/>
      <c r="D53" s="1022">
        <f ca="1">ROUND(D45*'数据-取费表'!B41/(1+'数据-取费表'!C42),0)</f>
        <v>40537</v>
      </c>
      <c r="E53" s="1254" t="s">
        <v>1349</v>
      </c>
      <c r="F53" s="2336">
        <f>'数据-取费表'!B41</f>
        <v>5.6000000000000001E-2</v>
      </c>
      <c r="G53" s="2337"/>
      <c r="H53" s="2327"/>
      <c r="I53" s="1667"/>
      <c r="J53" s="2306">
        <v>2</v>
      </c>
      <c r="K53" s="3339" t="s">
        <v>1352</v>
      </c>
      <c r="L53" s="3339"/>
      <c r="M53" s="2308">
        <f t="shared" ref="M53:O54" ca="1" si="0">D55</f>
        <v>380</v>
      </c>
      <c r="N53" s="2306" t="str">
        <f t="shared" si="0"/>
        <v>销售额×税（费）率</v>
      </c>
      <c r="O53" s="2309" t="str">
        <f t="shared" si="0"/>
        <v>免征</v>
      </c>
    </row>
    <row r="54" spans="1:35" ht="12" customHeight="1">
      <c r="A54" s="2151" t="s">
        <v>1353</v>
      </c>
      <c r="B54" s="3300" t="s">
        <v>2278</v>
      </c>
      <c r="C54" s="3301"/>
      <c r="D54" s="1022">
        <f ca="1">C68</f>
        <v>40537</v>
      </c>
      <c r="E54" s="319" t="s">
        <v>1354</v>
      </c>
      <c r="F54" s="2336">
        <f>'数据-取费表'!B41</f>
        <v>5.6000000000000001E-2</v>
      </c>
      <c r="G54" s="2337"/>
      <c r="H54" s="2338"/>
      <c r="I54" s="1667"/>
      <c r="J54" s="2306">
        <v>3</v>
      </c>
      <c r="K54" s="3339" t="s">
        <v>1355</v>
      </c>
      <c r="L54" s="3339"/>
      <c r="M54" s="2308">
        <f t="shared" ca="1" si="0"/>
        <v>430195</v>
      </c>
      <c r="N54" s="2306" t="str">
        <f t="shared" si="0"/>
        <v>增值额×税（费）率</v>
      </c>
      <c r="O54" s="2310" t="str">
        <f t="shared" si="0"/>
        <v>免征</v>
      </c>
    </row>
    <row r="55" spans="1:35" ht="24" customHeight="1">
      <c r="A55" s="3289" t="s">
        <v>1356</v>
      </c>
      <c r="B55" s="3290"/>
      <c r="C55" s="3290"/>
      <c r="D55" s="12">
        <f ca="1">IF(H55="个人住宅",0,ROUND(D45*I55,0))</f>
        <v>380</v>
      </c>
      <c r="E55" s="1254" t="s">
        <v>1357</v>
      </c>
      <c r="F55" s="2336" t="str">
        <f>IF(H55="正常",I55,"免征")</f>
        <v>免征</v>
      </c>
      <c r="G55" s="2337"/>
      <c r="H55" s="2333"/>
      <c r="I55" s="157">
        <f>'数据-取费表'!B49</f>
        <v>5.0000000000000001E-4</v>
      </c>
      <c r="J55" s="2306">
        <f>IF(H59="非个人房产","",4)</f>
        <v>4</v>
      </c>
      <c r="K55" s="3339" t="str">
        <f>IF(H59="非个人房产","——","个人所得税")</f>
        <v>个人所得税</v>
      </c>
      <c r="L55" s="3339"/>
      <c r="M55" s="2311">
        <f ca="1">D59</f>
        <v>7239</v>
      </c>
      <c r="N55" s="1881" t="str">
        <f>E59</f>
        <v>差额计税</v>
      </c>
      <c r="O55" s="2312">
        <f>F59</f>
        <v>0.01</v>
      </c>
    </row>
    <row r="56" spans="1:35" ht="24.75">
      <c r="A56" s="3289" t="s">
        <v>1358</v>
      </c>
      <c r="B56" s="3290"/>
      <c r="C56" s="3290"/>
      <c r="D56" s="12">
        <f ca="1">IF(H56="个人住宅",D57,D58)</f>
        <v>430195</v>
      </c>
      <c r="E56" s="1254" t="s">
        <v>1359</v>
      </c>
      <c r="F56" s="2336" t="str">
        <f>IF(H56="正常",F58,"免征")</f>
        <v>免征</v>
      </c>
      <c r="G56" s="2339" t="s">
        <v>1360</v>
      </c>
      <c r="H56" s="2340"/>
      <c r="I56" s="1668"/>
      <c r="J56" s="2306" t="str">
        <f>IF(项目基本情况!K6="上海银行",IF(J55="",4,J55+1),"")</f>
        <v/>
      </c>
      <c r="K56" s="3362" t="str">
        <f>IF(项目基本情况!K6="上海银行","其他处置费用","")</f>
        <v/>
      </c>
      <c r="L56" s="3363"/>
      <c r="M56" s="2308" t="str">
        <f>IF(项目基本情况!K6="上海银行",M69,"")</f>
        <v/>
      </c>
      <c r="N56" s="3362" t="str">
        <f>IF(项目基本情况!K6="上海银行","包含处置中涉及的律师、诉讼、拍卖、评估等费用","")</f>
        <v/>
      </c>
      <c r="O56" s="3365"/>
    </row>
    <row r="57" spans="1:35" ht="12.75">
      <c r="A57" s="2151" t="s">
        <v>1336</v>
      </c>
      <c r="B57" s="3300" t="s">
        <v>1361</v>
      </c>
      <c r="C57" s="3301"/>
      <c r="D57" s="1476">
        <v>0</v>
      </c>
      <c r="E57" s="316" t="s">
        <v>1338</v>
      </c>
      <c r="F57" s="294"/>
      <c r="G57" s="2337"/>
      <c r="H57" s="2341"/>
      <c r="I57" s="1668"/>
      <c r="J57" s="3339">
        <f>IF(AND(J55="",J56=""),4,IF(项目基本情况!K6="上海银行",'办公结果表 '!J56+1,'办公结果表 '!J55+1))</f>
        <v>5</v>
      </c>
      <c r="K57" s="3339" t="s">
        <v>1362</v>
      </c>
      <c r="L57" s="2313" t="s">
        <v>1363</v>
      </c>
      <c r="M57" s="2314"/>
      <c r="N57" s="2315">
        <f ca="1">SUMIF(M52:M56,"&lt;9e307")</f>
        <v>437814</v>
      </c>
      <c r="O57" s="2316"/>
      <c r="P57" s="2461">
        <f ca="1">N57/M49</f>
        <v>0.57602481906057545</v>
      </c>
    </row>
    <row r="58" spans="1:35" ht="24.75">
      <c r="A58" s="2151" t="s">
        <v>1347</v>
      </c>
      <c r="B58" s="3300" t="s">
        <v>1364</v>
      </c>
      <c r="C58" s="3274"/>
      <c r="D58" s="12">
        <f ca="1">IF(H58="转让取得",C81,C97)</f>
        <v>430195</v>
      </c>
      <c r="E58" s="1254" t="s">
        <v>1359</v>
      </c>
      <c r="F58" s="294" t="s">
        <v>28</v>
      </c>
      <c r="G58" s="2337"/>
      <c r="H58" s="2340"/>
      <c r="I58" s="1668"/>
      <c r="J58" s="3339"/>
      <c r="K58" s="3339"/>
      <c r="L58" s="2313" t="s">
        <v>1365</v>
      </c>
      <c r="M58" s="2317"/>
      <c r="N58" s="2318" t="str">
        <f ca="1">NUMBERSTRING(INT(N57*10000),2)&amp;"元整"</f>
        <v>肆拾叁亿柒仟捌佰壹拾肆万元整</v>
      </c>
      <c r="O58" s="2319"/>
    </row>
    <row r="59" spans="1:35" ht="24.75" thickBot="1">
      <c r="A59" s="3342" t="s">
        <v>1366</v>
      </c>
      <c r="B59" s="3343"/>
      <c r="C59" s="3343"/>
      <c r="D59" s="2342">
        <f ca="1">IF(H59="非个人房产","——",IF(H59="个人住宅（满五唯一有凭证）",0,IF(H59="个人其他（无凭证）",ROUND(D45*F59,0),ROUND(C67*F59,0))))</f>
        <v>7239</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1360</v>
      </c>
      <c r="H59" s="2136"/>
      <c r="I59" s="2135" t="s">
        <v>2132</v>
      </c>
      <c r="J59" s="3340">
        <f>J57+1</f>
        <v>6</v>
      </c>
      <c r="K59" s="3339" t="s">
        <v>1367</v>
      </c>
      <c r="L59" s="2306" t="s">
        <v>1363</v>
      </c>
      <c r="M59" s="2320"/>
      <c r="N59" s="2321">
        <f ca="1">M49-N57</f>
        <v>322247</v>
      </c>
      <c r="O59" s="2322"/>
    </row>
    <row r="60" spans="1:35" ht="12" customHeight="1">
      <c r="A60" s="1669"/>
      <c r="B60" s="646"/>
      <c r="C60" s="646"/>
      <c r="D60" s="646"/>
      <c r="E60" s="1464"/>
      <c r="F60" s="1668"/>
      <c r="G60" s="1668"/>
      <c r="H60" s="151"/>
      <c r="I60" s="121"/>
      <c r="J60" s="3341"/>
      <c r="K60" s="3339"/>
      <c r="L60" s="2313" t="s">
        <v>1365</v>
      </c>
      <c r="M60" s="2317"/>
      <c r="N60" s="2318" t="str">
        <f ca="1">NUMBERSTRING(INT(N59*10000),2)&amp;"元整"</f>
        <v>叁拾贰亿贰仟贰佰肆拾柒万元整</v>
      </c>
      <c r="O60" s="2319"/>
    </row>
    <row r="61" spans="1:35" ht="13.5" thickBot="1">
      <c r="A61" s="3287" t="s">
        <v>1368</v>
      </c>
      <c r="B61" s="3287"/>
      <c r="C61" s="3287"/>
      <c r="D61" s="3287"/>
      <c r="E61" s="3287"/>
      <c r="F61" s="1668"/>
      <c r="G61" s="1668"/>
      <c r="H61" s="151"/>
      <c r="I61" s="121"/>
      <c r="J61" s="2306">
        <f>J59+1</f>
        <v>7</v>
      </c>
      <c r="K61" s="3339" t="s">
        <v>1369</v>
      </c>
      <c r="L61" s="3339"/>
      <c r="M61" s="2323"/>
      <c r="N61" s="2324">
        <f ca="1">ROUND(N59*10000/'数据-汇总表'!E3,0)</f>
        <v>23081</v>
      </c>
      <c r="O61" s="2325"/>
    </row>
    <row r="62" spans="1:35" ht="12.75">
      <c r="A62" s="3305" t="s">
        <v>1370</v>
      </c>
      <c r="B62" s="3306"/>
      <c r="C62" s="1863"/>
      <c r="D62" s="1863" t="s">
        <v>1371</v>
      </c>
      <c r="E62" s="158" t="s">
        <v>1372</v>
      </c>
      <c r="F62" s="1668"/>
      <c r="G62" s="1668"/>
      <c r="H62" s="151"/>
      <c r="I62" s="121"/>
    </row>
    <row r="63" spans="1:35" ht="12.75">
      <c r="A63" s="165" t="s">
        <v>330</v>
      </c>
      <c r="B63" s="159" t="s">
        <v>1373</v>
      </c>
      <c r="C63" s="2346">
        <f ca="1">ROUND((C64+C65)/(1+'数据-取费表'!C42),0)</f>
        <v>723868</v>
      </c>
      <c r="D63" s="159"/>
      <c r="E63" s="160"/>
      <c r="F63" s="1668"/>
      <c r="G63" s="1668"/>
      <c r="H63" s="151"/>
      <c r="I63" s="121"/>
      <c r="J63" s="3364" t="s">
        <v>1374</v>
      </c>
      <c r="K63" s="1243" t="s">
        <v>1375</v>
      </c>
      <c r="L63" s="1243">
        <f ca="1">IF(M49&gt;10000,M49*0.5%,IF(AND(M49&gt;1000,M49&lt;=10000),M49*1%,IF(AND(M49&gt;100,M49&lt;=1000),M49*3%,IF(AND(M49&gt;10,M49&lt;=100),M49*5%,M49*8%))))</f>
        <v>3800.3050000000003</v>
      </c>
      <c r="M63" s="294">
        <f ca="1">ROUND(L63,1)</f>
        <v>3800.3</v>
      </c>
      <c r="N63" s="2326"/>
      <c r="Z63" s="1621"/>
      <c r="AI63" s="1559"/>
    </row>
    <row r="64" spans="1:35" ht="14.25" customHeight="1">
      <c r="A64" s="161" t="s">
        <v>325</v>
      </c>
      <c r="B64" s="162" t="s">
        <v>1376</v>
      </c>
      <c r="C64" s="2347">
        <f ca="1">D45</f>
        <v>760061</v>
      </c>
      <c r="D64" s="162" t="s">
        <v>26</v>
      </c>
      <c r="E64" s="164"/>
      <c r="F64" s="1668"/>
      <c r="G64" s="1668"/>
      <c r="H64" s="151"/>
      <c r="I64" s="121"/>
      <c r="J64" s="3364"/>
      <c r="K64" s="1243" t="s">
        <v>1377</v>
      </c>
      <c r="L64" s="1243">
        <f ca="1">IF(M49&gt;2000,M49*0.5%,IF(AND(M49&gt;1000,M49&lt;=2000),M49*0.6%,IF(AND(M49&gt;500,M49&lt;=1000),M49*0.7%,IF(AND(M49&gt;200,M49&lt;=500),M49*0.8%,IF(AND(M49&gt;100,M49&lt;=200),M49*0.9%,IF(AND(M49&gt;50,M49&lt;=100),M49*1%,IF(AND(M49&gt;20,M49&lt;=50),M49*1.5%,IF(AND(M49&gt;10,M49&lt;=20),M49*2%,IF(AND(M49&gt;1,M49&lt;=10),M49*2.5%)))))))))</f>
        <v>3800.3050000000003</v>
      </c>
      <c r="M64" s="294">
        <f t="shared" ref="M64:M65" ca="1" si="1">ROUND(L64,1)</f>
        <v>3800.3</v>
      </c>
      <c r="N64" s="2327" t="s">
        <v>1378</v>
      </c>
      <c r="Z64" s="1621"/>
      <c r="AI64" s="1559"/>
    </row>
    <row r="65" spans="1:35" ht="14.25" customHeight="1">
      <c r="A65" s="161" t="s">
        <v>326</v>
      </c>
      <c r="B65" s="162" t="s">
        <v>1379</v>
      </c>
      <c r="C65" s="2348"/>
      <c r="D65" s="162"/>
      <c r="E65" s="164"/>
      <c r="F65" s="1668"/>
      <c r="G65" s="1668"/>
      <c r="H65" s="151"/>
      <c r="I65" s="121"/>
      <c r="J65" s="3364"/>
      <c r="K65" s="1243" t="s">
        <v>1380</v>
      </c>
      <c r="L65" s="1243">
        <f ca="1">IF(M49&gt;1000,M49*0.1%,IF(AND(M49&gt;500,M49&lt;=1000),M49*0.5%,IF(AND(M49&gt;50,M49&lt;=500),M49*1%,IF(AND(M49&gt;1,M49&lt;=50),M49*1.5%))))</f>
        <v>760.06100000000004</v>
      </c>
      <c r="M65" s="294">
        <f t="shared" ca="1" si="1"/>
        <v>760.1</v>
      </c>
      <c r="N65" s="2327" t="s">
        <v>1378</v>
      </c>
      <c r="Z65" s="1621"/>
      <c r="AI65" s="1559"/>
    </row>
    <row r="66" spans="1:35" ht="14.25" customHeight="1">
      <c r="A66" s="165" t="s">
        <v>327</v>
      </c>
      <c r="B66" s="166" t="s">
        <v>1381</v>
      </c>
      <c r="C66" s="2349"/>
      <c r="D66" s="166" t="s">
        <v>26</v>
      </c>
      <c r="E66" s="1249" t="s">
        <v>666</v>
      </c>
      <c r="F66" s="1668"/>
      <c r="G66" s="1668"/>
      <c r="H66" s="151"/>
      <c r="I66" s="121"/>
      <c r="J66" s="3364"/>
      <c r="K66" s="1243" t="s">
        <v>1382</v>
      </c>
      <c r="L66" s="1243">
        <f ca="1">M49*0.5%</f>
        <v>3800.3050000000003</v>
      </c>
      <c r="M66" s="294">
        <f ca="1">IF(L66&gt;0.5,0.5,ROUND(L66,0))</f>
        <v>0.5</v>
      </c>
      <c r="N66" s="2327" t="s">
        <v>1383</v>
      </c>
      <c r="Z66" s="1621"/>
      <c r="AI66" s="1559"/>
    </row>
    <row r="67" spans="1:35" ht="14.25" customHeight="1">
      <c r="A67" s="165" t="s">
        <v>328</v>
      </c>
      <c r="B67" s="166" t="s">
        <v>1384</v>
      </c>
      <c r="C67" s="2350">
        <f ca="1">C63-C66</f>
        <v>723868</v>
      </c>
      <c r="D67" s="162" t="s">
        <v>26</v>
      </c>
      <c r="E67" s="164"/>
      <c r="F67" s="1668"/>
      <c r="G67" s="1668"/>
      <c r="H67" s="151"/>
      <c r="I67" s="121"/>
      <c r="J67" s="3364"/>
      <c r="K67" s="1243" t="s">
        <v>1385</v>
      </c>
      <c r="L67" s="1243">
        <f ca="1">IF(M49&gt;=10000,(8.25+(M49-10000)*0.01%),IF(AND(M49&gt;=8000,M49&lt;10000),(7.85+(M49-8000)*0.02%),IF(AND(M49&gt;=5000,M49&lt;8000),(6.65+(M49-5000)*0.04%),IF(AND(M49&gt;=2000,M49&lt;5000),(4.25+(PM49-2000)*0.08%),IF(AND(M49&gt;=1000,M49&lt;2000),(2.75+(M49-1000)*0.15%),IF(AND(M49&gt;=100,M49&lt;1000),(0.5+(M49-100)*0.25%),IF(AND(M49&gt;0,M49&lt;100),M49*0.5%)))))))</f>
        <v>83.256100000000004</v>
      </c>
      <c r="M67" s="294">
        <f ca="1">ROUND(L67*0.9,1)</f>
        <v>74.900000000000006</v>
      </c>
      <c r="N67" s="2326"/>
      <c r="Z67" s="1621"/>
      <c r="AI67" s="1559"/>
    </row>
    <row r="68" spans="1:35" ht="14.25" customHeight="1" thickBot="1">
      <c r="A68" s="168" t="s">
        <v>329</v>
      </c>
      <c r="B68" s="169" t="s">
        <v>1386</v>
      </c>
      <c r="C68" s="2351">
        <f ca="1">IF(C67&lt;=0,0,ROUND(C67*D68,0))</f>
        <v>40537</v>
      </c>
      <c r="D68" s="2352">
        <f>'数据-取费表'!B41</f>
        <v>5.6000000000000001E-2</v>
      </c>
      <c r="E68" s="170"/>
      <c r="F68" s="1668"/>
      <c r="G68" s="1668"/>
      <c r="H68" s="151"/>
      <c r="I68" s="121"/>
      <c r="J68" s="3364"/>
      <c r="K68" s="1243" t="s">
        <v>1387</v>
      </c>
      <c r="L68" s="1243">
        <f ca="1">IF(M49&gt;10000,M49*0.5%,IF(AND(M49&gt;5000,M49&lt;=10000),M49*1%,IF(AND(M49&gt;1000,M49&lt;=5000),M49*2%,IF(AND(M49&gt;200,M49&lt;=1000),M49*3%,M49*5%))))</f>
        <v>3800.3050000000003</v>
      </c>
      <c r="M68" s="294">
        <f ca="1">ROUND(L68,1)</f>
        <v>3800.3</v>
      </c>
      <c r="N68" s="2326"/>
      <c r="Z68" s="1621"/>
      <c r="AI68" s="1559"/>
    </row>
    <row r="69" spans="1:35" ht="16.5" customHeight="1">
      <c r="A69" s="1670"/>
      <c r="B69" s="1671"/>
      <c r="C69" s="1672"/>
      <c r="D69" s="1673"/>
      <c r="E69" s="1674"/>
      <c r="F69" s="1464"/>
      <c r="G69" s="1464"/>
      <c r="H69" s="1465"/>
      <c r="I69" s="646"/>
      <c r="J69" s="3364"/>
      <c r="K69" s="1243" t="s">
        <v>1388</v>
      </c>
      <c r="L69" s="1243"/>
      <c r="M69" s="294">
        <f ca="1">ROUND(SUM(M63:M68),0)</f>
        <v>12236</v>
      </c>
      <c r="N69" s="2328">
        <f ca="1">M69/M49</f>
        <v>1.6098707866868581E-2</v>
      </c>
      <c r="Z69" s="1621"/>
      <c r="AI69" s="1559"/>
    </row>
    <row r="70" spans="1:35" s="642" customFormat="1" ht="15" thickBot="1">
      <c r="A70" s="3326" t="s">
        <v>1389</v>
      </c>
      <c r="B70" s="3327"/>
      <c r="C70" s="3327"/>
      <c r="D70" s="3327"/>
      <c r="E70" s="3327"/>
      <c r="F70" s="3327"/>
      <c r="G70" s="3327"/>
      <c r="H70" s="3327"/>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4.25">
      <c r="A71" s="3305" t="s">
        <v>1370</v>
      </c>
      <c r="B71" s="3306"/>
      <c r="C71" s="1863"/>
      <c r="D71" s="1863" t="s">
        <v>1371</v>
      </c>
      <c r="E71" s="171" t="s">
        <v>1372</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4.25">
      <c r="A72" s="165" t="s">
        <v>330</v>
      </c>
      <c r="B72" s="166" t="s">
        <v>1390</v>
      </c>
      <c r="C72" s="2350">
        <f ca="1">ROUND(D45/(1+'数据-取费表'!C42),0)</f>
        <v>723868</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4.25">
      <c r="A73" s="165" t="s">
        <v>327</v>
      </c>
      <c r="B73" s="155" t="s">
        <v>1391</v>
      </c>
      <c r="C73" s="2350">
        <f ca="1">C74+C78</f>
        <v>4343</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1392</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14.25">
      <c r="A75" s="161" t="s">
        <v>331</v>
      </c>
      <c r="B75" s="162" t="s">
        <v>1393</v>
      </c>
      <c r="C75" s="2353"/>
      <c r="D75" s="162" t="s">
        <v>26</v>
      </c>
      <c r="E75" s="176" t="s">
        <v>1394</v>
      </c>
      <c r="F75" s="2354"/>
      <c r="G75" s="176" t="s">
        <v>1395</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1396</v>
      </c>
      <c r="C76" s="162">
        <f>IF(F75="购房发票",ROUND(C75*H75*D76,0),0)</f>
        <v>0</v>
      </c>
      <c r="D76" s="2356">
        <v>0.05</v>
      </c>
      <c r="E76" s="3300" t="s">
        <v>1397</v>
      </c>
      <c r="F76" s="3274"/>
      <c r="G76" s="3274"/>
      <c r="H76" s="3325"/>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1398</v>
      </c>
      <c r="C77" s="162">
        <f>ROUND(IF(G77="个人住宅",0,IF(G77="2016年5月1日前购买",C75*D77,C75*D77/(1+'数据-取费表'!C42))),0)</f>
        <v>0</v>
      </c>
      <c r="D77" s="2357">
        <f>'数据-取费表'!B48+'数据-取费表'!B49</f>
        <v>3.0499999999999999E-2</v>
      </c>
      <c r="E77" s="12" t="s">
        <v>1399</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1400</v>
      </c>
      <c r="C78" s="2358">
        <f ca="1">ROUND(D45*D78/(1+'数据-取费表'!C42),0)</f>
        <v>4343</v>
      </c>
      <c r="D78" s="2359">
        <f>'数据-取费表'!B43</f>
        <v>6.000000000000001E-3</v>
      </c>
      <c r="E78" s="3284" t="s">
        <v>1401</v>
      </c>
      <c r="F78" s="3285"/>
      <c r="G78" s="3285"/>
      <c r="H78" s="3294"/>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4.25">
      <c r="A79" s="165" t="s">
        <v>328</v>
      </c>
      <c r="B79" s="166" t="s">
        <v>1402</v>
      </c>
      <c r="C79" s="2350">
        <f ca="1">C72-C73</f>
        <v>719525</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1403</v>
      </c>
      <c r="C80" s="2360">
        <f ca="1">IF(C79&lt;=0,0,C79/C73)</f>
        <v>165.67464886023487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75" thickBot="1">
      <c r="A81" s="168" t="s">
        <v>336</v>
      </c>
      <c r="B81" s="169" t="s">
        <v>1404</v>
      </c>
      <c r="C81" s="2361">
        <f ca="1">ROUND(IF(C79&lt;=0,0,IF(C80&gt;=200%,C79*60%-C73*35%,IF(C80&gt;=100%,C79*50%-C73*15%,IF(C80&gt;=50%,C79*40%-C73*5%,IF(C80&lt;50%,C79*30%,0))))),0)</f>
        <v>430195</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5" thickBot="1">
      <c r="A83" s="3326" t="s">
        <v>1405</v>
      </c>
      <c r="B83" s="3327"/>
      <c r="C83" s="3327"/>
      <c r="D83" s="3327"/>
      <c r="E83" s="3327"/>
      <c r="F83" s="3327"/>
      <c r="G83" s="3327"/>
      <c r="H83" s="3327"/>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4.25">
      <c r="A84" s="3305" t="s">
        <v>1370</v>
      </c>
      <c r="B84" s="3306"/>
      <c r="C84" s="1863"/>
      <c r="D84" s="1863" t="s">
        <v>1371</v>
      </c>
      <c r="E84" s="171" t="s">
        <v>1372</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4.25">
      <c r="A85" s="165" t="s">
        <v>330</v>
      </c>
      <c r="B85" s="166" t="s">
        <v>1390</v>
      </c>
      <c r="C85" s="2350">
        <f ca="1">ROUND(D45/(1+'数据-取费表'!C42),0)</f>
        <v>723868</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4.25">
      <c r="A86" s="165" t="s">
        <v>327</v>
      </c>
      <c r="B86" s="155" t="s">
        <v>1391</v>
      </c>
      <c r="C86" s="2350">
        <f ca="1">IF(H88="仅含出让金",C87+C90+C91+C92+C93+C94,C87+C91+C92+C93+C94)</f>
        <v>4343</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4.25">
      <c r="A87" s="161" t="s">
        <v>325</v>
      </c>
      <c r="B87" s="162" t="s">
        <v>1406</v>
      </c>
      <c r="C87" s="2358">
        <f>C88+C89</f>
        <v>0</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25">
      <c r="A88" s="161" t="s">
        <v>331</v>
      </c>
      <c r="B88" s="162" t="s">
        <v>1407</v>
      </c>
      <c r="C88" s="2364"/>
      <c r="D88" s="2359"/>
      <c r="E88" s="185" t="s">
        <v>1408</v>
      </c>
      <c r="F88" s="2146"/>
      <c r="G88" s="186" t="s">
        <v>1409</v>
      </c>
      <c r="H88" s="1682"/>
      <c r="I88" s="1679"/>
      <c r="J88" s="2304" t="s">
        <v>2274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4.25">
      <c r="A89" s="161" t="s">
        <v>332</v>
      </c>
      <c r="B89" s="162" t="s">
        <v>1398</v>
      </c>
      <c r="C89" s="2358">
        <f>ROUND(C88*D89,0)</f>
        <v>0</v>
      </c>
      <c r="D89" s="2359">
        <f>'数据-取费表'!B48+'数据-取费表'!B49</f>
        <v>3.0499999999999999E-2</v>
      </c>
      <c r="E89" s="185" t="s">
        <v>1410</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25">
      <c r="A90" s="161" t="s">
        <v>326</v>
      </c>
      <c r="B90" s="162" t="s">
        <v>1411</v>
      </c>
      <c r="C90" s="2364"/>
      <c r="D90" s="2359"/>
      <c r="E90" s="185" t="str">
        <f>IF(H88="-","土地取得成本中已包含该笔费用"," ")</f>
        <v xml:space="preserve"> </v>
      </c>
      <c r="F90" s="2146"/>
      <c r="G90" s="3366" t="s">
        <v>2124</v>
      </c>
      <c r="H90" s="3367"/>
      <c r="I90" s="1679"/>
      <c r="J90" s="2304" t="s">
        <v>2275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1412</v>
      </c>
      <c r="B91" s="162" t="s">
        <v>1413</v>
      </c>
      <c r="C91" s="2358">
        <f>IF(H91="——",商业成本法!C33,I91)</f>
        <v>0</v>
      </c>
      <c r="D91" s="2359"/>
      <c r="E91" s="3284" t="s">
        <v>1414</v>
      </c>
      <c r="F91" s="3285"/>
      <c r="G91" s="3285"/>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1415</v>
      </c>
      <c r="B92" s="162" t="s">
        <v>1416</v>
      </c>
      <c r="C92" s="2358">
        <f>ROUND((C87+C90+C91)*D92,0)</f>
        <v>0</v>
      </c>
      <c r="D92" s="2365"/>
      <c r="E92" s="3284" t="s">
        <v>1417</v>
      </c>
      <c r="F92" s="3285"/>
      <c r="G92" s="3285"/>
      <c r="H92" s="3294"/>
      <c r="I92" s="1679"/>
      <c r="J92" s="2305" t="s">
        <v>2276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1418</v>
      </c>
      <c r="B93" s="162" t="s">
        <v>1400</v>
      </c>
      <c r="C93" s="2358">
        <f ca="1">ROUND(D45*D93/(1+'数据-取费表'!C42),0)</f>
        <v>4343</v>
      </c>
      <c r="D93" s="2359">
        <f>'数据-取费表'!B43</f>
        <v>6.000000000000001E-3</v>
      </c>
      <c r="E93" s="3284" t="s">
        <v>1401</v>
      </c>
      <c r="F93" s="3285"/>
      <c r="G93" s="3285"/>
      <c r="H93" s="3294"/>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1419</v>
      </c>
      <c r="B94" s="162" t="s">
        <v>1420</v>
      </c>
      <c r="C94" s="2364">
        <f>ROUND((C87+C90+C91)*D94,0)</f>
        <v>0</v>
      </c>
      <c r="D94" s="2359">
        <v>0.2</v>
      </c>
      <c r="E94" s="3295" t="s">
        <v>1421</v>
      </c>
      <c r="F94" s="3296"/>
      <c r="G94" s="3296"/>
      <c r="H94" s="3297"/>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4.25">
      <c r="A95" s="165" t="s">
        <v>328</v>
      </c>
      <c r="B95" s="166" t="s">
        <v>1402</v>
      </c>
      <c r="C95" s="2350">
        <f ca="1">ROUND(C85-C86,0)</f>
        <v>719525</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1403</v>
      </c>
      <c r="C96" s="2360">
        <f ca="1">IF(C95&lt;=0,0,C95/C86)</f>
        <v>165.67464886023487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75" thickBot="1">
      <c r="A97" s="168" t="s">
        <v>336</v>
      </c>
      <c r="B97" s="169" t="s">
        <v>1404</v>
      </c>
      <c r="C97" s="2361">
        <f ca="1">ROUND(IF(C95&lt;=0,0,IF(C96&gt;=200%,C95*60%-C86*35%,IF(C96&gt;=100%,C95*50%-C86*15%,IF(C96&gt;=50%,C95*40%-C86*5%,IF(C96&lt;50%,C95*30%,0))))),0)</f>
        <v>430195</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1422</v>
      </c>
      <c r="B99" s="646"/>
      <c r="C99" s="646"/>
      <c r="D99" s="646"/>
      <c r="E99" s="1464"/>
      <c r="F99" s="1464"/>
      <c r="G99" s="1464"/>
      <c r="H99" s="1465"/>
      <c r="I99" s="121"/>
    </row>
    <row r="100" spans="1:35" ht="18.75" customHeight="1">
      <c r="A100" s="3268" t="s">
        <v>1423</v>
      </c>
      <c r="B100" s="3269"/>
      <c r="C100" s="3269"/>
      <c r="D100" s="3286"/>
      <c r="E100" s="3269" t="s">
        <v>1424</v>
      </c>
      <c r="F100" s="3269"/>
      <c r="G100" s="3269"/>
      <c r="H100" s="3286"/>
      <c r="I100" s="121"/>
    </row>
    <row r="101" spans="1:35" ht="18.75" customHeight="1">
      <c r="A101" s="3347" t="s">
        <v>1425</v>
      </c>
      <c r="B101" s="3348"/>
      <c r="C101" s="2367" t="str">
        <f>C4</f>
        <v>办公成本法</v>
      </c>
      <c r="D101" s="2368" t="str">
        <f>D4</f>
        <v xml:space="preserve">办公收益法 </v>
      </c>
      <c r="E101" s="3361" t="s">
        <v>1426</v>
      </c>
      <c r="F101" s="3318"/>
      <c r="G101" s="1685" t="s">
        <v>1427</v>
      </c>
      <c r="H101" s="2377">
        <f ca="1">H118</f>
        <v>760061</v>
      </c>
      <c r="I101" s="121"/>
    </row>
    <row r="102" spans="1:35" ht="18.75" customHeight="1">
      <c r="A102" s="3320" t="s">
        <v>1428</v>
      </c>
      <c r="B102" s="2366" t="s">
        <v>1427</v>
      </c>
      <c r="C102" s="2367">
        <f ca="1">IF(D32="楼面单价",ROUND(C19,0),C19)</f>
        <v>503527</v>
      </c>
      <c r="D102" s="2368">
        <f ca="1">IF(D32="楼面单价",ROUND(D19,0),D19)</f>
        <v>870004</v>
      </c>
      <c r="E102" s="3361"/>
      <c r="F102" s="3318"/>
      <c r="G102" s="1685" t="s">
        <v>1429</v>
      </c>
      <c r="H102" s="2337">
        <f ca="1">I118</f>
        <v>54439</v>
      </c>
      <c r="I102" s="121"/>
    </row>
    <row r="103" spans="1:35" ht="42.75" customHeight="1">
      <c r="A103" s="3320"/>
      <c r="B103" s="2366" t="s">
        <v>1429</v>
      </c>
      <c r="C103" s="2369">
        <f ca="1">C20</f>
        <v>55099</v>
      </c>
      <c r="D103" s="2370">
        <f ca="1">D20</f>
        <v>95201</v>
      </c>
      <c r="E103" s="3355" t="s">
        <v>1430</v>
      </c>
      <c r="F103" s="3356"/>
      <c r="G103" s="1686" t="s">
        <v>1431</v>
      </c>
      <c r="H103" s="2377">
        <f>IF(D36="正常操作",H104+H105+H106,H105+H106)</f>
        <v>0</v>
      </c>
      <c r="I103" s="121"/>
    </row>
    <row r="104" spans="1:35" ht="18.75" customHeight="1">
      <c r="A104" s="3320" t="s">
        <v>1432</v>
      </c>
      <c r="B104" s="2371" t="s">
        <v>1427</v>
      </c>
      <c r="C104" s="2372">
        <f ca="1">H118</f>
        <v>760061</v>
      </c>
      <c r="D104" s="2373"/>
      <c r="E104" s="1553" t="s">
        <v>1433</v>
      </c>
      <c r="F104" s="1546"/>
      <c r="G104" s="1686" t="s">
        <v>1431</v>
      </c>
      <c r="H104" s="2378">
        <f>IF(D36="同一抵押权人同一抵押物续贷",C36&amp;"（续贷，未扣减，详见特别提示）",C36)</f>
        <v>0</v>
      </c>
      <c r="I104" s="121"/>
    </row>
    <row r="105" spans="1:35" ht="18.75" customHeight="1" thickBot="1">
      <c r="A105" s="3321"/>
      <c r="B105" s="2374" t="s">
        <v>1429</v>
      </c>
      <c r="C105" s="2375">
        <f ca="1">I118</f>
        <v>54439</v>
      </c>
      <c r="D105" s="2376"/>
      <c r="E105" s="1553" t="s">
        <v>1434</v>
      </c>
      <c r="F105" s="1546"/>
      <c r="G105" s="1686" t="s">
        <v>1431</v>
      </c>
      <c r="H105" s="2379">
        <f>C37</f>
        <v>0</v>
      </c>
      <c r="I105" s="121"/>
    </row>
    <row r="106" spans="1:35" ht="18.75" customHeight="1">
      <c r="A106" s="646" t="s">
        <v>1435</v>
      </c>
      <c r="B106" s="646"/>
      <c r="C106" s="646"/>
      <c r="D106" s="646"/>
      <c r="E106" s="1687" t="s">
        <v>1436</v>
      </c>
      <c r="F106" s="1546"/>
      <c r="G106" s="1686" t="s">
        <v>1431</v>
      </c>
      <c r="H106" s="2379">
        <f>C38</f>
        <v>0</v>
      </c>
      <c r="I106" s="121"/>
    </row>
    <row r="107" spans="1:35" ht="18.75" customHeight="1">
      <c r="A107" s="121"/>
      <c r="B107" s="121"/>
      <c r="C107" s="121"/>
      <c r="D107" s="121"/>
      <c r="E107" s="3317" t="str">
        <f>IF(项目基本情况!E8="已注销","——","3.房地产抵押价值")</f>
        <v>3.房地产抵押价值</v>
      </c>
      <c r="F107" s="3318"/>
      <c r="G107" s="1685" t="s">
        <v>1427</v>
      </c>
      <c r="H107" s="2377">
        <f ca="1">IF(E107="——","——",H101-H103)</f>
        <v>760061</v>
      </c>
      <c r="I107" s="121"/>
    </row>
    <row r="108" spans="1:35" ht="18.75" customHeight="1">
      <c r="A108" s="121"/>
      <c r="B108" s="121"/>
      <c r="C108" s="121"/>
      <c r="D108" s="121"/>
      <c r="E108" s="3317"/>
      <c r="F108" s="3318"/>
      <c r="G108" s="1685" t="s">
        <v>1429</v>
      </c>
      <c r="H108" s="2337">
        <f ca="1">IF(H107=H101,H102,ROUND(H107*10000/'数据-汇总表'!E3,0))</f>
        <v>54439</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318"/>
      <c r="G109" s="1685" t="s">
        <v>1427</v>
      </c>
      <c r="H109" s="2380" t="str">
        <f>IF(E109="——","——",H101-H105-H106)</f>
        <v>——</v>
      </c>
      <c r="I109" s="121"/>
    </row>
    <row r="110" spans="1:35" ht="18.75" customHeight="1">
      <c r="A110" s="121"/>
      <c r="B110" s="121"/>
      <c r="C110" s="121"/>
      <c r="D110" s="121"/>
      <c r="E110" s="3317"/>
      <c r="F110" s="3318"/>
      <c r="G110" s="1685" t="s">
        <v>1429</v>
      </c>
      <c r="H110" s="2337" t="str">
        <f>IF(H109="——","——",ROUND(H109*10000/'数据-汇总表'!E3,0))</f>
        <v>——</v>
      </c>
      <c r="I110" s="121"/>
    </row>
    <row r="111" spans="1:35" ht="18.75" customHeight="1">
      <c r="A111" s="121"/>
      <c r="B111" s="121"/>
      <c r="C111" s="121"/>
      <c r="D111" s="121"/>
      <c r="E111" s="3349" t="str">
        <f>IF(项目基本情况!E9="抵押净值",IF(OR(项目基本情况!E8="已注销",项目基本情况!E8="房地产抵押价值"),"4.抵押净值","5.抵押净值"),"——")</f>
        <v>——</v>
      </c>
      <c r="F111" s="3319"/>
      <c r="G111" s="1685" t="s">
        <v>1427</v>
      </c>
      <c r="H111" s="2377" t="str">
        <f>IF(E111="——","——",N59)</f>
        <v>——</v>
      </c>
      <c r="I111" s="121"/>
    </row>
    <row r="112" spans="1:35" ht="18.75" customHeight="1" thickBot="1">
      <c r="A112" s="121"/>
      <c r="B112" s="121"/>
      <c r="C112" s="121"/>
      <c r="D112" s="121"/>
      <c r="E112" s="3350"/>
      <c r="F112" s="3351"/>
      <c r="G112" s="1688" t="s">
        <v>1429</v>
      </c>
      <c r="H112" s="2381" t="str">
        <f>IF(E111="——","——",N61)</f>
        <v>——</v>
      </c>
      <c r="I112" s="121"/>
    </row>
    <row r="113" spans="1:27" ht="18.75" customHeight="1">
      <c r="A113" s="121"/>
      <c r="B113" s="121"/>
      <c r="C113" s="121"/>
      <c r="D113" s="121"/>
      <c r="E113" s="3322" t="s">
        <v>1435</v>
      </c>
      <c r="F113" s="3322"/>
      <c r="G113" s="3322"/>
      <c r="H113" s="3322"/>
      <c r="I113" s="121"/>
    </row>
    <row r="114" spans="1:27" ht="3.75" customHeight="1">
      <c r="A114" s="646"/>
      <c r="B114" s="646"/>
      <c r="C114" s="646"/>
      <c r="D114" s="646"/>
      <c r="E114" s="1669"/>
      <c r="F114" s="1669"/>
      <c r="G114" s="1669"/>
      <c r="H114" s="1669"/>
      <c r="I114" s="646"/>
    </row>
    <row r="115" spans="1:27" ht="18.75" customHeight="1">
      <c r="A115" s="3332" t="s">
        <v>1437</v>
      </c>
      <c r="B115" s="3333"/>
      <c r="C115" s="3333"/>
      <c r="D115" s="3333"/>
      <c r="E115" s="3333"/>
      <c r="F115" s="3333"/>
      <c r="G115" s="3333"/>
      <c r="H115" s="3333"/>
      <c r="I115" s="3334"/>
    </row>
    <row r="116" spans="1:27" ht="27" customHeight="1">
      <c r="A116" s="3288" t="s">
        <v>1438</v>
      </c>
      <c r="B116" s="3323" t="s">
        <v>1439</v>
      </c>
      <c r="C116" s="3323" t="s">
        <v>1440</v>
      </c>
      <c r="D116" s="3336" t="s">
        <v>1441</v>
      </c>
      <c r="E116" s="3337"/>
      <c r="F116" s="3331" t="s">
        <v>1442</v>
      </c>
      <c r="G116" s="3331"/>
      <c r="H116" s="3288" t="s">
        <v>1443</v>
      </c>
      <c r="I116" s="3288"/>
    </row>
    <row r="117" spans="1:27" ht="18.75" customHeight="1">
      <c r="A117" s="3288"/>
      <c r="B117" s="3324"/>
      <c r="C117" s="3324"/>
      <c r="D117" s="2148" t="s">
        <v>1444</v>
      </c>
      <c r="E117" s="2148" t="s">
        <v>1445</v>
      </c>
      <c r="F117" s="2148" t="s">
        <v>1444</v>
      </c>
      <c r="G117" s="2148" t="s">
        <v>1446</v>
      </c>
      <c r="H117" s="2148" t="s">
        <v>1444</v>
      </c>
      <c r="I117" s="2148" t="s">
        <v>1446</v>
      </c>
    </row>
    <row r="118" spans="1:27" ht="24.75" customHeight="1">
      <c r="A118" s="2382" t="str">
        <f>项目基本情况!S2</f>
        <v>北京市房地产</v>
      </c>
      <c r="B118" s="2148">
        <f>M18</f>
        <v>139616.6</v>
      </c>
      <c r="C118" s="2148">
        <f>M19</f>
        <v>13767.47</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760061</v>
      </c>
      <c r="I118" s="2148">
        <f ca="1">ROUND(IF(D32="楼面单价",C32,H118*10000/B118),0)</f>
        <v>54439</v>
      </c>
    </row>
    <row r="119" spans="1:27" ht="18.75" customHeight="1">
      <c r="A119" s="3288" t="s">
        <v>1447</v>
      </c>
      <c r="B119" s="3288"/>
      <c r="C119" s="3288"/>
      <c r="D119" s="3328" t="e">
        <f ca="1">NUMBERSTRING(INT(D118*10000),2)&amp;"元整"</f>
        <v>#REF!</v>
      </c>
      <c r="E119" s="3330"/>
      <c r="F119" s="3328" t="e">
        <f ca="1">NUMBERSTRING(INT(F118*10000),2)&amp;"元整"</f>
        <v>#REF!</v>
      </c>
      <c r="G119" s="3330"/>
      <c r="H119" s="3328" t="str">
        <f ca="1">NUMBERSTRING(INT(H118*10000),2)&amp;"元整"</f>
        <v>柒拾陆亿零陆拾壹万元整</v>
      </c>
      <c r="I119" s="3330"/>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8" t="s">
        <v>1447</v>
      </c>
      <c r="B121" s="3329"/>
      <c r="C121" s="3330"/>
      <c r="D121" s="3328" t="str">
        <f>IF(D120=0,"零元整",NUMBERSTRING(INT(D120*10000),2)&amp;"元整")</f>
        <v>零元整</v>
      </c>
      <c r="E121" s="3329"/>
      <c r="F121" s="3329"/>
      <c r="G121" s="3329"/>
      <c r="H121" s="3329"/>
      <c r="I121" s="3330"/>
      <c r="AA121" s="684"/>
    </row>
    <row r="122" spans="1:27" ht="18.75" customHeight="1">
      <c r="A122" s="3319" t="str">
        <f>IF(项目基本情况!B9="房地产市场价值","",MID(E107,3,LEN(E107)-2))</f>
        <v>房地产抵押价值</v>
      </c>
      <c r="B122" s="3319"/>
      <c r="C122" s="3319"/>
      <c r="D122" s="3352">
        <f ca="1">H107</f>
        <v>760061</v>
      </c>
      <c r="E122" s="3353"/>
      <c r="F122" s="3353"/>
      <c r="G122" s="3353"/>
      <c r="H122" s="3353"/>
      <c r="I122" s="3354"/>
      <c r="AA122" s="684"/>
    </row>
    <row r="123" spans="1:27" ht="18.75" customHeight="1">
      <c r="A123" s="3288" t="s">
        <v>1447</v>
      </c>
      <c r="B123" s="3288"/>
      <c r="C123" s="3288"/>
      <c r="D123" s="3328" t="str">
        <f ca="1">NUMBERSTRING(INT(D122*10000),2)&amp;"元整"</f>
        <v>柒拾陆亿零陆拾壹万元整</v>
      </c>
      <c r="E123" s="3329"/>
      <c r="F123" s="3329"/>
      <c r="G123" s="3329"/>
      <c r="H123" s="3329"/>
      <c r="I123" s="3330"/>
      <c r="AA123" s="684"/>
    </row>
    <row r="124" spans="1:27" ht="18.75" customHeight="1">
      <c r="A124" s="3319" t="str">
        <f>IF(项目基本情况!B9="房地产市场价值","",MID(E109,3,LEN(E109)-2))</f>
        <v/>
      </c>
      <c r="B124" s="3319"/>
      <c r="C124" s="3319"/>
      <c r="D124" s="3352" t="str">
        <f>H109</f>
        <v>——</v>
      </c>
      <c r="E124" s="3353"/>
      <c r="F124" s="3353"/>
      <c r="G124" s="3353"/>
      <c r="H124" s="3353"/>
      <c r="I124" s="3354"/>
      <c r="AA124" s="684"/>
    </row>
    <row r="125" spans="1:27" ht="18.75" customHeight="1">
      <c r="A125" s="3288" t="s">
        <v>1447</v>
      </c>
      <c r="B125" s="3288"/>
      <c r="C125" s="3288"/>
      <c r="D125" s="3328" t="e">
        <f>NUMBERSTRING(INT(D124*10000),2)&amp;"元整"</f>
        <v>#VALUE!</v>
      </c>
      <c r="E125" s="3329"/>
      <c r="F125" s="3329"/>
      <c r="G125" s="3329"/>
      <c r="H125" s="3329"/>
      <c r="I125" s="3330"/>
      <c r="AA125" s="684"/>
    </row>
    <row r="126" spans="1:27" ht="18.75" customHeight="1">
      <c r="A126" s="3319" t="str">
        <f>IF(项目基本情况!B9="房地产市场价值","",MID(E111,3,LEN(E111)-2))</f>
        <v/>
      </c>
      <c r="B126" s="3319"/>
      <c r="C126" s="3319"/>
      <c r="D126" s="3352" t="str">
        <f>H111</f>
        <v>——</v>
      </c>
      <c r="E126" s="3353"/>
      <c r="F126" s="3353"/>
      <c r="G126" s="3353"/>
      <c r="H126" s="3353"/>
      <c r="I126" s="3354"/>
      <c r="AA126" s="684"/>
    </row>
    <row r="127" spans="1:27" ht="18.75" customHeight="1">
      <c r="A127" s="3288" t="s">
        <v>1447</v>
      </c>
      <c r="B127" s="3288"/>
      <c r="C127" s="3288"/>
      <c r="D127" s="3328" t="e">
        <f>NUMBERSTRING(INT(D126*10000),2)&amp;"元整"</f>
        <v>#VALUE!</v>
      </c>
      <c r="E127" s="3329"/>
      <c r="F127" s="3329"/>
      <c r="G127" s="3329"/>
      <c r="H127" s="3329"/>
      <c r="I127" s="3330"/>
      <c r="AA127" s="684"/>
    </row>
    <row r="128" spans="1:27" ht="21.75" customHeight="1">
      <c r="A128" s="3335" t="s">
        <v>1448</v>
      </c>
      <c r="B128" s="3335"/>
      <c r="C128" s="3335"/>
      <c r="D128" s="3335"/>
      <c r="E128" s="3335"/>
      <c r="F128" s="3335"/>
      <c r="G128" s="3335"/>
      <c r="H128" s="3335"/>
      <c r="I128" s="3335"/>
      <c r="AA128" s="684"/>
    </row>
    <row r="129" spans="1:35" ht="21.75" customHeight="1">
      <c r="A129" s="1689" t="s">
        <v>1449</v>
      </c>
      <c r="B129" s="1690"/>
      <c r="C129" s="1691" t="s">
        <v>1450</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1451</v>
      </c>
      <c r="G135" s="1704"/>
      <c r="H135" s="1704"/>
      <c r="I135" s="1705" t="s">
        <v>1452</v>
      </c>
    </row>
    <row r="136" spans="1:35" ht="21.75" customHeight="1">
      <c r="A136" s="684"/>
      <c r="B136" s="1706" t="s">
        <v>1453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1454</v>
      </c>
    </row>
    <row r="139" spans="1:35" ht="21.75" customHeight="1">
      <c r="A139" s="684"/>
      <c r="B139" s="1706" t="s">
        <v>1455</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1454</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33" priority="3" stopIfTrue="1">
      <formula>$H$88&lt;&gt;"仅含出让金"</formula>
    </cfRule>
  </conditionalFormatting>
  <conditionalFormatting sqref="C91">
    <cfRule type="expression" dxfId="32" priority="2" stopIfTrue="1">
      <formula>$H$91="由企业提供"</formula>
    </cfRule>
  </conditionalFormatting>
  <conditionalFormatting sqref="C5:D7">
    <cfRule type="cellIs" dxfId="31" priority="6" stopIfTrue="1" operator="equal">
      <formula>25</formula>
    </cfRule>
  </conditionalFormatting>
  <conditionalFormatting sqref="C8:D13">
    <cfRule type="cellIs" dxfId="30" priority="5" stopIfTrue="1" operator="equal">
      <formula>15</formula>
    </cfRule>
  </conditionalFormatting>
  <conditionalFormatting sqref="C14:D16">
    <cfRule type="cellIs" dxfId="29" priority="4" stopIfTrue="1" operator="equal">
      <formula>30</formula>
    </cfRule>
  </conditionalFormatting>
  <conditionalFormatting sqref="E36">
    <cfRule type="expression" dxfId="28" priority="1" stopIfTrue="1">
      <formula>$D$36="同一抵押权人同一抵押物续贷"</formula>
    </cfRule>
  </conditionalFormatting>
  <dataValidations count="23">
    <dataValidation type="list" allowBlank="1" showInputMessage="1" showErrorMessage="1" sqref="D92" xr:uid="{B24F7F10-A55C-4D95-9AAC-FFB844225712}">
      <formula1>"0,5%,10%"</formula1>
    </dataValidation>
    <dataValidation type="list" allowBlank="1" showInputMessage="1" showErrorMessage="1" sqref="H59" xr:uid="{CC6C548E-5693-4AC2-9378-60A53EFAE259}">
      <formula1>"非个人房产,个人住宅（满五唯一有凭证）,个人其他（有凭证）,个人其他（无凭证）"</formula1>
    </dataValidation>
    <dataValidation type="list" allowBlank="1" showInputMessage="1" showErrorMessage="1" sqref="E103" xr:uid="{75BD8895-DDD4-4EB2-8E9E-179FC4023E2F}">
      <formula1>"2.估价师知悉的法定优先受偿款,2.估价师知悉的除抵押担保权以外的法定优先受偿款"</formula1>
    </dataValidation>
    <dataValidation type="list" allowBlank="1" showInputMessage="1" showErrorMessage="1" sqref="G77" xr:uid="{FFDA0B45-7191-46D9-B675-FE5243FC8C2D}">
      <formula1>"个人住宅,2016年5月1日前购买,2016年5月1日后购买"</formula1>
    </dataValidation>
    <dataValidation type="list" allowBlank="1" showInputMessage="1" showErrorMessage="1" sqref="C1" xr:uid="{38204A11-E380-415F-A897-3DEB4CA72ED4}">
      <formula1>项目类型</formula1>
    </dataValidation>
    <dataValidation type="list" allowBlank="1" showInputMessage="1" showErrorMessage="1" sqref="I1" xr:uid="{626BB968-636D-4818-9903-3F89A469E1A3}">
      <formula1>"项目局部,项目全部,——"</formula1>
    </dataValidation>
    <dataValidation type="list" showInputMessage="1" showErrorMessage="1" sqref="G1" xr:uid="{B61FF854-513C-44D6-863E-B5D1CC3DFE5D}">
      <formula1>"现房,在建,土地,-"</formula1>
    </dataValidation>
    <dataValidation type="list" allowBlank="1" showInputMessage="1" showErrorMessage="1" sqref="C129" xr:uid="{8976CE3C-F2FB-4C79-9979-CD43348DC999}">
      <formula1>"无,有"</formula1>
    </dataValidation>
    <dataValidation type="list" allowBlank="1" showInputMessage="1" showErrorMessage="1" sqref="F116:G116" xr:uid="{C3FC0247-4A11-4A85-B477-14A6E62DBE80}">
      <formula1>"建筑物价值,在建建筑物价值,建筑物/在建建筑物价值"</formula1>
    </dataValidation>
    <dataValidation type="list" allowBlank="1" showInputMessage="1" showErrorMessage="1" sqref="D116:E116" xr:uid="{B1FF4D6A-6875-4284-9E41-F987E6A8F23A}">
      <formula1>"出让国有建设用地使用权价值,划拨国有建设用地使用权价值"</formula1>
    </dataValidation>
    <dataValidation type="list" allowBlank="1" showInputMessage="1" showErrorMessage="1" sqref="C116:C117" xr:uid="{D4A8041B-49A3-45C7-B54D-AD5C0DC21C28}">
      <formula1>"土地面积,分摊土地面积,（分摊）土地面积"</formula1>
    </dataValidation>
    <dataValidation type="list" allowBlank="1" showInputMessage="1" showErrorMessage="1" sqref="B116:B117" xr:uid="{2576A04B-FE62-4CA9-B6D2-EA775F4B3A36}">
      <formula1>"建筑面积,规划建筑面积,（规划）建筑面积"</formula1>
    </dataValidation>
    <dataValidation type="list" allowBlank="1" showInputMessage="1" showErrorMessage="1" sqref="D36" xr:uid="{C10188C1-7DA0-42C1-8BE3-5290F6A1D0C8}">
      <formula1>"同一抵押权人同一抵押物续贷,注销后放款,正常操作"</formula1>
    </dataValidation>
    <dataValidation type="list" allowBlank="1" showInputMessage="1" showErrorMessage="1" sqref="F75" xr:uid="{F0CA0CE6-3F09-4ACC-9967-3B6DACAC073D}">
      <formula1>"买卖合同,购房发票"</formula1>
    </dataValidation>
    <dataValidation type="list" allowBlank="1" showInputMessage="1" showErrorMessage="1" sqref="H88" xr:uid="{31A5D55B-DFA3-4CCD-B6BE-CDE0CCA14DA0}">
      <formula1>"仅含出让金,出让金+开发费"</formula1>
    </dataValidation>
    <dataValidation type="list" allowBlank="1" showInputMessage="1" showErrorMessage="1" sqref="H91" xr:uid="{C59E61BF-9618-45A3-AB9B-15A7554B13D5}">
      <formula1>"企业提供（在右侧录入）,——"</formula1>
    </dataValidation>
    <dataValidation type="list" allowBlank="1" showInputMessage="1" showErrorMessage="1" sqref="C33" xr:uid="{3E88C866-E493-4401-B3C6-B8AC9A825600}">
      <formula1>"成本比率,收益比率,自定义"</formula1>
    </dataValidation>
    <dataValidation type="list" allowBlank="1" showInputMessage="1" showErrorMessage="1" sqref="F45" xr:uid="{8A86A4B4-C92C-493B-87E5-BFDF018D4A4B}">
      <formula1>"100%,70%,56%"</formula1>
    </dataValidation>
    <dataValidation type="list" allowBlank="1" showInputMessage="1" showErrorMessage="1" sqref="D32" xr:uid="{64D9C958-18C7-4C84-9BF9-5B4E3E5DB6D2}">
      <formula1>"总价,楼面单价"</formula1>
    </dataValidation>
    <dataValidation type="list" allowBlank="1" showInputMessage="1" showErrorMessage="1" sqref="H58" xr:uid="{FD883130-85D5-42E3-8392-91B6AA992056}">
      <formula1>"转让取得,自行开发建设"</formula1>
    </dataValidation>
    <dataValidation type="list" allowBlank="1" showInputMessage="1" showErrorMessage="1" sqref="H48" xr:uid="{6744D710-764C-4BF3-A405-A152A478A079}">
      <formula1>"情况1,情况2,情况3,情况4"</formula1>
    </dataValidation>
    <dataValidation type="list" allowBlank="1" showInputMessage="1" showErrorMessage="1" sqref="H55:H56" xr:uid="{08FFA988-C957-4CCF-978D-4C7FC7AC19E7}">
      <formula1>"个人住宅,正常"</formula1>
    </dataValidation>
    <dataValidation type="list" allowBlank="1" showInputMessage="1" showErrorMessage="1" sqref="C4:D4 D33" xr:uid="{B11220AC-DBA1-4CC1-8702-FC3EFFDEEE77}">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95403-26E0-4A5E-9A6B-7D0B6DD673F9}">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2" t="s">
        <v>21</v>
      </c>
      <c r="C1" s="190"/>
      <c r="D1" s="190"/>
      <c r="E1" s="190"/>
      <c r="F1" s="190"/>
      <c r="G1" s="1060">
        <f>MATCH(B1,'数据-取费表'!A6:A16,0)+5</f>
        <v>7</v>
      </c>
    </row>
    <row r="2" spans="1:9" s="192" customFormat="1" ht="18" customHeight="1">
      <c r="A2" s="193" t="s">
        <v>680</v>
      </c>
      <c r="B2" s="194">
        <f ca="1">IF(D2="——",C52,C52-E2)</f>
        <v>503527</v>
      </c>
      <c r="C2" s="191" t="s">
        <v>1458</v>
      </c>
      <c r="D2" s="1709" t="s">
        <v>43</v>
      </c>
      <c r="E2" s="1087" t="e">
        <f ca="1">SUMIF(INDIRECT("'"&amp;G2&amp;"'"&amp;"!A:A"),"承租人权益价值",INDIRECT("'"&amp;G2&amp;"'"&amp;"!c:c"))</f>
        <v>#REF!</v>
      </c>
      <c r="F2" s="1710" t="s">
        <v>1458</v>
      </c>
      <c r="G2" s="1711"/>
    </row>
    <row r="3" spans="1:9" s="192" customFormat="1" ht="18" customHeight="1" thickBot="1">
      <c r="A3" s="195" t="s">
        <v>681</v>
      </c>
      <c r="B3" s="196">
        <f ca="1">ROUND(B2*10000/(IF(B1="",'数据-汇总表'!E3,INDIRECT("'数据-取费表'!k"&amp;$G$1))),0)</f>
        <v>55099</v>
      </c>
      <c r="C3" s="191" t="s">
        <v>1460</v>
      </c>
      <c r="D3" s="191"/>
      <c r="E3" s="191"/>
      <c r="F3" s="191"/>
      <c r="G3" s="191"/>
    </row>
    <row r="4" spans="1:9" s="200" customFormat="1" ht="15.75">
      <c r="A4" s="197" t="s">
        <v>1461</v>
      </c>
      <c r="B4" s="198"/>
      <c r="C4" s="198"/>
      <c r="D4" s="198"/>
      <c r="E4" s="198"/>
      <c r="F4" s="198"/>
      <c r="G4" s="199"/>
    </row>
    <row r="5" spans="1:9" s="206" customFormat="1" ht="13.5" customHeight="1">
      <c r="A5" s="247" t="s">
        <v>337</v>
      </c>
      <c r="B5" s="202" t="s">
        <v>1463</v>
      </c>
      <c r="C5" s="203">
        <f ca="1">C6+C7+C8</f>
        <v>286006</v>
      </c>
      <c r="D5" s="203" t="s">
        <v>1464</v>
      </c>
      <c r="E5" s="204" t="s">
        <v>1465</v>
      </c>
      <c r="F5" s="204" t="s">
        <v>1466</v>
      </c>
      <c r="G5" s="205"/>
    </row>
    <row r="6" spans="1:9" s="206" customFormat="1" ht="13.5" customHeight="1">
      <c r="A6" s="730" t="s">
        <v>346</v>
      </c>
      <c r="B6" s="207" t="s">
        <v>1468</v>
      </c>
      <c r="C6" s="208">
        <f>'办公-基准地价修正'!B2</f>
        <v>275712</v>
      </c>
      <c r="D6" s="209"/>
      <c r="E6" s="210"/>
      <c r="F6" s="210"/>
      <c r="G6" s="211"/>
    </row>
    <row r="7" spans="1:9" s="206" customFormat="1" ht="13.5" customHeight="1">
      <c r="A7" s="730" t="s">
        <v>347</v>
      </c>
      <c r="B7" s="207" t="s">
        <v>1470</v>
      </c>
      <c r="C7" s="212">
        <f>ROUND(C6*F7,0)</f>
        <v>8409</v>
      </c>
      <c r="D7" s="212"/>
      <c r="E7" s="210"/>
      <c r="F7" s="213">
        <f>IF(项目基本情况!B8="出让",0,'数据-取费表'!B48+'数据-取费表'!B49)</f>
        <v>3.0499999999999999E-2</v>
      </c>
      <c r="G7" s="211"/>
    </row>
    <row r="8" spans="1:9" s="215" customFormat="1">
      <c r="A8" s="730" t="s">
        <v>348</v>
      </c>
      <c r="B8" s="207" t="s">
        <v>1472</v>
      </c>
      <c r="C8" s="212">
        <f ca="1">IF(G8="已包含在土地购买价格中","0",IF(B1="",'数据-取费表'!B29,IF(G9="全部缴纳",C9+C10,H9)))</f>
        <v>1885</v>
      </c>
      <c r="D8" s="214"/>
      <c r="E8" s="212"/>
      <c r="F8" s="213"/>
      <c r="G8" s="1712" t="s">
        <v>3437</v>
      </c>
    </row>
    <row r="9" spans="1:9" s="206" customFormat="1" ht="13.5" customHeight="1">
      <c r="A9" s="731" t="s">
        <v>355</v>
      </c>
      <c r="B9" s="216" t="s">
        <v>1473</v>
      </c>
      <c r="C9" s="217">
        <f ca="1">ROUND(D9*E9/10000,0)</f>
        <v>0</v>
      </c>
      <c r="D9" s="793">
        <f ca="1">IF(B1="",'数据-汇总表'!E5,IF(INDIRECT("'数据-取费表'!c"&amp;$G$1)="住宅",INDIRECT("'数据-取费表'!k"&amp;$G$1),0))</f>
        <v>0</v>
      </c>
      <c r="E9" s="217">
        <f>'数据-取费表'!B27</f>
        <v>160</v>
      </c>
      <c r="F9" s="213"/>
      <c r="G9" s="1713" t="s">
        <v>3438</v>
      </c>
      <c r="H9" s="1068"/>
      <c r="I9" s="1714" t="s">
        <v>1474</v>
      </c>
    </row>
    <row r="10" spans="1:9" s="206" customFormat="1" ht="13.5" customHeight="1">
      <c r="A10" s="731" t="s">
        <v>356</v>
      </c>
      <c r="B10" s="216" t="s">
        <v>1475</v>
      </c>
      <c r="C10" s="217">
        <f ca="1">ROUND(D10*E10/10000,0)</f>
        <v>1885</v>
      </c>
      <c r="D10" s="793">
        <f ca="1">IF(B1="",'数据-汇总表'!E6,IF(INDIRECT("'数据-取费表'!c"&amp;$G$1)="住宅",INDIRECT("'数据-取费表'!s"&amp;$G$1),INDIRECT("'数据-取费表'!k"&amp;$G$1)+INDIRECT("'数据-取费表'!s"&amp;$G$1)))</f>
        <v>94271.349999999991</v>
      </c>
      <c r="E10" s="217">
        <f>'数据-取费表'!B28</f>
        <v>200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1472</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1472</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f ca="1">D9+D10</f>
        <v>94271.349999999991</v>
      </c>
      <c r="E19" s="203">
        <f>'数据-取费表'!B31</f>
        <v>200</v>
      </c>
      <c r="F19" s="223"/>
      <c r="G19" s="1712" t="s">
        <v>3439</v>
      </c>
    </row>
    <row r="20" spans="1:7" s="206" customFormat="1" ht="13.5" customHeight="1">
      <c r="A20" s="247" t="s">
        <v>1488</v>
      </c>
      <c r="B20" s="202" t="s">
        <v>1489</v>
      </c>
      <c r="C20" s="224">
        <f ca="1">ROUND((C5+C19)*F20,0)</f>
        <v>8580</v>
      </c>
      <c r="D20" s="224"/>
      <c r="E20" s="224"/>
      <c r="F20" s="225">
        <f>'数据-取费表'!B37</f>
        <v>0.03</v>
      </c>
      <c r="G20" s="226" t="s">
        <v>1490</v>
      </c>
    </row>
    <row r="21" spans="1:7" s="206" customFormat="1" ht="13.5" customHeight="1">
      <c r="A21" s="247" t="s">
        <v>1491</v>
      </c>
      <c r="B21" s="202" t="s">
        <v>1492</v>
      </c>
      <c r="C21" s="227">
        <f>F21</f>
        <v>0.03</v>
      </c>
      <c r="D21" s="228" t="s">
        <v>1493</v>
      </c>
      <c r="E21" s="224"/>
      <c r="F21" s="225">
        <f>'数据-取费表'!B38</f>
        <v>0.03</v>
      </c>
      <c r="G21" s="226" t="s">
        <v>1494</v>
      </c>
    </row>
    <row r="22" spans="1:7" s="206" customFormat="1" ht="13.5" customHeight="1">
      <c r="A22" s="247" t="s">
        <v>1495</v>
      </c>
      <c r="B22" s="202" t="s">
        <v>1496</v>
      </c>
      <c r="C22" s="1039">
        <f ca="1">ROUND(SUM(C23:C25),0)</f>
        <v>22258</v>
      </c>
      <c r="D22" s="227">
        <f ca="1">C26</f>
        <v>1.1000000000000001E-3</v>
      </c>
      <c r="E22" s="228" t="s">
        <v>1493</v>
      </c>
      <c r="F22" s="229">
        <f ca="1">'数据-取费表'!B40</f>
        <v>0.03</v>
      </c>
      <c r="G22" s="226" t="str">
        <f>IF('数据-取费表'!B22&lt;=1,"单利计息","复利计息")</f>
        <v>复利计息</v>
      </c>
    </row>
    <row r="23" spans="1:7" s="206" customFormat="1" ht="13.5" customHeight="1">
      <c r="A23" s="732" t="s">
        <v>346</v>
      </c>
      <c r="B23" s="207" t="s">
        <v>1498</v>
      </c>
      <c r="C23" s="1040">
        <f ca="1">ROUND(IF('数据-取费表'!B22&lt;=1,C5*F22*'数据-取费表'!B23,C5*(POWER((1+F22),'数据-取费表'!B23)-1)),0)</f>
        <v>21935</v>
      </c>
      <c r="D23" s="230"/>
      <c r="E23" s="230"/>
      <c r="F23" s="231"/>
      <c r="G23" s="232" t="s">
        <v>1499</v>
      </c>
    </row>
    <row r="24" spans="1:7" s="206" customFormat="1" ht="13.5" customHeight="1">
      <c r="A24" s="732" t="s">
        <v>347</v>
      </c>
      <c r="B24" s="207" t="s">
        <v>1501</v>
      </c>
      <c r="C24" s="1040">
        <f ca="1">ROUND(IF('数据-取费表'!B22&lt;=1,C19*F22*('数据-取费表'!B19/2+'数据-取费表'!B21),C19*(POWER((1+F22),('数据-取费表'!B19/2+'数据-取费表'!B21))-1)),0)</f>
        <v>0</v>
      </c>
      <c r="D24" s="230"/>
      <c r="E24" s="230"/>
      <c r="F24" s="231"/>
      <c r="G24" s="232" t="s">
        <v>1502</v>
      </c>
    </row>
    <row r="25" spans="1:7" s="206" customFormat="1" ht="24">
      <c r="A25" s="732" t="s">
        <v>348</v>
      </c>
      <c r="B25" s="207" t="s">
        <v>1504</v>
      </c>
      <c r="C25" s="1040">
        <f ca="1">ROUND(IF('数据-取费表'!B22&lt;=1,C20*F22*'数据-取费表'!B23/2,C20*(POWER((1+F22),'数据-取费表'!B23/2)-1)),0)</f>
        <v>323</v>
      </c>
      <c r="D25" s="230"/>
      <c r="E25" s="233"/>
      <c r="F25" s="231"/>
      <c r="G25" s="234" t="s">
        <v>1505</v>
      </c>
    </row>
    <row r="26" spans="1:7" s="206" customFormat="1">
      <c r="A26" s="732" t="s">
        <v>350</v>
      </c>
      <c r="B26" s="207" t="s">
        <v>1506</v>
      </c>
      <c r="C26" s="230">
        <f ca="1">ROUND(IF('数据-取费表'!B22&lt;=1,F21*F22*'数据-取费表'!B23/2,F21*(POWER((1+F22),'数据-取费表'!B23/2)-1)),4)</f>
        <v>1.1000000000000001E-3</v>
      </c>
      <c r="D26" s="230"/>
      <c r="E26" s="233"/>
      <c r="F26" s="231"/>
      <c r="G26" s="235"/>
    </row>
    <row r="27" spans="1:7" s="206" customFormat="1" ht="24.75">
      <c r="A27" s="247" t="s">
        <v>1507</v>
      </c>
      <c r="B27" s="236" t="s">
        <v>1508</v>
      </c>
      <c r="C27" s="237">
        <f ca="1">C28</f>
        <v>73647</v>
      </c>
      <c r="D27" s="227">
        <f ca="1">C29</f>
        <v>7.4999999999999997E-3</v>
      </c>
      <c r="E27" s="228" t="s">
        <v>1493</v>
      </c>
      <c r="F27" s="238">
        <f ca="1">IF(B1="",'数据-取费表'!Q16,INDIRECT("'数据-取费表'!q"&amp;$G$1))</f>
        <v>0.25</v>
      </c>
      <c r="G27" s="239" t="s">
        <v>1510</v>
      </c>
    </row>
    <row r="28" spans="1:7" s="206" customFormat="1" ht="13.5" customHeight="1">
      <c r="A28" s="732" t="s">
        <v>346</v>
      </c>
      <c r="B28" s="240" t="s">
        <v>1511</v>
      </c>
      <c r="C28" s="241">
        <f ca="1">ROUND((C5+C19+C20)*F27*'数据-取费表'!B21/'数据-取费表'!B20,0)</f>
        <v>73647</v>
      </c>
      <c r="D28" s="227"/>
      <c r="E28" s="228"/>
      <c r="F28" s="238"/>
      <c r="G28" s="239"/>
    </row>
    <row r="29" spans="1:7" s="206" customFormat="1" ht="13.5" customHeight="1">
      <c r="A29" s="732" t="s">
        <v>347</v>
      </c>
      <c r="B29" s="240" t="s">
        <v>1512</v>
      </c>
      <c r="C29" s="230">
        <f ca="1">ROUND(C21*F27*'数据-取费表'!B21/'数据-取费表'!B20,4)</f>
        <v>7.4999999999999997E-3</v>
      </c>
      <c r="D29" s="227"/>
      <c r="E29" s="228"/>
      <c r="F29" s="238"/>
      <c r="G29" s="239"/>
    </row>
    <row r="30" spans="1:7" s="206" customFormat="1" ht="13.5" customHeight="1">
      <c r="A30" s="247" t="s">
        <v>1513</v>
      </c>
      <c r="B30" s="202" t="s">
        <v>1514</v>
      </c>
      <c r="C30" s="227">
        <f>ROUND(F30/(1+'数据-取费表'!C42),4)</f>
        <v>5.33E-2</v>
      </c>
      <c r="D30" s="228" t="s">
        <v>1493</v>
      </c>
      <c r="E30" s="233"/>
      <c r="F30" s="229">
        <f>'数据-取费表'!B41</f>
        <v>5.6000000000000001E-2</v>
      </c>
      <c r="G30" s="226" t="s">
        <v>1515</v>
      </c>
    </row>
    <row r="31" spans="1:7" ht="16.5" customHeight="1">
      <c r="A31" s="201">
        <v>1</v>
      </c>
      <c r="B31" s="202" t="s">
        <v>1516</v>
      </c>
      <c r="C31" s="203">
        <f ca="1">ROUND((C5+C19+C20+C22+C27)/(1-C21-D22-D27-C30),0)</f>
        <v>430009</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65801</v>
      </c>
      <c r="D33" s="224"/>
      <c r="E33" s="204"/>
      <c r="F33" s="233"/>
      <c r="G33" s="226"/>
    </row>
    <row r="34" spans="1:7" s="250" customFormat="1" ht="13.5" customHeight="1">
      <c r="A34" s="732" t="s">
        <v>346</v>
      </c>
      <c r="B34" s="207" t="s">
        <v>1520</v>
      </c>
      <c r="C34" s="212">
        <f ca="1">IF(B1="",IF(F34=100%,'数据-取费表'!M16,'数据-取费表'!O16),IF(F34=100%,INDIRECT("'数据-取费表'!m"&amp;$G$1)+INDIRECT("'数据-取费表'!t"&amp;$G$1),INDIRECT("'数据-取费表'!o"&amp;$G$1)+INDIRECT("'数据-取费表'!aq"&amp;$G$1)))</f>
        <v>56563</v>
      </c>
      <c r="D34" s="209"/>
      <c r="E34" s="212"/>
      <c r="F34" s="249">
        <f ca="1">IF('数据-取费表'!B24=0,1,IF(B1="",'数据-取费表'!N16,INDIRECT("'数据-取费表'!n"&amp;$G$1)))</f>
        <v>1</v>
      </c>
      <c r="G34" s="211" t="s">
        <v>1521</v>
      </c>
    </row>
    <row r="35" spans="1:7" ht="13.5" customHeight="1">
      <c r="A35" s="732" t="s">
        <v>351</v>
      </c>
      <c r="B35" s="207" t="s">
        <v>1522</v>
      </c>
      <c r="C35" s="212">
        <f ca="1">ROUND(C34*F35,0)</f>
        <v>5656</v>
      </c>
      <c r="D35" s="212"/>
      <c r="E35" s="212"/>
      <c r="F35" s="251">
        <f>'数据-取费表'!B33</f>
        <v>0.1</v>
      </c>
      <c r="G35" s="211" t="s">
        <v>1523</v>
      </c>
    </row>
    <row r="36" spans="1:7" ht="24">
      <c r="A36" s="732"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2" t="s">
        <v>353</v>
      </c>
      <c r="B37" s="207" t="s">
        <v>1526</v>
      </c>
      <c r="C37" s="241">
        <f ca="1">ROUND(E37*D37*F34/10000,0)</f>
        <v>1885</v>
      </c>
      <c r="D37" s="209">
        <f ca="1">D19</f>
        <v>94271.349999999991</v>
      </c>
      <c r="E37" s="241">
        <f>'数据-取费表'!B35</f>
        <v>200</v>
      </c>
      <c r="F37" s="251"/>
      <c r="G37" s="253" t="s">
        <v>1527</v>
      </c>
    </row>
    <row r="38" spans="1:7" ht="13.5" customHeight="1">
      <c r="A38" s="732" t="s">
        <v>354</v>
      </c>
      <c r="B38" s="207" t="s">
        <v>1528</v>
      </c>
      <c r="C38" s="212">
        <f ca="1">ROUND(C34*F38,0)</f>
        <v>1697</v>
      </c>
      <c r="D38" s="212"/>
      <c r="E38" s="212"/>
      <c r="F38" s="251">
        <f>'数据-取费表'!B36</f>
        <v>0.03</v>
      </c>
      <c r="G38" s="211" t="s">
        <v>1523</v>
      </c>
    </row>
    <row r="39" spans="1:7" s="206" customFormat="1" ht="13.5" customHeight="1">
      <c r="A39" s="247" t="s">
        <v>1486</v>
      </c>
      <c r="B39" s="202" t="s">
        <v>1489</v>
      </c>
      <c r="C39" s="224">
        <f ca="1">ROUND(C33*F20,0)</f>
        <v>1974</v>
      </c>
      <c r="D39" s="224"/>
      <c r="E39" s="224"/>
      <c r="F39" s="225">
        <f>F20</f>
        <v>0.03</v>
      </c>
      <c r="G39" s="226" t="s">
        <v>1531</v>
      </c>
    </row>
    <row r="40" spans="1:7" s="206" customFormat="1" ht="13.5" customHeight="1">
      <c r="A40" s="247" t="s">
        <v>1488</v>
      </c>
      <c r="B40" s="202" t="s">
        <v>1492</v>
      </c>
      <c r="C40" s="227">
        <f>F21</f>
        <v>0.03</v>
      </c>
      <c r="D40" s="228" t="s">
        <v>1534</v>
      </c>
      <c r="E40" s="224"/>
      <c r="F40" s="225">
        <f>F21</f>
        <v>0.03</v>
      </c>
      <c r="G40" s="226" t="s">
        <v>1535</v>
      </c>
    </row>
    <row r="41" spans="1:7" s="206" customFormat="1" ht="13.5" customHeight="1">
      <c r="A41" s="247" t="s">
        <v>1491</v>
      </c>
      <c r="B41" s="202" t="s">
        <v>1496</v>
      </c>
      <c r="C41" s="224">
        <f ca="1">ROUND(SUM(C42:C43),0)</f>
        <v>2551</v>
      </c>
      <c r="D41" s="227">
        <f ca="1">C44</f>
        <v>1.1000000000000001E-3</v>
      </c>
      <c r="E41" s="228" t="s">
        <v>1534</v>
      </c>
      <c r="F41" s="229">
        <f ca="1">F22</f>
        <v>0.03</v>
      </c>
      <c r="G41" s="226" t="str">
        <f>IF('数据-取费表'!B22&lt;=1,"单利计息","复利计息")</f>
        <v>复利计息</v>
      </c>
    </row>
    <row r="42" spans="1:7" ht="13.5" customHeight="1">
      <c r="A42" s="732" t="s">
        <v>346</v>
      </c>
      <c r="B42" s="207" t="s">
        <v>1498</v>
      </c>
      <c r="C42" s="230">
        <f ca="1">ROUND(IF('数据-取费表'!B22&lt;=1,C33*F22*'数据-取费表'!B21/2,C33*(POWER((1+F22),'数据-取费表'!B21/2)-1)),0)</f>
        <v>2477</v>
      </c>
      <c r="D42" s="230"/>
      <c r="E42" s="230"/>
      <c r="F42" s="231"/>
      <c r="G42" s="3368" t="s">
        <v>1539</v>
      </c>
    </row>
    <row r="43" spans="1:7" ht="13.5" customHeight="1">
      <c r="A43" s="732" t="s">
        <v>347</v>
      </c>
      <c r="B43" s="207" t="s">
        <v>1501</v>
      </c>
      <c r="C43" s="230">
        <f ca="1">ROUND(IF('数据-取费表'!B22&lt;=1,C39*F22*'数据-取费表'!B21/2,C39*(POWER((1+F22),'数据-取费表'!B21/2)-1)),0)</f>
        <v>74</v>
      </c>
      <c r="D43" s="230"/>
      <c r="E43" s="230"/>
      <c r="F43" s="231"/>
      <c r="G43" s="3369"/>
    </row>
    <row r="44" spans="1:7" ht="13.5" customHeight="1">
      <c r="A44" s="732" t="s">
        <v>348</v>
      </c>
      <c r="B44" s="207" t="s">
        <v>1504</v>
      </c>
      <c r="C44" s="230">
        <f ca="1">ROUND(IF('数据-取费表'!B22&lt;=1,C40*F22*'数据-取费表'!B21/2,C40*(POWER((1+F22),'数据-取费表'!B21/2)-1)),4)</f>
        <v>1.1000000000000001E-3</v>
      </c>
      <c r="D44" s="230"/>
      <c r="E44" s="230"/>
      <c r="F44" s="231"/>
      <c r="G44" s="3370"/>
    </row>
    <row r="45" spans="1:7" s="206" customFormat="1" ht="13.5" customHeight="1">
      <c r="A45" s="247" t="s">
        <v>1495</v>
      </c>
      <c r="B45" s="236" t="s">
        <v>1508</v>
      </c>
      <c r="C45" s="237">
        <f ca="1">C46</f>
        <v>16944</v>
      </c>
      <c r="D45" s="227">
        <f ca="1">C47</f>
        <v>7.4999999999999997E-3</v>
      </c>
      <c r="E45" s="228" t="s">
        <v>1534</v>
      </c>
      <c r="F45" s="238">
        <f ca="1">F27</f>
        <v>0.25</v>
      </c>
      <c r="G45" s="239" t="s">
        <v>1543</v>
      </c>
    </row>
    <row r="46" spans="1:7" s="206" customFormat="1" ht="13.5" customHeight="1">
      <c r="A46" s="732" t="s">
        <v>346</v>
      </c>
      <c r="B46" s="240" t="s">
        <v>1544</v>
      </c>
      <c r="C46" s="241">
        <f ca="1">ROUND((C33+C39)*F27,0)</f>
        <v>16944</v>
      </c>
      <c r="D46" s="255"/>
      <c r="E46" s="228"/>
      <c r="F46" s="238"/>
      <c r="G46" s="239"/>
    </row>
    <row r="47" spans="1:7" s="206" customFormat="1" ht="13.5" customHeight="1">
      <c r="A47" s="732" t="s">
        <v>347</v>
      </c>
      <c r="B47" s="240" t="s">
        <v>1545</v>
      </c>
      <c r="C47" s="230">
        <f ca="1">ROUND(C40*F27,4)</f>
        <v>7.4999999999999997E-3</v>
      </c>
      <c r="D47" s="255"/>
      <c r="E47" s="228"/>
      <c r="F47" s="238"/>
      <c r="G47" s="239"/>
    </row>
    <row r="48" spans="1:7" s="206" customFormat="1" ht="13.5" customHeight="1">
      <c r="A48" s="247" t="s">
        <v>1507</v>
      </c>
      <c r="B48" s="202" t="s">
        <v>1546</v>
      </c>
      <c r="C48" s="227">
        <f>ROUND(F30/(1+'数据-取费表'!C42),4)</f>
        <v>5.33E-2</v>
      </c>
      <c r="D48" s="228" t="s">
        <v>1534</v>
      </c>
      <c r="E48" s="224"/>
      <c r="F48" s="229">
        <f>F30</f>
        <v>5.6000000000000001E-2</v>
      </c>
      <c r="G48" s="226" t="s">
        <v>1547</v>
      </c>
    </row>
    <row r="49" spans="1:7" ht="16.5" customHeight="1">
      <c r="A49" s="247" t="s">
        <v>1513</v>
      </c>
      <c r="B49" s="202" t="s">
        <v>1548</v>
      </c>
      <c r="C49" s="224">
        <f ca="1">ROUND((C33+C39+C41+C45)/(1-C40-D41-D45-C48),0)</f>
        <v>96102</v>
      </c>
      <c r="D49" s="224"/>
      <c r="E49" s="224"/>
      <c r="F49" s="256"/>
      <c r="G49" s="226" t="s">
        <v>1549</v>
      </c>
    </row>
    <row r="50" spans="1:7" s="250" customFormat="1" ht="24">
      <c r="A50" s="247" t="s">
        <v>1550</v>
      </c>
      <c r="B50" s="202" t="s">
        <v>1551</v>
      </c>
      <c r="C50" s="224"/>
      <c r="D50" s="224"/>
      <c r="E50" s="224"/>
      <c r="F50" s="256">
        <f>IF('数据-取费表'!B24=0,'数据-取费表'!N16,1)</f>
        <v>0.76500000000000001</v>
      </c>
      <c r="G50" s="239" t="s">
        <v>1552</v>
      </c>
    </row>
    <row r="51" spans="1:7" ht="16.5" customHeight="1">
      <c r="A51" s="247" t="s">
        <v>1553</v>
      </c>
      <c r="B51" s="202" t="s">
        <v>1554</v>
      </c>
      <c r="C51" s="224">
        <f ca="1">ROUND(C49*F50,0)</f>
        <v>73518</v>
      </c>
      <c r="D51" s="224"/>
      <c r="E51" s="224"/>
      <c r="F51" s="256"/>
      <c r="G51" s="226" t="s">
        <v>1555</v>
      </c>
    </row>
    <row r="52" spans="1:7" s="200" customFormat="1" ht="16.5" thickBot="1">
      <c r="A52" s="257" t="s">
        <v>1556</v>
      </c>
      <c r="B52" s="258"/>
      <c r="C52" s="259">
        <f ca="1">C31+C51</f>
        <v>503527</v>
      </c>
      <c r="D52" s="258"/>
      <c r="E52" s="258"/>
      <c r="F52" s="258"/>
      <c r="G52" s="260"/>
    </row>
    <row r="55" spans="1:7" ht="15">
      <c r="B55" s="262" t="s">
        <v>1557</v>
      </c>
      <c r="C55" s="263"/>
    </row>
    <row r="56" spans="1:7">
      <c r="B56" s="265" t="s">
        <v>797</v>
      </c>
      <c r="C56" s="267">
        <f ca="1">1-C57</f>
        <v>0.85399999999999998</v>
      </c>
    </row>
    <row r="57" spans="1:7">
      <c r="B57" s="265" t="s">
        <v>798</v>
      </c>
      <c r="C57" s="266">
        <f ca="1">ROUND(C51/C52,3)</f>
        <v>0.14599999999999999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6DC164BA-9B94-4E97-9FE5-D28A7478E8E7}">
      <formula1>"需扣减承租人权益,——"</formula1>
    </dataValidation>
    <dataValidation type="list" allowBlank="1" showInputMessage="1" showErrorMessage="1" sqref="G2" xr:uid="{0C87EF9F-4771-47F0-BBD6-1E60DC35350D}">
      <formula1>估价方法</formula1>
    </dataValidation>
    <dataValidation type="list" allowBlank="1" showInputMessage="1" showErrorMessage="1" sqref="G9" xr:uid="{4E0C571D-4D5C-48B4-8F6A-391D9B8B3CA6}">
      <formula1>"部分缴纳,全部缴纳"</formula1>
    </dataValidation>
    <dataValidation type="list" allowBlank="1" showInputMessage="1" showErrorMessage="1" sqref="B1" xr:uid="{3D8FCB29-AF76-4B89-9993-6270030CC281}">
      <formula1>项目类型</formula1>
    </dataValidation>
    <dataValidation type="list" allowBlank="1" showInputMessage="1" showErrorMessage="1" sqref="G19" xr:uid="{1CB717FE-ADF7-4125-8D5F-38186766DBCA}">
      <formula1>"已包含在土地取得成本中,未包含在土地取得成本中"</formula1>
    </dataValidation>
    <dataValidation type="list" allowBlank="1" showInputMessage="1" showErrorMessage="1" sqref="G8" xr:uid="{D591824F-EFA2-4B22-99EE-4CC67C67F6EE}">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903</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89"/>
      <c r="B4" s="3183" t="s">
        <v>912</v>
      </c>
      <c r="C4" s="3183"/>
      <c r="D4" s="3183"/>
      <c r="E4" s="1389"/>
    </row>
    <row r="5" spans="1:5" ht="16.5" thickTop="1">
      <c r="B5" s="3181" t="s">
        <v>904</v>
      </c>
      <c r="C5" s="1390" t="s">
        <v>905</v>
      </c>
      <c r="D5" s="795">
        <f ca="1">商业结果表!H101</f>
        <v>97492</v>
      </c>
    </row>
    <row r="6" spans="1:5" ht="15.75">
      <c r="B6" s="3181"/>
      <c r="C6" s="1390" t="s">
        <v>906</v>
      </c>
      <c r="D6" s="795" t="str">
        <f ca="1">NUMBERSTRING(INT(D5*10000),2)&amp;"元整"</f>
        <v>玖亿柒仟肆佰玖拾贰万元整</v>
      </c>
    </row>
    <row r="7" spans="1:5" ht="15.75">
      <c r="B7" s="3186"/>
      <c r="C7" s="1391" t="s">
        <v>907</v>
      </c>
      <c r="D7" s="796">
        <f ca="1">商业结果表!H102</f>
        <v>6983</v>
      </c>
    </row>
    <row r="8" spans="1:5" ht="15.75">
      <c r="B8" s="3187" t="str">
        <f>商业结果表!E103</f>
        <v>2.估价师知悉的法定优先受偿款</v>
      </c>
      <c r="C8" s="1392" t="s">
        <v>908</v>
      </c>
      <c r="D8" s="796">
        <f>商业结果表!H103</f>
        <v>0</v>
      </c>
    </row>
    <row r="9" spans="1:5" ht="15.75">
      <c r="B9" s="3189"/>
      <c r="C9" s="1390" t="s">
        <v>906</v>
      </c>
      <c r="D9" s="795" t="str">
        <f>NUMBERSTRING(INT(D8*10000),2)&amp;"元整"</f>
        <v>零元整</v>
      </c>
    </row>
    <row r="10" spans="1:5" ht="15">
      <c r="B10" s="1393" t="s">
        <v>911</v>
      </c>
      <c r="C10" s="1394" t="s">
        <v>909</v>
      </c>
      <c r="D10" s="797">
        <f>商业结果表!H104</f>
        <v>0</v>
      </c>
    </row>
    <row r="11" spans="1:5" ht="15">
      <c r="B11" s="1393" t="s">
        <v>913</v>
      </c>
      <c r="C11" s="1394" t="s">
        <v>914</v>
      </c>
      <c r="D11" s="797">
        <f>商业结果表!H105</f>
        <v>0</v>
      </c>
    </row>
    <row r="12" spans="1:5" ht="15">
      <c r="B12" s="1393" t="s">
        <v>915</v>
      </c>
      <c r="C12" s="1394" t="s">
        <v>914</v>
      </c>
      <c r="D12" s="797">
        <f>商业结果表!H106</f>
        <v>0</v>
      </c>
    </row>
    <row r="13" spans="1:5" ht="15.75">
      <c r="B13" s="3180" t="str">
        <f>商业结果表!E107</f>
        <v>3.房地产抵押价值</v>
      </c>
      <c r="C13" s="1395" t="s">
        <v>905</v>
      </c>
      <c r="D13" s="798">
        <f ca="1">商业结果表!H107</f>
        <v>97492</v>
      </c>
    </row>
    <row r="14" spans="1:5" ht="15.75">
      <c r="B14" s="3181"/>
      <c r="C14" s="1390" t="s">
        <v>906</v>
      </c>
      <c r="D14" s="795" t="str">
        <f ca="1">NUMBERSTRING(INT(D13*10000),2)&amp;"元整"</f>
        <v>玖亿柒仟肆佰玖拾贰万元整</v>
      </c>
    </row>
    <row r="15" spans="1:5" ht="15">
      <c r="B15" s="3186"/>
      <c r="C15" s="1391" t="s">
        <v>916</v>
      </c>
      <c r="D15" s="804">
        <f ca="1">商业结果表!H108</f>
        <v>6983</v>
      </c>
    </row>
    <row r="16" spans="1:5" ht="15">
      <c r="B16" s="3187" t="str">
        <f>商业结果表!E109</f>
        <v>——</v>
      </c>
      <c r="C16" s="1395" t="s">
        <v>917</v>
      </c>
      <c r="D16" s="1396" t="str">
        <f>商业结果表!H109</f>
        <v>——</v>
      </c>
    </row>
    <row r="17" spans="1:5" ht="15.75">
      <c r="B17" s="3188"/>
      <c r="C17" s="1390" t="s">
        <v>918</v>
      </c>
      <c r="D17" s="795" t="e">
        <f>NUMBERSTRING(INT(D16*10000),2)&amp;"元整"</f>
        <v>#VALUE!</v>
      </c>
    </row>
    <row r="18" spans="1:5" ht="15">
      <c r="B18" s="3189"/>
      <c r="C18" s="1391" t="s">
        <v>907</v>
      </c>
      <c r="D18" s="804" t="str">
        <f>商业结果表!H110</f>
        <v>——</v>
      </c>
    </row>
    <row r="19" spans="1:5" ht="15.75">
      <c r="B19" s="3180" t="str">
        <f>商业结果表!E111</f>
        <v>——</v>
      </c>
      <c r="C19" s="1395" t="s">
        <v>905</v>
      </c>
      <c r="D19" s="796" t="str">
        <f>商业结果表!H111</f>
        <v>——</v>
      </c>
    </row>
    <row r="20" spans="1:5" ht="15.75">
      <c r="B20" s="3181"/>
      <c r="C20" s="1390" t="s">
        <v>918</v>
      </c>
      <c r="D20" s="795" t="e">
        <f>NUMBERSTRING(INT(D19*10000),2)&amp;"元整"</f>
        <v>#VALUE!</v>
      </c>
    </row>
    <row r="21" spans="1:5" ht="15.75" thickBot="1">
      <c r="B21" s="3182"/>
      <c r="C21" s="1397" t="s">
        <v>916</v>
      </c>
      <c r="D21" s="805" t="str">
        <f>商业结果表!H112</f>
        <v>——</v>
      </c>
    </row>
    <row r="22" spans="1:5" ht="15" thickTop="1">
      <c r="B22" s="1398" t="s">
        <v>919</v>
      </c>
    </row>
    <row r="24" spans="1:5" ht="18.75">
      <c r="A24" s="1399"/>
      <c r="B24" s="1400" t="s">
        <v>910</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1654-7013-4D59-8B74-09AE3611187A}">
  <sheetPr>
    <tabColor rgb="FF92D050"/>
  </sheetPr>
  <dimension ref="A1:AK83"/>
  <sheetViews>
    <sheetView view="pageBreakPreview" zoomScale="70" zoomScaleNormal="70" zoomScaleSheetLayoutView="70" workbookViewId="0">
      <selection activeCell="J19" sqref="J1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872</v>
      </c>
      <c r="B1" s="663"/>
      <c r="C1" s="1285" t="s">
        <v>21</v>
      </c>
      <c r="D1" s="1269" t="s">
        <v>43</v>
      </c>
      <c r="E1" s="1270" t="s">
        <v>673</v>
      </c>
      <c r="F1" s="997">
        <f ca="1">J53</f>
        <v>29.27</v>
      </c>
      <c r="G1" s="1284">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799</v>
      </c>
      <c r="B2" s="1292">
        <f ca="1">C40+J29+L46</f>
        <v>870004</v>
      </c>
      <c r="C2" s="1287" t="s">
        <v>800</v>
      </c>
      <c r="D2" s="1287"/>
      <c r="E2" s="1293"/>
      <c r="F2" s="1294"/>
      <c r="G2" s="2475"/>
      <c r="H2" s="2465"/>
      <c r="I2" s="2465"/>
      <c r="J2" s="2465"/>
      <c r="K2" s="2466"/>
      <c r="L2" s="2465"/>
      <c r="M2" s="2465"/>
    </row>
    <row r="3" spans="1:37" ht="18" customHeight="1" thickBot="1">
      <c r="A3" s="1295" t="s">
        <v>801</v>
      </c>
      <c r="B3" s="1296">
        <f ca="1">IF(ISERROR(B2*10000/F43),0,ROUND(B2*10000/F43,0))</f>
        <v>95201</v>
      </c>
      <c r="C3" s="1287" t="s">
        <v>802</v>
      </c>
      <c r="D3" s="1287"/>
      <c r="E3" s="1293"/>
      <c r="F3" s="1294"/>
      <c r="G3" s="2475"/>
      <c r="H3" s="649" t="s">
        <v>871</v>
      </c>
      <c r="I3" s="1288"/>
      <c r="J3" s="1288"/>
      <c r="K3" s="1289"/>
      <c r="L3" s="1288"/>
      <c r="M3" s="1288"/>
    </row>
    <row r="4" spans="1:37" ht="18" customHeight="1">
      <c r="A4" s="287" t="s">
        <v>682</v>
      </c>
      <c r="B4" s="288" t="s">
        <v>683</v>
      </c>
      <c r="C4" s="288" t="s">
        <v>684</v>
      </c>
      <c r="D4" s="288" t="s">
        <v>685</v>
      </c>
      <c r="E4" s="289" t="s">
        <v>686</v>
      </c>
      <c r="F4" s="290"/>
      <c r="G4" s="1290"/>
      <c r="H4" s="287" t="s">
        <v>682</v>
      </c>
      <c r="I4" s="288" t="s">
        <v>683</v>
      </c>
      <c r="J4" s="288" t="s">
        <v>684</v>
      </c>
      <c r="K4" s="288" t="s">
        <v>685</v>
      </c>
      <c r="L4" s="289" t="s">
        <v>686</v>
      </c>
      <c r="M4" s="290"/>
    </row>
    <row r="5" spans="1:37" ht="18" customHeight="1">
      <c r="A5" s="291">
        <v>1</v>
      </c>
      <c r="B5" s="292" t="s">
        <v>687</v>
      </c>
      <c r="C5" s="1005">
        <f ca="1">C6+C10+C12</f>
        <v>60116</v>
      </c>
      <c r="D5" s="1271" t="s">
        <v>688</v>
      </c>
      <c r="E5" s="1006"/>
      <c r="F5" s="1007"/>
      <c r="G5" s="1290"/>
      <c r="H5" s="291">
        <v>1</v>
      </c>
      <c r="I5" s="292" t="s">
        <v>687</v>
      </c>
      <c r="J5" s="1005">
        <f ca="1">J6+J10+J12</f>
        <v>0</v>
      </c>
      <c r="K5" s="1271" t="s">
        <v>688</v>
      </c>
      <c r="L5" s="1006"/>
      <c r="M5" s="1007"/>
    </row>
    <row r="6" spans="1:37" ht="18" customHeight="1">
      <c r="A6" s="1004" t="s">
        <v>398</v>
      </c>
      <c r="B6" s="3371" t="s">
        <v>689</v>
      </c>
      <c r="C6" s="1009">
        <f ca="1">ROUND(F6*F8*F7*(1-F9)/10000,0)</f>
        <v>60041</v>
      </c>
      <c r="D6" s="147" t="s">
        <v>2104</v>
      </c>
      <c r="E6" s="294" t="s">
        <v>691</v>
      </c>
      <c r="F6" s="295">
        <f ca="1">INDIRECT("'数据-取费表'!u"&amp;$G$1)</f>
        <v>20</v>
      </c>
      <c r="G6" s="1290"/>
      <c r="H6" s="1004" t="s">
        <v>398</v>
      </c>
      <c r="I6" s="3371" t="s">
        <v>689</v>
      </c>
      <c r="J6" s="293">
        <f ca="1">ROUND(M6*M8*M7*(1-M9)/10000,0)</f>
        <v>0</v>
      </c>
      <c r="K6" s="147" t="s">
        <v>2103</v>
      </c>
      <c r="L6" s="294" t="s">
        <v>691</v>
      </c>
      <c r="M6" s="295">
        <f ca="1">INDIRECT("'数据-取费表'!z"&amp;$G$1)</f>
        <v>0</v>
      </c>
    </row>
    <row r="7" spans="1:37" ht="18" customHeight="1">
      <c r="A7" s="1008"/>
      <c r="B7" s="3372"/>
      <c r="C7" s="1010"/>
      <c r="D7" s="299"/>
      <c r="E7" s="1011" t="s">
        <v>692</v>
      </c>
      <c r="F7" s="295">
        <f ca="1">IF(INDIRECT("'数据-取费表'!ah"&amp;$G$1)="",INDIRECT("'数据-取费表'!k"&amp;$G$1),INDIRECT("'数据-取费表'!ah"&amp;$G$1))</f>
        <v>91386.26999999999</v>
      </c>
      <c r="G7" s="1290"/>
      <c r="H7" s="296"/>
      <c r="I7" s="3372"/>
      <c r="J7" s="298"/>
      <c r="K7" s="299"/>
      <c r="L7" s="294" t="s">
        <v>692</v>
      </c>
      <c r="M7" s="295">
        <f ca="1">F7</f>
        <v>91386.26999999999</v>
      </c>
    </row>
    <row r="8" spans="1:37" ht="18" customHeight="1">
      <c r="A8" s="296"/>
      <c r="B8" s="3372"/>
      <c r="C8" s="298"/>
      <c r="D8" s="299"/>
      <c r="E8" s="294" t="s">
        <v>693</v>
      </c>
      <c r="F8" s="295">
        <f ca="1">INDIRECT("'数据-取费表'!ai"&amp;$G$1)</f>
        <v>365</v>
      </c>
      <c r="G8" s="1290"/>
      <c r="H8" s="296"/>
      <c r="I8" s="3372"/>
      <c r="J8" s="298"/>
      <c r="K8" s="299"/>
      <c r="L8" s="294" t="s">
        <v>693</v>
      </c>
      <c r="M8" s="295">
        <f ca="1">INDIRECT("'数据-取费表'!ai"&amp;$G$1)</f>
        <v>365</v>
      </c>
    </row>
    <row r="9" spans="1:37" ht="18" customHeight="1">
      <c r="A9" s="296"/>
      <c r="B9" s="3373"/>
      <c r="C9" s="298"/>
      <c r="D9" s="299"/>
      <c r="E9" s="294" t="s">
        <v>694</v>
      </c>
      <c r="F9" s="304">
        <f ca="1">INDIRECT("'数据-取费表'!w"&amp;$G$1)</f>
        <v>0.1</v>
      </c>
      <c r="G9" s="1290"/>
      <c r="H9" s="296"/>
      <c r="I9" s="3373"/>
      <c r="J9" s="298"/>
      <c r="K9" s="299"/>
      <c r="L9" s="305" t="s">
        <v>694</v>
      </c>
      <c r="M9" s="306">
        <f ca="1">INDIRECT("'数据-取费表'!ab"&amp;$G$1)</f>
        <v>0</v>
      </c>
    </row>
    <row r="10" spans="1:37" ht="18" customHeight="1">
      <c r="A10" s="1004" t="s">
        <v>402</v>
      </c>
      <c r="B10" s="1272" t="s">
        <v>695</v>
      </c>
      <c r="C10" s="308">
        <f ca="1">ROUND(IF(F10="押一",C6/12*F11,IF(F10="押二",C6/12*2*F11,IF(F10="押三",C6/12*3*F11,C11*F11))),0)</f>
        <v>75</v>
      </c>
      <c r="D10" s="150" t="s">
        <v>2111</v>
      </c>
      <c r="E10" s="305" t="s">
        <v>696</v>
      </c>
      <c r="F10" s="1051" t="s">
        <v>3460</v>
      </c>
      <c r="G10" s="1290"/>
      <c r="H10" s="1004" t="s">
        <v>402</v>
      </c>
      <c r="I10" s="1272" t="s">
        <v>695</v>
      </c>
      <c r="J10" s="293">
        <f ca="1">ROUND(IF(M10="押一",J6/12*M11,IF(M10="押二",J6/12*2*M11,IF(M10="押三",J6/12*3*M11,J11*M11))),0)</f>
        <v>0</v>
      </c>
      <c r="K10" s="150" t="s">
        <v>2111</v>
      </c>
      <c r="L10" s="305" t="s">
        <v>696</v>
      </c>
      <c r="M10" s="1051"/>
    </row>
    <row r="11" spans="1:37" ht="18" customHeight="1">
      <c r="A11" s="300"/>
      <c r="B11" s="1273" t="s">
        <v>674</v>
      </c>
      <c r="C11" s="903"/>
      <c r="D11" s="1274"/>
      <c r="E11" s="305" t="s">
        <v>697</v>
      </c>
      <c r="F11" s="306">
        <f ca="1">'数据-取费表'!B39</f>
        <v>1.4999999999999999E-2</v>
      </c>
      <c r="G11" s="1290"/>
      <c r="H11" s="1012"/>
      <c r="I11" s="1273" t="s">
        <v>674</v>
      </c>
      <c r="J11" s="903"/>
      <c r="K11" s="646"/>
      <c r="L11" s="305" t="s">
        <v>697</v>
      </c>
      <c r="M11" s="807">
        <f ca="1">'数据-取费表'!B39</f>
        <v>1.4999999999999999E-2</v>
      </c>
    </row>
    <row r="12" spans="1:37" ht="18" customHeight="1" thickBot="1">
      <c r="A12" s="1018" t="s">
        <v>437</v>
      </c>
      <c r="B12" s="1275" t="s">
        <v>698</v>
      </c>
      <c r="C12" s="1019"/>
      <c r="D12" s="1020"/>
      <c r="E12" s="1025"/>
      <c r="F12" s="1021"/>
      <c r="G12" s="1290"/>
      <c r="H12" s="1018" t="s">
        <v>437</v>
      </c>
      <c r="I12" s="1275" t="s">
        <v>698</v>
      </c>
      <c r="J12" s="1019"/>
      <c r="K12" s="1033"/>
      <c r="L12" s="1025"/>
      <c r="M12" s="1034"/>
    </row>
    <row r="13" spans="1:37" ht="18" customHeight="1" thickTop="1">
      <c r="A13" s="1014">
        <v>2</v>
      </c>
      <c r="B13" s="1015" t="s">
        <v>699</v>
      </c>
      <c r="C13" s="302">
        <f ca="1">ROUND(C29*F13,0)</f>
        <v>73518</v>
      </c>
      <c r="D13" s="1016" t="s">
        <v>700</v>
      </c>
      <c r="E13" s="1016" t="s">
        <v>701</v>
      </c>
      <c r="F13" s="1017">
        <f ca="1">INDIRECT("'数据-取费表'!y"&amp;$G$1)</f>
        <v>0.76500000000000001</v>
      </c>
      <c r="G13" s="1290"/>
      <c r="H13" s="1014">
        <v>2</v>
      </c>
      <c r="I13" s="1015" t="s">
        <v>699</v>
      </c>
      <c r="J13" s="1003">
        <f ca="1">ROUND(J14*J15,0)</f>
        <v>0</v>
      </c>
      <c r="K13" s="1022" t="s">
        <v>700</v>
      </c>
      <c r="L13" s="1297"/>
      <c r="M13" s="1298"/>
    </row>
    <row r="14" spans="1:37" ht="18" customHeight="1">
      <c r="A14" s="926" t="s">
        <v>397</v>
      </c>
      <c r="B14" s="294" t="s">
        <v>702</v>
      </c>
      <c r="C14" s="310">
        <f ca="1">INDIRECT("'数据-取费表'!m"&amp;$G$1)+INDIRECT("'数据-取费表'!t"&amp;$G$1)</f>
        <v>56563</v>
      </c>
      <c r="D14" s="1255" t="s">
        <v>703</v>
      </c>
      <c r="E14" s="1253"/>
      <c r="F14" s="311"/>
      <c r="G14" s="1290"/>
      <c r="H14" s="926" t="s">
        <v>398</v>
      </c>
      <c r="I14" s="294" t="s">
        <v>704</v>
      </c>
      <c r="J14" s="21">
        <f ca="1">C29</f>
        <v>96102</v>
      </c>
      <c r="K14" s="12"/>
      <c r="L14" s="757"/>
      <c r="M14" s="758"/>
    </row>
    <row r="15" spans="1:37" s="1302" customFormat="1" ht="18" customHeight="1" thickBot="1">
      <c r="A15" s="926" t="s">
        <v>399</v>
      </c>
      <c r="B15" s="294" t="s">
        <v>705</v>
      </c>
      <c r="C15" s="21">
        <f ca="1">ROUND(C14*F15,0)</f>
        <v>5656</v>
      </c>
      <c r="D15" s="312" t="s">
        <v>706</v>
      </c>
      <c r="E15" s="312" t="s">
        <v>707</v>
      </c>
      <c r="F15" s="313">
        <f>'数据-取费表'!B33</f>
        <v>0.1</v>
      </c>
      <c r="G15" s="1301"/>
      <c r="H15" s="1024" t="s">
        <v>402</v>
      </c>
      <c r="I15" s="1025" t="s">
        <v>701</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675</v>
      </c>
      <c r="B16" s="294" t="s">
        <v>708</v>
      </c>
      <c r="C16" s="21">
        <f ca="1">ROUND(INDIRECT("'数据-取费表'!m"&amp;$G$1)*F16,0)</f>
        <v>0</v>
      </c>
      <c r="D16" s="294" t="s">
        <v>706</v>
      </c>
      <c r="E16" s="294" t="s">
        <v>707</v>
      </c>
      <c r="F16" s="314">
        <f ca="1">IF(INDIRECT("'数据-取费表'!c"&amp;$G$1)="住宅",'数据-取费表'!B34,0)</f>
        <v>0</v>
      </c>
      <c r="G16" s="1290"/>
      <c r="H16" s="1014" t="s">
        <v>393</v>
      </c>
      <c r="I16" s="1015" t="s">
        <v>709</v>
      </c>
      <c r="J16" s="302">
        <f ca="1">ROUND(J17+J22+J23+J24,0)</f>
        <v>508</v>
      </c>
      <c r="K16" s="1022" t="s">
        <v>710</v>
      </c>
      <c r="L16" s="1023"/>
      <c r="M16" s="1007"/>
    </row>
    <row r="17" spans="1:37" s="1302" customFormat="1" ht="18" customHeight="1">
      <c r="A17" s="926" t="s">
        <v>676</v>
      </c>
      <c r="B17" s="294" t="s">
        <v>711</v>
      </c>
      <c r="C17" s="21">
        <f ca="1">ROUND(F17*(F43+INDIRECT("'数据-取费表'!S"&amp;$G$1))/10000,0)</f>
        <v>1885</v>
      </c>
      <c r="D17" s="294" t="s">
        <v>712</v>
      </c>
      <c r="E17" s="294" t="s">
        <v>713</v>
      </c>
      <c r="F17" s="23">
        <f>'数据-取费表'!B35</f>
        <v>200</v>
      </c>
      <c r="G17" s="1301"/>
      <c r="H17" s="926" t="s">
        <v>398</v>
      </c>
      <c r="I17" s="294" t="s">
        <v>714</v>
      </c>
      <c r="J17" s="2138">
        <f ca="1">ROUND(IF(AND(项目基本情况!B11="自然人",项目基本情况!B10="北京市"),J6*M17/(1+'数据-取费表'!C42),J18+J19+J20),2)</f>
        <v>27.89</v>
      </c>
      <c r="K17" s="1255" t="s">
        <v>715</v>
      </c>
      <c r="L17" s="1254" t="s">
        <v>716</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677</v>
      </c>
      <c r="B18" s="294" t="s">
        <v>717</v>
      </c>
      <c r="C18" s="21">
        <f ca="1">ROUND(C14*F18,0)</f>
        <v>1697</v>
      </c>
      <c r="D18" s="294" t="s">
        <v>706</v>
      </c>
      <c r="E18" s="294" t="s">
        <v>707</v>
      </c>
      <c r="F18" s="314">
        <f>'数据-取费表'!B36</f>
        <v>0.03</v>
      </c>
      <c r="G18" s="1301"/>
      <c r="H18" s="926" t="s">
        <v>397</v>
      </c>
      <c r="I18" s="294" t="s">
        <v>718</v>
      </c>
      <c r="J18" s="21">
        <f ca="1">ROUND(J6*M18/(1+'数据-取费表'!C42),2)</f>
        <v>0</v>
      </c>
      <c r="K18" s="1254" t="s">
        <v>719</v>
      </c>
      <c r="L18" s="294" t="s">
        <v>707</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720</v>
      </c>
      <c r="C19" s="21">
        <f ca="1">SUM(C14:C18)</f>
        <v>65801</v>
      </c>
      <c r="D19" s="123" t="s">
        <v>721</v>
      </c>
      <c r="E19" s="1267"/>
      <c r="F19" s="23"/>
      <c r="G19" s="1290"/>
      <c r="H19" s="926" t="s">
        <v>399</v>
      </c>
      <c r="I19" s="294" t="s">
        <v>722</v>
      </c>
      <c r="J19" s="21">
        <f ca="1">IF(K19="按租金收入计税",ROUND(J6*M19/(1+'数据-取费表'!C42),2),ROUND(C29*M19*0.7,2))</f>
        <v>0</v>
      </c>
      <c r="K19" s="1276" t="s">
        <v>3322</v>
      </c>
      <c r="L19" s="294" t="s">
        <v>707</v>
      </c>
      <c r="M19" s="314">
        <f>IF(K19="按租金收入计税",'数据-取费表'!B51,'数据-取费表'!B50)</f>
        <v>0.12</v>
      </c>
    </row>
    <row r="20" spans="1:37" s="1302" customFormat="1" ht="18" customHeight="1">
      <c r="A20" s="926" t="s">
        <v>402</v>
      </c>
      <c r="B20" s="294" t="s">
        <v>723</v>
      </c>
      <c r="C20" s="21">
        <f ca="1">ROUND(C19*F20,0)</f>
        <v>1974</v>
      </c>
      <c r="D20" s="315" t="s">
        <v>724</v>
      </c>
      <c r="E20" s="294" t="s">
        <v>707</v>
      </c>
      <c r="F20" s="314">
        <f>'数据-取费表'!B37</f>
        <v>0.03</v>
      </c>
      <c r="G20" s="1301"/>
      <c r="H20" s="926" t="s">
        <v>675</v>
      </c>
      <c r="I20" s="147" t="s">
        <v>725</v>
      </c>
      <c r="J20" s="22">
        <f ca="1">ROUND(M20*M21/10000,2)</f>
        <v>27.89</v>
      </c>
      <c r="K20" s="316" t="s">
        <v>726</v>
      </c>
      <c r="L20" s="294" t="s">
        <v>727</v>
      </c>
      <c r="M20" s="317">
        <f>'数据-取费表'!B52</f>
        <v>30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728</v>
      </c>
      <c r="C21" s="21" t="s">
        <v>0</v>
      </c>
      <c r="D21" s="315" t="s">
        <v>729</v>
      </c>
      <c r="E21" s="294" t="s">
        <v>730</v>
      </c>
      <c r="F21" s="314">
        <f>'数据-取费表'!B38</f>
        <v>0.03</v>
      </c>
      <c r="G21" s="1301"/>
      <c r="H21" s="318"/>
      <c r="I21" s="303"/>
      <c r="J21" s="26"/>
      <c r="K21" s="319"/>
      <c r="L21" s="294" t="s">
        <v>731</v>
      </c>
      <c r="M21" s="295">
        <f ca="1">INDIRECT("'数据-取费表'!r"&amp;$G$1)</f>
        <v>9296.02</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678</v>
      </c>
      <c r="B22" s="294" t="s">
        <v>732</v>
      </c>
      <c r="C22" s="21"/>
      <c r="D22" s="123" t="str">
        <f>IF(F23&lt;=1,"单利计息。","复利计息。")&amp;"建造成本、管理费用、销售费用产生的利息。"</f>
        <v>复利计息。建造成本、管理费用、销售费用产生的利息。</v>
      </c>
      <c r="E22" s="1267"/>
      <c r="F22" s="23"/>
      <c r="G22" s="1290"/>
      <c r="H22" s="926" t="s">
        <v>402</v>
      </c>
      <c r="I22" s="294" t="s">
        <v>733</v>
      </c>
      <c r="J22" s="21">
        <f ca="1">ROUND(J14*M22,2)</f>
        <v>480.51</v>
      </c>
      <c r="K22" s="1254" t="s">
        <v>734</v>
      </c>
      <c r="L22" s="294" t="s">
        <v>707</v>
      </c>
      <c r="M22" s="320">
        <f ca="1">INDIRECT("'数据-取费表'!Ak"&amp;$G$1)</f>
        <v>5.0000000000000001E-3</v>
      </c>
    </row>
    <row r="23" spans="1:37" s="1302" customFormat="1" ht="18" customHeight="1">
      <c r="A23" s="926" t="s">
        <v>397</v>
      </c>
      <c r="B23" s="294" t="s">
        <v>735</v>
      </c>
      <c r="C23" s="21">
        <f ca="1">IF('数据-取费表'!B22&lt;=1,ROUND(C19*F24*F23/2,0)+ROUND(C20*F24*F23/2,0),ROUND(C19*(POWER((1+F24),F23/2)-1),0)+ROUND(C20*(POWER((1+F24),F23/2)-1),0))</f>
        <v>2551</v>
      </c>
      <c r="D23" s="138" t="str">
        <f>IF(F23&lt;=1,"(建造成本+管理费用)×利率×(建设周期÷2)","(建造成本+管理费用)×((1+利率)^(建设周期÷2)-1)")</f>
        <v>(建造成本+管理费用)×((1+利率)^(建设周期÷2)-1)</v>
      </c>
      <c r="E23" s="294" t="s">
        <v>736</v>
      </c>
      <c r="F23" s="317">
        <f>'数据-取费表'!B20</f>
        <v>2.5</v>
      </c>
      <c r="G23" s="1301"/>
      <c r="H23" s="926" t="s">
        <v>437</v>
      </c>
      <c r="I23" s="294" t="s">
        <v>737</v>
      </c>
      <c r="J23" s="21">
        <f ca="1">ROUND(J13*M23,2)</f>
        <v>0</v>
      </c>
      <c r="K23" s="1254" t="s">
        <v>738</v>
      </c>
      <c r="L23" s="294" t="s">
        <v>707</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741</v>
      </c>
      <c r="C24" s="21">
        <f ca="1">ROUND(IF('数据-取费表'!B22&lt;=1,F21*F24*F23/2,F21*(POWER((1+F24),F23/2)-1)),4)</f>
        <v>1.1000000000000001E-3</v>
      </c>
      <c r="D24" s="138" t="str">
        <f>IF(F23&lt;=1,"销售费用×利率×(建设周期÷2)","销售费用×((1+利率)^(建设周期÷2)-1)")</f>
        <v>销售费用×((1+利率)^(建设周期÷2)-1)</v>
      </c>
      <c r="E24" s="294" t="s">
        <v>742</v>
      </c>
      <c r="F24" s="322">
        <f ca="1">'数据-取费表'!B40</f>
        <v>0.03</v>
      </c>
      <c r="G24" s="1301"/>
      <c r="H24" s="1024" t="s">
        <v>678</v>
      </c>
      <c r="I24" s="1025" t="s">
        <v>723</v>
      </c>
      <c r="J24" s="1026">
        <f ca="1">ROUND(J5*M24,2)</f>
        <v>0</v>
      </c>
      <c r="K24" s="1027" t="s">
        <v>743</v>
      </c>
      <c r="L24" s="1025" t="s">
        <v>707</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744</v>
      </c>
      <c r="B25" s="294" t="s">
        <v>745</v>
      </c>
      <c r="C25" s="21"/>
      <c r="D25" s="123" t="s">
        <v>746</v>
      </c>
      <c r="E25" s="1267"/>
      <c r="F25" s="23"/>
      <c r="G25" s="1290"/>
      <c r="H25" s="1014" t="s">
        <v>394</v>
      </c>
      <c r="I25" s="1029" t="s">
        <v>747</v>
      </c>
      <c r="J25" s="302">
        <f ca="1">J5-J16</f>
        <v>-508</v>
      </c>
      <c r="K25" s="1030" t="s">
        <v>748</v>
      </c>
      <c r="L25" s="1031"/>
      <c r="M25" s="1032"/>
    </row>
    <row r="26" spans="1:37">
      <c r="A26" s="926" t="s">
        <v>397</v>
      </c>
      <c r="B26" s="294" t="s">
        <v>749</v>
      </c>
      <c r="C26" s="21">
        <f ca="1">ROUND((C19+C20)*F26,0)</f>
        <v>16944</v>
      </c>
      <c r="D26" s="315" t="s">
        <v>750</v>
      </c>
      <c r="E26" s="305" t="s">
        <v>751</v>
      </c>
      <c r="F26" s="304">
        <f ca="1">INDIRECT("'数据-取费表'!q"&amp;$G$1)</f>
        <v>0.25</v>
      </c>
      <c r="G26" s="1290"/>
      <c r="H26" s="291" t="s">
        <v>395</v>
      </c>
      <c r="I26" s="292" t="s">
        <v>752</v>
      </c>
      <c r="J26" s="293">
        <f ca="1">IF(J5&lt;&gt;0,ROUND(J25*(1-((1+M28)/(1+M26))^M27)/(M26-M28),0),0)</f>
        <v>0</v>
      </c>
      <c r="K26" s="316" t="s">
        <v>753</v>
      </c>
      <c r="L26" s="294" t="s">
        <v>754</v>
      </c>
      <c r="M26" s="304">
        <f ca="1">INDIRECT("'数据-取费表'!I"&amp;$G$1)</f>
        <v>5.5E-2</v>
      </c>
    </row>
    <row r="27" spans="1:37" ht="18" customHeight="1">
      <c r="A27" s="926" t="s">
        <v>399</v>
      </c>
      <c r="B27" s="294" t="s">
        <v>755</v>
      </c>
      <c r="C27" s="21">
        <f ca="1">ROUND(F21*F26,4)</f>
        <v>7.4999999999999997E-3</v>
      </c>
      <c r="D27" s="315" t="s">
        <v>756</v>
      </c>
      <c r="E27" s="312"/>
      <c r="F27" s="313"/>
      <c r="G27" s="1290"/>
      <c r="H27" s="296"/>
      <c r="I27" s="297"/>
      <c r="J27" s="298"/>
      <c r="K27" s="323" t="s">
        <v>757</v>
      </c>
      <c r="L27" s="294" t="s">
        <v>758</v>
      </c>
      <c r="M27" s="324">
        <f ca="1">INDIRECT("'数据-取费表'!ag"&amp;$G$1)</f>
        <v>0</v>
      </c>
    </row>
    <row r="28" spans="1:37" s="1302" customFormat="1" ht="18" customHeight="1">
      <c r="A28" s="926" t="s">
        <v>400</v>
      </c>
      <c r="B28" s="294" t="s">
        <v>759</v>
      </c>
      <c r="C28" s="21">
        <f>ROUND(F28/(1+'数据-取费表'!C42),4)</f>
        <v>5.33E-2</v>
      </c>
      <c r="D28" s="315" t="s">
        <v>760</v>
      </c>
      <c r="E28" s="294" t="s">
        <v>707</v>
      </c>
      <c r="F28" s="314">
        <f>'数据-取费表'!B41</f>
        <v>5.6000000000000001E-2</v>
      </c>
      <c r="G28" s="1301"/>
      <c r="H28" s="300"/>
      <c r="I28" s="301"/>
      <c r="J28" s="302"/>
      <c r="K28" s="319"/>
      <c r="L28" s="294" t="s">
        <v>761</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762</v>
      </c>
      <c r="C29" s="1026">
        <f ca="1">ROUND((C19+C20+C23+C26)/(1-F21-C24-C27-C28),0)</f>
        <v>96102</v>
      </c>
      <c r="D29" s="1027"/>
      <c r="E29" s="1025"/>
      <c r="F29" s="1028"/>
      <c r="G29" s="1301"/>
      <c r="H29" s="325" t="s">
        <v>396</v>
      </c>
      <c r="I29" s="326" t="s">
        <v>763</v>
      </c>
      <c r="J29" s="327">
        <f ca="1">ROUND(J26/(1+F40)^F41,0)</f>
        <v>0</v>
      </c>
      <c r="K29" s="328" t="s">
        <v>764</v>
      </c>
      <c r="L29" s="329"/>
      <c r="M29" s="330">
        <f ca="1">INDIRECT("'数据-取费表'!k"&amp;$G$1)</f>
        <v>91386.26999999999</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709</v>
      </c>
      <c r="C30" s="302">
        <f ca="1">ROUND(C31+C36+C37+C38,0)</f>
        <v>11848</v>
      </c>
      <c r="D30" s="1022" t="s">
        <v>710</v>
      </c>
      <c r="E30" s="1023"/>
      <c r="F30" s="1007"/>
      <c r="G30" s="1290"/>
      <c r="H30" s="2467"/>
      <c r="I30" s="1303"/>
      <c r="J30" s="1304"/>
      <c r="K30" s="121"/>
      <c r="L30" s="2468"/>
      <c r="M30" s="2469"/>
    </row>
    <row r="31" spans="1:37" ht="18" customHeight="1">
      <c r="A31" s="926" t="s">
        <v>398</v>
      </c>
      <c r="B31" s="294" t="s">
        <v>714</v>
      </c>
      <c r="C31" s="2138">
        <f ca="1">ROUND(IF(AND(项目基本情况!B11="自然人",项目基本情况!B10="北京市"),C6*F31/(1+'数据-取费表'!C42),C32+C33+C34),2)</f>
        <v>10091.91</v>
      </c>
      <c r="D31" s="1255" t="s">
        <v>715</v>
      </c>
      <c r="E31" s="1254" t="s">
        <v>765</v>
      </c>
      <c r="F31" s="2137" t="str">
        <f>IF(项目基本情况!B11="企业","——",IF(M47="住宅",IF(F6*F7*F8/12/(1+'数据-取费表'!F30)&gt;100000,4%,2.5%),IF(F6*F7*F8/12/(1+'数据-取费表'!F30)&gt;100000,12%,7%)))</f>
        <v>——</v>
      </c>
      <c r="G31" s="1290"/>
      <c r="H31" s="2566" t="s">
        <v>2292</v>
      </c>
      <c r="I31" s="1303"/>
      <c r="J31" s="1304"/>
      <c r="K31" s="121"/>
      <c r="L31" s="2468"/>
      <c r="M31" s="2469"/>
    </row>
    <row r="32" spans="1:37" ht="18" customHeight="1">
      <c r="A32" s="926" t="s">
        <v>397</v>
      </c>
      <c r="B32" s="294" t="s">
        <v>718</v>
      </c>
      <c r="C32" s="21">
        <f ca="1">IF(项目基本情况!B11="自然人","——",ROUND(C6*F32/(1+'数据-取费表'!C42),2))</f>
        <v>3202.19</v>
      </c>
      <c r="D32" s="1254" t="s">
        <v>719</v>
      </c>
      <c r="E32" s="294" t="s">
        <v>707</v>
      </c>
      <c r="F32" s="322">
        <f>'数据-取费表'!B41</f>
        <v>5.6000000000000001E-2</v>
      </c>
      <c r="G32" s="1290"/>
      <c r="H32" s="2467"/>
      <c r="I32" s="1303"/>
      <c r="J32" s="1304"/>
      <c r="K32" s="121"/>
      <c r="L32" s="2468"/>
      <c r="M32" s="2469"/>
    </row>
    <row r="33" spans="1:18" ht="18" customHeight="1">
      <c r="A33" s="926" t="s">
        <v>399</v>
      </c>
      <c r="B33" s="294" t="s">
        <v>722</v>
      </c>
      <c r="C33" s="21">
        <f ca="1">IF(项目基本情况!B11="自然人","——",IF(D33="按租金收入计税",ROUND(C6*F33/(1+'数据-取费表'!C42),2),IF(D33="按房产原值计税",ROUND(C29*F33*0.7,2),INDIRECT("'数据-取费表'!Aj"&amp;$G$1))))</f>
        <v>6861.83</v>
      </c>
      <c r="D33" s="1276" t="s">
        <v>3322</v>
      </c>
      <c r="E33" s="294" t="s">
        <v>707</v>
      </c>
      <c r="F33" s="314">
        <f>IF(D33="按票据","——",IF(D33="按租金收入计税",'数据-取费表'!B51,'数据-取费表'!B50))</f>
        <v>0.12</v>
      </c>
      <c r="G33" s="1290"/>
      <c r="H33" s="2470"/>
      <c r="I33" s="1303"/>
      <c r="J33" s="1304"/>
      <c r="K33" s="2471"/>
      <c r="L33" s="2470"/>
      <c r="M33" s="2470"/>
    </row>
    <row r="34" spans="1:18" ht="18" customHeight="1">
      <c r="A34" s="1004" t="s">
        <v>675</v>
      </c>
      <c r="B34" s="147" t="s">
        <v>725</v>
      </c>
      <c r="C34" s="22">
        <f ca="1">IF(项目基本情况!B11="自然人","——",ROUND(F34*F35/10000,2))</f>
        <v>27.89</v>
      </c>
      <c r="D34" s="316" t="s">
        <v>726</v>
      </c>
      <c r="E34" s="294" t="s">
        <v>727</v>
      </c>
      <c r="F34" s="317">
        <f>'数据-取费表'!B52</f>
        <v>30</v>
      </c>
      <c r="G34" s="1290"/>
      <c r="H34" s="2467"/>
      <c r="I34" s="1303"/>
      <c r="J34" s="1304"/>
      <c r="K34" s="2472"/>
      <c r="L34" s="2473"/>
      <c r="M34" s="2473"/>
    </row>
    <row r="35" spans="1:18" ht="18" customHeight="1">
      <c r="A35" s="1038"/>
      <c r="B35" s="1036"/>
      <c r="C35" s="26"/>
      <c r="D35" s="319"/>
      <c r="E35" s="294" t="s">
        <v>731</v>
      </c>
      <c r="F35" s="295">
        <f ca="1">INDIRECT("'数据-取费表'!r"&amp;$G$1)</f>
        <v>9296.02</v>
      </c>
      <c r="G35" s="1290"/>
      <c r="H35" s="2467"/>
      <c r="I35" s="1303"/>
      <c r="J35" s="1304"/>
      <c r="K35" s="2471"/>
      <c r="L35" s="2470"/>
      <c r="M35" s="2470"/>
    </row>
    <row r="36" spans="1:18" ht="18" customHeight="1">
      <c r="A36" s="1037" t="s">
        <v>402</v>
      </c>
      <c r="B36" s="294" t="s">
        <v>733</v>
      </c>
      <c r="C36" s="21">
        <f ca="1">ROUND(C29*F36,2)</f>
        <v>480.51</v>
      </c>
      <c r="D36" s="1254" t="s">
        <v>766</v>
      </c>
      <c r="E36" s="294" t="s">
        <v>707</v>
      </c>
      <c r="F36" s="320">
        <f ca="1">INDIRECT("'数据-取费表'!Ak"&amp;$G$1)</f>
        <v>5.0000000000000001E-3</v>
      </c>
      <c r="G36" s="1290"/>
      <c r="H36" s="2470"/>
      <c r="I36" s="1303"/>
      <c r="J36" s="1304"/>
      <c r="K36" s="2327"/>
      <c r="L36" s="2470"/>
      <c r="M36" s="2470"/>
    </row>
    <row r="37" spans="1:18" ht="18" customHeight="1">
      <c r="A37" s="926" t="s">
        <v>437</v>
      </c>
      <c r="B37" s="294" t="s">
        <v>737</v>
      </c>
      <c r="C37" s="21">
        <f ca="1">ROUND(C13*F37,2)</f>
        <v>73.52</v>
      </c>
      <c r="D37" s="1254" t="s">
        <v>738</v>
      </c>
      <c r="E37" s="294" t="s">
        <v>707</v>
      </c>
      <c r="F37" s="321">
        <f ca="1">INDIRECT("'数据-取费表'!Al"&amp;$G$1)</f>
        <v>1E-3</v>
      </c>
      <c r="G37" s="1290"/>
      <c r="H37" s="2470"/>
      <c r="I37" s="1303"/>
      <c r="J37" s="1304"/>
      <c r="K37" s="2327"/>
      <c r="L37" s="2470"/>
      <c r="M37" s="2470"/>
    </row>
    <row r="38" spans="1:18" ht="18" customHeight="1" thickBot="1">
      <c r="A38" s="1024" t="s">
        <v>678</v>
      </c>
      <c r="B38" s="1025" t="s">
        <v>723</v>
      </c>
      <c r="C38" s="1026">
        <f ca="1">ROUND(C5*F38,2)</f>
        <v>1202.32</v>
      </c>
      <c r="D38" s="1027" t="s">
        <v>743</v>
      </c>
      <c r="E38" s="1025" t="s">
        <v>707</v>
      </c>
      <c r="F38" s="1021">
        <f ca="1">INDIRECT("'数据-取费表'!Am"&amp;$G$1)</f>
        <v>0.02</v>
      </c>
      <c r="G38" s="1290"/>
      <c r="H38" s="2470"/>
      <c r="I38" s="1303"/>
      <c r="J38" s="1304"/>
      <c r="K38" s="2468"/>
      <c r="L38" s="2470"/>
      <c r="M38" s="2470"/>
    </row>
    <row r="39" spans="1:18" ht="24.6" customHeight="1" thickTop="1">
      <c r="A39" s="1014" t="s">
        <v>394</v>
      </c>
      <c r="B39" s="1029" t="s">
        <v>747</v>
      </c>
      <c r="C39" s="302">
        <f ca="1">C5-C30</f>
        <v>48268</v>
      </c>
      <c r="D39" s="1030" t="s">
        <v>748</v>
      </c>
      <c r="E39" s="1031"/>
      <c r="F39" s="1032"/>
      <c r="G39" s="1290"/>
      <c r="H39" s="2470"/>
      <c r="I39" s="1303"/>
      <c r="J39" s="1304"/>
      <c r="K39" s="2468"/>
      <c r="L39" s="2470"/>
      <c r="M39" s="2470"/>
    </row>
    <row r="40" spans="1:18" ht="18" customHeight="1">
      <c r="A40" s="291" t="s">
        <v>395</v>
      </c>
      <c r="B40" s="292" t="s">
        <v>769</v>
      </c>
      <c r="C40" s="293">
        <f ca="1">ROUND(C39*(1-((1+F42)/(1+F40))^F41)/(F40-F42),0)</f>
        <v>865375</v>
      </c>
      <c r="D40" s="316" t="s">
        <v>753</v>
      </c>
      <c r="E40" s="294" t="s">
        <v>754</v>
      </c>
      <c r="F40" s="304">
        <f ca="1">INDIRECT("'数据-取费表'!I"&amp;$G$1)</f>
        <v>5.5E-2</v>
      </c>
      <c r="G40" s="1290"/>
      <c r="H40" s="1364"/>
      <c r="I40" s="1303"/>
      <c r="J40" s="1304"/>
      <c r="K40" s="2468"/>
      <c r="L40" s="1364"/>
      <c r="M40" s="1364"/>
    </row>
    <row r="41" spans="1:18" ht="18" customHeight="1">
      <c r="A41" s="296"/>
      <c r="B41" s="297"/>
      <c r="C41" s="298"/>
      <c r="D41" s="323" t="s">
        <v>770</v>
      </c>
      <c r="E41" s="294" t="s">
        <v>758</v>
      </c>
      <c r="F41" s="324">
        <f ca="1">IF(INDIRECT("'数据-取费表'!af"&amp;$G$1)=0,INDIRECT("'数据-取费表'!ae"&amp;$G$1),INDIRECT("'数据-取费表'!af"&amp;$G$1))</f>
        <v>29.27</v>
      </c>
      <c r="G41" s="1290"/>
      <c r="H41" s="121"/>
      <c r="I41" s="1303"/>
      <c r="J41" s="1304"/>
      <c r="K41" s="2327"/>
      <c r="L41" s="121"/>
      <c r="M41" s="121"/>
    </row>
    <row r="42" spans="1:18" ht="18" customHeight="1">
      <c r="A42" s="300"/>
      <c r="B42" s="301"/>
      <c r="C42" s="302"/>
      <c r="D42" s="319"/>
      <c r="E42" s="294" t="s">
        <v>761</v>
      </c>
      <c r="F42" s="304">
        <f ca="1">INDIRECT("'数据-取费表'!v"&amp;$G$1)</f>
        <v>0.02</v>
      </c>
      <c r="G42" s="1290"/>
      <c r="H42" s="121"/>
      <c r="I42" s="1303"/>
      <c r="J42" s="1304"/>
      <c r="K42" s="2327"/>
      <c r="L42" s="121"/>
      <c r="M42" s="121"/>
    </row>
    <row r="43" spans="1:18" ht="18" customHeight="1" thickBot="1">
      <c r="A43" s="325" t="s">
        <v>396</v>
      </c>
      <c r="B43" s="326" t="s">
        <v>771</v>
      </c>
      <c r="C43" s="327">
        <f ca="1">ROUND(C40*10000/F43,0)</f>
        <v>94694</v>
      </c>
      <c r="D43" s="328" t="s">
        <v>772</v>
      </c>
      <c r="E43" s="329" t="s">
        <v>773</v>
      </c>
      <c r="F43" s="330">
        <f ca="1">INDIRECT("'数据-取费表'!k"&amp;$G$1)</f>
        <v>91386.26999999999</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803</v>
      </c>
      <c r="P45" s="1364"/>
      <c r="Q45" s="1364"/>
      <c r="R45" s="1364"/>
    </row>
    <row r="46" spans="1:18" s="1290" customFormat="1" ht="13.5" thickBot="1">
      <c r="A46" s="1309" t="s">
        <v>804</v>
      </c>
      <c r="C46" s="1310">
        <f ca="1">C68-C40</f>
        <v>-873749</v>
      </c>
      <c r="D46" s="1311" t="str">
        <f>C2</f>
        <v>万元</v>
      </c>
      <c r="E46" s="1305"/>
      <c r="F46" s="1305"/>
      <c r="I46" s="1312" t="s">
        <v>805</v>
      </c>
      <c r="J46" s="1313"/>
      <c r="K46" s="1314"/>
      <c r="L46" s="1315">
        <f ca="1">IF(M47="住宅",0,IF(L48&gt;J51,L60,J60))</f>
        <v>4629</v>
      </c>
      <c r="O46" s="1316" t="s">
        <v>806</v>
      </c>
      <c r="P46" s="1317" t="s">
        <v>807</v>
      </c>
      <c r="Q46" s="1318" t="s">
        <v>808</v>
      </c>
      <c r="R46" s="1318" t="s">
        <v>809</v>
      </c>
    </row>
    <row r="47" spans="1:18" s="1290" customFormat="1" ht="13.5" thickBot="1">
      <c r="A47" s="890" t="s">
        <v>682</v>
      </c>
      <c r="B47" s="922" t="s">
        <v>683</v>
      </c>
      <c r="C47" s="1052" t="s">
        <v>684</v>
      </c>
      <c r="D47" s="922" t="s">
        <v>685</v>
      </c>
      <c r="E47" s="993" t="s">
        <v>686</v>
      </c>
      <c r="F47" s="994"/>
      <c r="G47" s="681"/>
      <c r="I47" s="1319" t="s">
        <v>810</v>
      </c>
      <c r="J47" s="1320" t="s">
        <v>3461</v>
      </c>
      <c r="K47" s="1321" t="s">
        <v>811</v>
      </c>
      <c r="L47" s="1322">
        <f ca="1">INDIRECT("'数据-取费表'!d"&amp;$G$1)</f>
        <v>50</v>
      </c>
      <c r="M47" s="1286" t="str">
        <f>IF(ISNUMBER(FIND("住宅",C1)),"住宅","非住宅")</f>
        <v>非住宅</v>
      </c>
      <c r="O47" s="1323" t="s">
        <v>403</v>
      </c>
      <c r="P47" s="1324" t="s">
        <v>812</v>
      </c>
      <c r="Q47" s="1325">
        <f ca="1">C40+J29</f>
        <v>865375</v>
      </c>
      <c r="R47" s="1325" t="s">
        <v>813</v>
      </c>
    </row>
    <row r="48" spans="1:18" s="1290" customFormat="1" ht="28.5" thickBot="1">
      <c r="A48" s="1045" t="s">
        <v>438</v>
      </c>
      <c r="B48" s="292" t="s">
        <v>687</v>
      </c>
      <c r="C48" s="1266">
        <f ca="1">C49+C53+C55</f>
        <v>0</v>
      </c>
      <c r="D48" s="1047"/>
      <c r="E48" s="1048"/>
      <c r="F48" s="906"/>
      <c r="G48" s="681"/>
      <c r="H48" s="682"/>
      <c r="I48" s="1326" t="s">
        <v>814</v>
      </c>
      <c r="J48" s="1327" t="s">
        <v>3462</v>
      </c>
      <c r="K48" s="1328" t="s">
        <v>815</v>
      </c>
      <c r="L48" s="1329">
        <f ca="1">INDIRECT("'数据-取费表'!f"&amp;$G$1)</f>
        <v>29.27</v>
      </c>
      <c r="O48" s="1323" t="s">
        <v>404</v>
      </c>
      <c r="P48" s="1324" t="s">
        <v>816</v>
      </c>
      <c r="Q48" s="1325">
        <f ca="1">J60</f>
        <v>4629</v>
      </c>
      <c r="R48" s="1325" t="s">
        <v>817</v>
      </c>
    </row>
    <row r="49" spans="1:18" s="1290" customFormat="1" ht="13.5" thickBot="1">
      <c r="A49" s="919" t="s">
        <v>439</v>
      </c>
      <c r="B49" s="1277" t="s">
        <v>774</v>
      </c>
      <c r="C49" s="1049">
        <f ca="1">ROUND(F49*F51*F50*(1-F52)/10000,0)</f>
        <v>0</v>
      </c>
      <c r="D49" s="990" t="s">
        <v>2103</v>
      </c>
      <c r="E49" s="1278" t="s">
        <v>775</v>
      </c>
      <c r="F49" s="995"/>
      <c r="H49" s="682"/>
      <c r="I49" s="1326" t="s">
        <v>818</v>
      </c>
      <c r="J49" s="1330">
        <v>2009</v>
      </c>
      <c r="K49" s="1328" t="s">
        <v>819</v>
      </c>
      <c r="L49" s="1331"/>
      <c r="O49" s="1332" t="s">
        <v>405</v>
      </c>
      <c r="P49" s="1324" t="s">
        <v>820</v>
      </c>
      <c r="Q49" s="1325">
        <f ca="1">C29</f>
        <v>96102</v>
      </c>
      <c r="R49" s="1325" t="s">
        <v>813</v>
      </c>
    </row>
    <row r="50" spans="1:18" s="1290" customFormat="1" ht="13.5" thickBot="1">
      <c r="A50" s="920"/>
      <c r="B50" s="923"/>
      <c r="C50" s="1053"/>
      <c r="D50" s="897"/>
      <c r="E50" s="991" t="s">
        <v>692</v>
      </c>
      <c r="F50" s="992">
        <f ca="1">F7</f>
        <v>91386.26999999999</v>
      </c>
      <c r="H50" s="682"/>
      <c r="I50" s="1326" t="s">
        <v>821</v>
      </c>
      <c r="J50" s="1333">
        <f>SUMPRODUCT((I63:I65=J47)*(J62:L62=J48)*(J63:L65))</f>
        <v>60</v>
      </c>
      <c r="K50" s="1328" t="s">
        <v>822</v>
      </c>
      <c r="L50" s="1331"/>
      <c r="M50" s="1334"/>
      <c r="O50" s="1332" t="s">
        <v>406</v>
      </c>
      <c r="P50" s="1324" t="s">
        <v>823</v>
      </c>
      <c r="Q50" s="1335">
        <f ca="1">J58</f>
        <v>0.4</v>
      </c>
      <c r="R50" s="1325"/>
    </row>
    <row r="51" spans="1:18" s="1290" customFormat="1" ht="13.5" thickBot="1">
      <c r="A51" s="921"/>
      <c r="B51" s="923"/>
      <c r="C51" s="924"/>
      <c r="D51" s="897"/>
      <c r="E51" s="925" t="s">
        <v>693</v>
      </c>
      <c r="F51" s="295">
        <f ca="1">F8</f>
        <v>365</v>
      </c>
      <c r="I51" s="1336" t="s">
        <v>824</v>
      </c>
      <c r="J51" s="1329">
        <f>IF(J49="",J50,J49+J50-YEAR('数据-取费表'!B2))</f>
        <v>44</v>
      </c>
      <c r="K51" s="1337" t="s">
        <v>825</v>
      </c>
      <c r="L51" s="1338">
        <f ca="1">ROUND(-PV(INDIRECT("'数据-取费表'!h"&amp;$G$1),J51,(C39-C13*C76),0),0)</f>
        <v>761650</v>
      </c>
      <c r="M51" s="1339"/>
      <c r="O51" s="1332" t="s">
        <v>407</v>
      </c>
      <c r="P51" s="1324" t="s">
        <v>826</v>
      </c>
      <c r="Q51" s="1335">
        <f>J52</f>
        <v>7.4999999999999997E-2</v>
      </c>
      <c r="R51" s="1325"/>
    </row>
    <row r="52" spans="1:18" s="1290" customFormat="1" ht="13.5" thickBot="1">
      <c r="A52" s="921"/>
      <c r="B52" s="923"/>
      <c r="C52" s="924"/>
      <c r="D52" s="897"/>
      <c r="E52" s="925" t="s">
        <v>694</v>
      </c>
      <c r="F52" s="989"/>
      <c r="I52" s="1340" t="s">
        <v>827</v>
      </c>
      <c r="J52" s="1341">
        <v>7.4999999999999997E-2</v>
      </c>
      <c r="K52" s="1340" t="s">
        <v>828</v>
      </c>
      <c r="L52" s="1341"/>
      <c r="O52" s="1332" t="s">
        <v>408</v>
      </c>
      <c r="P52" s="1324" t="s">
        <v>829</v>
      </c>
      <c r="Q52" s="1325">
        <f ca="1">J53</f>
        <v>29.27</v>
      </c>
      <c r="R52" s="1325" t="s">
        <v>830</v>
      </c>
    </row>
    <row r="53" spans="1:18" s="1290" customFormat="1" ht="24.75" thickBot="1">
      <c r="A53" s="1077" t="s">
        <v>440</v>
      </c>
      <c r="B53" s="1279" t="s">
        <v>695</v>
      </c>
      <c r="C53" s="308">
        <f ca="1">ROUND(IF(F53="押一",C49/12*F11,IF(F53="押二",C49/12*2*F11,IF(F53="押三",C49/12*3*F11,C54*F11))),0)</f>
        <v>0</v>
      </c>
      <c r="D53" s="150" t="s">
        <v>2111</v>
      </c>
      <c r="E53" s="305" t="s">
        <v>696</v>
      </c>
      <c r="F53" s="1051"/>
      <c r="I53" s="1342" t="s">
        <v>831</v>
      </c>
      <c r="J53" s="2004">
        <f ca="1">IF(M47="住宅",IF(D1="——",MAX(J51,L48),MAX(J51,L48-'数据-取费表'!B24)),IF(D1="——",MIN(J51,L48),MIN(J51,L48-'数据-取费表'!B24)))</f>
        <v>29.27</v>
      </c>
      <c r="K53" s="3374" t="s">
        <v>832</v>
      </c>
      <c r="L53" s="3375"/>
      <c r="O53" s="1323" t="s">
        <v>409</v>
      </c>
      <c r="P53" s="1324" t="s">
        <v>833</v>
      </c>
      <c r="Q53" s="1325">
        <f ca="1">Q47+Q48</f>
        <v>870004</v>
      </c>
      <c r="R53" s="1325" t="s">
        <v>410</v>
      </c>
    </row>
    <row r="54" spans="1:18" s="1290" customFormat="1" ht="13.5" thickBot="1">
      <c r="A54" s="1078"/>
      <c r="B54" s="1273" t="s">
        <v>674</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834</v>
      </c>
      <c r="P54" s="1287"/>
      <c r="Q54" s="1287"/>
      <c r="R54" s="1287"/>
    </row>
    <row r="55" spans="1:18" s="1290" customFormat="1" ht="13.5" thickBot="1">
      <c r="A55" s="1018" t="s">
        <v>437</v>
      </c>
      <c r="B55" s="1275" t="s">
        <v>698</v>
      </c>
      <c r="C55" s="1019"/>
      <c r="D55" s="150"/>
      <c r="E55" s="1280"/>
      <c r="F55" s="1343"/>
      <c r="I55" s="1346" t="s">
        <v>835</v>
      </c>
      <c r="J55" s="1347">
        <f ca="1">ROUND(IF(J47="钢混",J57/J50,1-(1-2%)*(J50-J57)/J50),3)</f>
        <v>0.246</v>
      </c>
      <c r="K55" s="1348" t="s">
        <v>836</v>
      </c>
      <c r="L55" s="1349"/>
      <c r="O55" s="1316" t="s">
        <v>806</v>
      </c>
      <c r="P55" s="1317" t="s">
        <v>807</v>
      </c>
      <c r="Q55" s="1318" t="s">
        <v>808</v>
      </c>
      <c r="R55" s="1318" t="s">
        <v>809</v>
      </c>
    </row>
    <row r="56" spans="1:18" s="1290" customFormat="1" ht="25.5" thickTop="1" thickBot="1">
      <c r="A56" s="901">
        <v>2</v>
      </c>
      <c r="B56" s="902" t="s">
        <v>699</v>
      </c>
      <c r="C56" s="224">
        <f ca="1">C13</f>
        <v>73518</v>
      </c>
      <c r="D56" s="1350"/>
      <c r="E56" s="1351"/>
      <c r="F56" s="1343"/>
      <c r="I56" s="1352" t="s">
        <v>837</v>
      </c>
      <c r="J56" s="1353" t="s">
        <v>3463</v>
      </c>
      <c r="K56" s="1326" t="s">
        <v>838</v>
      </c>
      <c r="L56" s="1329" t="str">
        <f ca="1">IF(L48&lt;J51,"——",L48-J53)</f>
        <v>——</v>
      </c>
      <c r="O56" s="1323" t="s">
        <v>403</v>
      </c>
      <c r="P56" s="1324" t="s">
        <v>812</v>
      </c>
      <c r="Q56" s="1325">
        <f ca="1">C40+J29</f>
        <v>865375</v>
      </c>
      <c r="R56" s="1325" t="s">
        <v>813</v>
      </c>
    </row>
    <row r="57" spans="1:18" s="1290" customFormat="1" ht="24.75" thickBot="1">
      <c r="A57" s="1354"/>
      <c r="B57" s="894" t="s">
        <v>762</v>
      </c>
      <c r="C57" s="230">
        <f ca="1">C29</f>
        <v>96102</v>
      </c>
      <c r="D57" s="1355"/>
      <c r="E57" s="1356"/>
      <c r="F57" s="1357"/>
      <c r="I57" s="1358" t="s">
        <v>839</v>
      </c>
      <c r="J57" s="1359">
        <f ca="1">IF(OR(M47="住宅",J51&lt;L48,J56="是"),"——",J51-L48)</f>
        <v>14.73</v>
      </c>
      <c r="K57" s="1326" t="s">
        <v>840</v>
      </c>
      <c r="L57" s="1329" t="str">
        <f ca="1">IF(L48&lt;J51,"——",IF(L55="比较法",L49,IF(L55="基准地价",L50,L51)))</f>
        <v>——</v>
      </c>
      <c r="O57" s="1323" t="s">
        <v>404</v>
      </c>
      <c r="P57" s="1324" t="s">
        <v>841</v>
      </c>
      <c r="Q57" s="1325">
        <f ca="1">L60</f>
        <v>0</v>
      </c>
      <c r="R57" s="1325" t="s">
        <v>842</v>
      </c>
    </row>
    <row r="58" spans="1:18" s="1290" customFormat="1" ht="24.75" thickBot="1">
      <c r="A58" s="307" t="s">
        <v>393</v>
      </c>
      <c r="B58" s="902" t="s">
        <v>709</v>
      </c>
      <c r="C58" s="308">
        <f ca="1">ROUND(C59+C64+C65+C66,0)</f>
        <v>582</v>
      </c>
      <c r="D58" s="904" t="s">
        <v>710</v>
      </c>
      <c r="E58" s="905"/>
      <c r="F58" s="906"/>
      <c r="I58" s="1358" t="s">
        <v>843</v>
      </c>
      <c r="J58" s="1360">
        <f ca="1">IF(J55&lt;0.4,0.4,J55)</f>
        <v>0.4</v>
      </c>
      <c r="K58" s="1337" t="s">
        <v>844</v>
      </c>
      <c r="L58" s="1329" t="e">
        <f ca="1">ROUND(POWER(1+L52,L47-L48)*(POWER(1+L52,L48)-1)/(POWER(1+L52,L47)-1),4)</f>
        <v>#DIV/0!</v>
      </c>
      <c r="O58" s="1332" t="s">
        <v>405</v>
      </c>
      <c r="P58" s="1324" t="s">
        <v>845</v>
      </c>
      <c r="Q58" s="1325">
        <f>IF(L55="比较法",L49,IF(L55="基准地价",L50,0))</f>
        <v>0</v>
      </c>
      <c r="R58" s="1325" t="s">
        <v>813</v>
      </c>
    </row>
    <row r="59" spans="1:18" s="1290" customFormat="1" ht="24.75" thickBot="1">
      <c r="A59" s="926" t="s">
        <v>398</v>
      </c>
      <c r="B59" s="894" t="s">
        <v>714</v>
      </c>
      <c r="C59" s="2138">
        <f ca="1">ROUND(IF(AND(项目基本情况!B11="自然人",项目基本情况!B10="北京市"),C49*F59/(1+'数据-取费表'!C42),C60+C61+C62),0)</f>
        <v>28</v>
      </c>
      <c r="D59" s="907" t="s">
        <v>715</v>
      </c>
      <c r="E59" s="908" t="s">
        <v>716</v>
      </c>
      <c r="F59" s="2137" t="str">
        <f>IF(项目基本情况!B11="企业","——",IF('数据-取费表'!B10="住宅",IF(F49*F50*F51/12/(1+'数据-取费表'!F30)&gt;100000,4%,2.5%),IF(F49*F50*F51/12/(1+'数据-取费表'!F30)&gt;100000,12%,7%)))</f>
        <v>——</v>
      </c>
      <c r="I59" s="1358" t="s">
        <v>846</v>
      </c>
      <c r="J59" s="1359">
        <f ca="1">IF(OR(M47="住宅",J51&lt;L48,J56="是"),"——",ROUND(C29*J58,0))</f>
        <v>38441</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847</v>
      </c>
      <c r="Q59" s="1335">
        <f>L52</f>
        <v>0</v>
      </c>
      <c r="R59" s="1325"/>
    </row>
    <row r="60" spans="1:18" s="1290" customFormat="1" ht="16.5" thickBot="1">
      <c r="A60" s="926" t="s">
        <v>397</v>
      </c>
      <c r="B60" s="894" t="s">
        <v>718</v>
      </c>
      <c r="C60" s="21">
        <f ca="1">IF(项目基本情况!B11="自然人","——",ROUND(C48*F60/(1+'数据-取费表'!C42),2))</f>
        <v>0</v>
      </c>
      <c r="D60" s="908" t="s">
        <v>719</v>
      </c>
      <c r="E60" s="894" t="s">
        <v>707</v>
      </c>
      <c r="F60" s="322">
        <f t="shared" ref="F60:F66" si="0">F32</f>
        <v>5.6000000000000001E-2</v>
      </c>
      <c r="I60" s="1361" t="s">
        <v>848</v>
      </c>
      <c r="J60" s="1362">
        <f ca="1">IF(OR(M47="住宅",J51&lt;L48,J56="是"),"0",ROUND(J59/(1+J52)^J53,0))</f>
        <v>4629</v>
      </c>
      <c r="K60" s="1363" t="s">
        <v>849</v>
      </c>
      <c r="L60" s="1362">
        <f ca="1">IF(OR(M47="住宅",L48&lt;J51),0,ROUND(L57*(L58/L59-1),0))</f>
        <v>0</v>
      </c>
      <c r="O60" s="1332" t="s">
        <v>407</v>
      </c>
      <c r="P60" s="1324" t="s">
        <v>850</v>
      </c>
      <c r="Q60" s="1325" t="e">
        <f ca="1">L58</f>
        <v>#DIV/0!</v>
      </c>
      <c r="R60" s="1325" t="s">
        <v>851</v>
      </c>
    </row>
    <row r="61" spans="1:18" s="1290" customFormat="1" ht="13.5" thickBot="1">
      <c r="A61" s="926" t="s">
        <v>776</v>
      </c>
      <c r="B61" s="894" t="s">
        <v>722</v>
      </c>
      <c r="C61" s="21">
        <f ca="1">IF(项目基本情况!B11="自然人","——",IF(D61="按租金收入计税",ROUND(C49*F61/(1+'数据-取费表'!C42),2),IF(D61="按房产原值计税",ROUND(C57*F61*0.7,2),INDIRECT("'数据-取费表'!Aj"&amp;$G$1))))</f>
        <v>0</v>
      </c>
      <c r="D61" s="1276" t="s">
        <v>3322</v>
      </c>
      <c r="E61" s="894" t="s">
        <v>707</v>
      </c>
      <c r="F61" s="314">
        <f t="shared" si="0"/>
        <v>0.12</v>
      </c>
      <c r="I61" s="1364"/>
      <c r="J61" s="1364"/>
      <c r="K61" s="1364"/>
      <c r="L61" s="1364"/>
      <c r="O61" s="1332" t="s">
        <v>408</v>
      </c>
      <c r="P61" s="1324" t="str">
        <f>K59</f>
        <v>建筑物剩余耐用年限下的土地年期修正系数Kn</v>
      </c>
      <c r="Q61" s="1325" t="e">
        <f ca="1">L59</f>
        <v>#DIV/0!</v>
      </c>
      <c r="R61" s="1325" t="s">
        <v>852</v>
      </c>
    </row>
    <row r="62" spans="1:18" s="1290" customFormat="1" ht="13.5" thickBot="1">
      <c r="A62" s="926" t="s">
        <v>779</v>
      </c>
      <c r="B62" s="893" t="s">
        <v>725</v>
      </c>
      <c r="C62" s="22">
        <f ca="1">IF(项目基本情况!B11="自然人","——",ROUND(F62*F63/10000,2))</f>
        <v>27.89</v>
      </c>
      <c r="D62" s="909" t="s">
        <v>726</v>
      </c>
      <c r="E62" s="894" t="s">
        <v>727</v>
      </c>
      <c r="F62" s="317">
        <f t="shared" si="0"/>
        <v>30</v>
      </c>
      <c r="I62" s="1365" t="s">
        <v>853</v>
      </c>
      <c r="J62" s="610" t="s">
        <v>854</v>
      </c>
      <c r="K62" s="610" t="s">
        <v>855</v>
      </c>
      <c r="L62" s="610" t="s">
        <v>856</v>
      </c>
      <c r="M62" s="1366" t="s">
        <v>857</v>
      </c>
      <c r="O62" s="1323" t="s">
        <v>409</v>
      </c>
      <c r="P62" s="1324" t="s">
        <v>833</v>
      </c>
      <c r="Q62" s="1325">
        <f ca="1">Q56+Q57</f>
        <v>865375</v>
      </c>
      <c r="R62" s="1325" t="s">
        <v>410</v>
      </c>
    </row>
    <row r="63" spans="1:18" s="1290" customFormat="1" ht="13.5" thickBot="1">
      <c r="A63" s="318"/>
      <c r="B63" s="900"/>
      <c r="C63" s="26"/>
      <c r="D63" s="910"/>
      <c r="E63" s="894" t="s">
        <v>731</v>
      </c>
      <c r="F63" s="295">
        <f t="shared" ca="1" si="0"/>
        <v>9296.02</v>
      </c>
      <c r="I63" s="1365" t="s">
        <v>859</v>
      </c>
      <c r="J63" s="610">
        <v>70</v>
      </c>
      <c r="K63" s="610">
        <v>50</v>
      </c>
      <c r="L63" s="610">
        <v>80</v>
      </c>
      <c r="M63" s="1367">
        <v>0.02</v>
      </c>
      <c r="O63" s="1308" t="s">
        <v>860</v>
      </c>
      <c r="P63" s="1287"/>
      <c r="Q63" s="1287"/>
      <c r="R63" s="1287"/>
    </row>
    <row r="64" spans="1:18" s="1290" customFormat="1" ht="13.5" thickBot="1">
      <c r="A64" s="926" t="s">
        <v>402</v>
      </c>
      <c r="B64" s="894" t="s">
        <v>733</v>
      </c>
      <c r="C64" s="21">
        <f ca="1">ROUND(C57*F64,2)</f>
        <v>480.51</v>
      </c>
      <c r="D64" s="908" t="s">
        <v>766</v>
      </c>
      <c r="E64" s="894" t="s">
        <v>707</v>
      </c>
      <c r="F64" s="320">
        <f t="shared" ca="1" si="0"/>
        <v>5.0000000000000001E-3</v>
      </c>
      <c r="I64" s="1365" t="s">
        <v>861</v>
      </c>
      <c r="J64" s="610">
        <v>50</v>
      </c>
      <c r="K64" s="610">
        <v>35</v>
      </c>
      <c r="L64" s="610">
        <v>60</v>
      </c>
      <c r="M64" s="1366">
        <v>0</v>
      </c>
      <c r="O64" s="1316" t="s">
        <v>806</v>
      </c>
      <c r="P64" s="1317" t="s">
        <v>807</v>
      </c>
      <c r="Q64" s="1318" t="s">
        <v>808</v>
      </c>
      <c r="R64" s="1318" t="s">
        <v>809</v>
      </c>
    </row>
    <row r="65" spans="1:18" s="1290" customFormat="1" ht="13.5" thickBot="1">
      <c r="A65" s="926" t="s">
        <v>787</v>
      </c>
      <c r="B65" s="894" t="s">
        <v>737</v>
      </c>
      <c r="C65" s="21">
        <f ca="1">ROUND(C56*F65,2)</f>
        <v>73.52</v>
      </c>
      <c r="D65" s="908" t="s">
        <v>738</v>
      </c>
      <c r="E65" s="894" t="s">
        <v>707</v>
      </c>
      <c r="F65" s="321">
        <f t="shared" ca="1" si="0"/>
        <v>1E-3</v>
      </c>
      <c r="I65" s="1365" t="s">
        <v>862</v>
      </c>
      <c r="J65" s="610">
        <v>40</v>
      </c>
      <c r="K65" s="610">
        <v>30</v>
      </c>
      <c r="L65" s="610">
        <v>50</v>
      </c>
      <c r="M65" s="1367">
        <v>0.02</v>
      </c>
      <c r="O65" s="1323" t="s">
        <v>403</v>
      </c>
      <c r="P65" s="1324" t="s">
        <v>812</v>
      </c>
      <c r="Q65" s="1325">
        <f ca="1">C40+J29</f>
        <v>865375</v>
      </c>
      <c r="R65" s="1325" t="s">
        <v>813</v>
      </c>
    </row>
    <row r="66" spans="1:18" s="1290" customFormat="1" ht="16.5" thickBot="1">
      <c r="A66" s="926" t="s">
        <v>788</v>
      </c>
      <c r="B66" s="894" t="s">
        <v>723</v>
      </c>
      <c r="C66" s="21">
        <f ca="1">ROUND(C48*F66,2)</f>
        <v>0</v>
      </c>
      <c r="D66" s="908" t="s">
        <v>743</v>
      </c>
      <c r="E66" s="894" t="s">
        <v>707</v>
      </c>
      <c r="F66" s="304">
        <f t="shared" ca="1" si="0"/>
        <v>0.02</v>
      </c>
      <c r="O66" s="1323" t="s">
        <v>404</v>
      </c>
      <c r="P66" s="1324" t="s">
        <v>841</v>
      </c>
      <c r="Q66" s="1325">
        <f ca="1">L60</f>
        <v>0</v>
      </c>
      <c r="R66" s="1325" t="s">
        <v>864</v>
      </c>
    </row>
    <row r="67" spans="1:18" s="1290" customFormat="1" ht="16.5" thickBot="1">
      <c r="A67" s="901" t="s">
        <v>394</v>
      </c>
      <c r="B67" s="911" t="s">
        <v>747</v>
      </c>
      <c r="C67" s="308">
        <f ca="1">C48-C58</f>
        <v>-582</v>
      </c>
      <c r="D67" s="907" t="s">
        <v>748</v>
      </c>
      <c r="E67" s="912"/>
      <c r="F67" s="913"/>
      <c r="O67" s="1332" t="s">
        <v>405</v>
      </c>
      <c r="P67" s="1324" t="s">
        <v>845</v>
      </c>
      <c r="Q67" s="1368">
        <f ca="1">L51</f>
        <v>761650</v>
      </c>
      <c r="R67" s="1325" t="s">
        <v>865</v>
      </c>
    </row>
    <row r="68" spans="1:18" s="1290" customFormat="1" ht="16.5" thickBot="1">
      <c r="A68" s="891" t="s">
        <v>395</v>
      </c>
      <c r="B68" s="892" t="s">
        <v>769</v>
      </c>
      <c r="C68" s="293">
        <f ca="1">ROUND(C67*(1-((1+F70)/(1+F68))^F69)/(F68-F70),0)</f>
        <v>-8374</v>
      </c>
      <c r="D68" s="909" t="s">
        <v>753</v>
      </c>
      <c r="E68" s="894" t="s">
        <v>754</v>
      </c>
      <c r="F68" s="304">
        <f ca="1">F40</f>
        <v>5.5E-2</v>
      </c>
      <c r="O68" s="1332" t="s">
        <v>406</v>
      </c>
      <c r="P68" s="1369" t="s">
        <v>866</v>
      </c>
      <c r="Q68" s="1325">
        <f ca="1">ROUND(Q69-Q70*Q71,0)</f>
        <v>43122</v>
      </c>
      <c r="R68" s="1325" t="s">
        <v>414</v>
      </c>
    </row>
    <row r="69" spans="1:18" s="1290" customFormat="1" ht="13.5" thickBot="1">
      <c r="A69" s="895"/>
      <c r="B69" s="896"/>
      <c r="C69" s="298"/>
      <c r="D69" s="914" t="s">
        <v>757</v>
      </c>
      <c r="E69" s="894" t="s">
        <v>758</v>
      </c>
      <c r="F69" s="324">
        <f ca="1">F41</f>
        <v>29.27</v>
      </c>
      <c r="O69" s="1332" t="s">
        <v>411</v>
      </c>
      <c r="P69" s="1369" t="s">
        <v>867</v>
      </c>
      <c r="Q69" s="1325">
        <f ca="1">C39</f>
        <v>48268</v>
      </c>
      <c r="R69" s="1325" t="s">
        <v>813</v>
      </c>
    </row>
    <row r="70" spans="1:18" s="1290" customFormat="1" ht="13.5" thickBot="1">
      <c r="A70" s="898"/>
      <c r="B70" s="899"/>
      <c r="C70" s="302"/>
      <c r="D70" s="910"/>
      <c r="E70" s="894" t="s">
        <v>761</v>
      </c>
      <c r="F70" s="989"/>
      <c r="O70" s="1332" t="s">
        <v>412</v>
      </c>
      <c r="P70" s="1369" t="s">
        <v>868</v>
      </c>
      <c r="Q70" s="1325">
        <f ca="1">C13</f>
        <v>73518</v>
      </c>
      <c r="R70" s="1325" t="s">
        <v>813</v>
      </c>
    </row>
    <row r="71" spans="1:18" s="1290" customFormat="1" ht="13.5" thickBot="1">
      <c r="A71" s="915" t="s">
        <v>396</v>
      </c>
      <c r="B71" s="916" t="s">
        <v>771</v>
      </c>
      <c r="C71" s="327">
        <f ca="1">ROUND(C68*10000/F71,0)</f>
        <v>-916</v>
      </c>
      <c r="D71" s="917" t="s">
        <v>772</v>
      </c>
      <c r="E71" s="918" t="s">
        <v>773</v>
      </c>
      <c r="F71" s="330">
        <f ca="1">F43</f>
        <v>91386.26999999999</v>
      </c>
      <c r="O71" s="1332" t="s">
        <v>413</v>
      </c>
      <c r="P71" s="1369" t="s">
        <v>869</v>
      </c>
      <c r="Q71" s="1335">
        <f ca="1">C76</f>
        <v>7.0000000000000007E-2</v>
      </c>
      <c r="R71" s="1325"/>
    </row>
    <row r="72" spans="1:18" s="1290" customFormat="1" ht="13.5" thickBot="1">
      <c r="B72" s="685"/>
      <c r="C72" s="685"/>
      <c r="O72" s="1332" t="s">
        <v>407</v>
      </c>
      <c r="P72" s="1324" t="s">
        <v>847</v>
      </c>
      <c r="Q72" s="1335">
        <f>L52</f>
        <v>0</v>
      </c>
      <c r="R72" s="1325"/>
    </row>
    <row r="73" spans="1:18" ht="16.5" thickBot="1">
      <c r="A73" s="1290"/>
      <c r="B73" s="685"/>
      <c r="C73" s="685"/>
      <c r="D73" s="1290"/>
      <c r="E73" s="1290"/>
      <c r="F73" s="1290"/>
      <c r="O73" s="1332" t="s">
        <v>408</v>
      </c>
      <c r="P73" s="1324" t="s">
        <v>850</v>
      </c>
      <c r="Q73" s="1325" t="e">
        <f ca="1">L58</f>
        <v>#DIV/0!</v>
      </c>
      <c r="R73" s="1325" t="s">
        <v>851</v>
      </c>
    </row>
    <row r="74" spans="1:18" ht="13.5" thickBot="1">
      <c r="A74" s="1290"/>
      <c r="B74" s="265" t="s">
        <v>870</v>
      </c>
      <c r="C74" s="1371"/>
      <c r="D74" s="1290"/>
      <c r="E74" s="1290"/>
      <c r="F74" s="1290"/>
      <c r="O74" s="1332" t="s">
        <v>415</v>
      </c>
      <c r="P74" s="1324" t="str">
        <f>K59</f>
        <v>建筑物剩余耐用年限下的土地年期修正系数Kn</v>
      </c>
      <c r="Q74" s="1325" t="e">
        <f ca="1">L59</f>
        <v>#DIV/0!</v>
      </c>
      <c r="R74" s="1325" t="s">
        <v>852</v>
      </c>
    </row>
    <row r="75" spans="1:18" ht="13.5" thickBot="1">
      <c r="A75" s="1290"/>
      <c r="B75" s="331" t="s">
        <v>790</v>
      </c>
      <c r="C75" s="332">
        <f ca="1">ROUND(C13*C76,0)</f>
        <v>5146</v>
      </c>
      <c r="D75" s="1290"/>
      <c r="E75" s="1290"/>
      <c r="F75" s="1290"/>
      <c r="K75" s="1307"/>
      <c r="L75" s="1290"/>
      <c r="O75" s="1323" t="s">
        <v>409</v>
      </c>
      <c r="P75" s="1324" t="s">
        <v>833</v>
      </c>
      <c r="Q75" s="1325">
        <f ca="1">Q65+Q66</f>
        <v>865375</v>
      </c>
      <c r="R75" s="1325" t="s">
        <v>410</v>
      </c>
    </row>
    <row r="76" spans="1:18">
      <c r="B76" s="333" t="s">
        <v>791</v>
      </c>
      <c r="C76" s="334">
        <f ca="1">INDIRECT("'数据-取费表'!j"&amp;$G$1)</f>
        <v>7.0000000000000007E-2</v>
      </c>
      <c r="I76" s="1290"/>
      <c r="J76" s="1290"/>
      <c r="K76" s="1307"/>
      <c r="L76" s="1290"/>
    </row>
    <row r="77" spans="1:18">
      <c r="B77" s="335" t="s">
        <v>792</v>
      </c>
      <c r="C77" s="336"/>
      <c r="I77" s="1290"/>
      <c r="J77" s="1290"/>
      <c r="K77" s="1307"/>
      <c r="L77" s="1290"/>
    </row>
    <row r="78" spans="1:18">
      <c r="B78" s="262" t="s">
        <v>793</v>
      </c>
      <c r="C78" s="337"/>
    </row>
    <row r="79" spans="1:18">
      <c r="B79" s="331" t="s">
        <v>794</v>
      </c>
      <c r="C79" s="266">
        <f ca="1">1-C80</f>
        <v>0.89300000000000002</v>
      </c>
    </row>
    <row r="80" spans="1:18">
      <c r="B80" s="331" t="s">
        <v>795</v>
      </c>
      <c r="C80" s="266">
        <f ca="1">ROUND(C75/C39,3)</f>
        <v>0.107</v>
      </c>
    </row>
    <row r="81" spans="2:3">
      <c r="B81" s="262" t="s">
        <v>796</v>
      </c>
      <c r="C81" s="230"/>
    </row>
    <row r="82" spans="2:3">
      <c r="B82" s="265" t="s">
        <v>797</v>
      </c>
      <c r="C82" s="267">
        <f ca="1">1-C83</f>
        <v>0.91500000000000004</v>
      </c>
    </row>
    <row r="83" spans="2:3">
      <c r="B83" s="265" t="s">
        <v>798</v>
      </c>
      <c r="C83" s="266">
        <f ca="1">ROUND(C13/C40,3)</f>
        <v>8.5000000000000006E-2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27" priority="3">
      <formula>$F$10="自定义"</formula>
    </cfRule>
  </conditionalFormatting>
  <conditionalFormatting sqref="C54">
    <cfRule type="expression" dxfId="26" priority="1">
      <formula>$F$53="自定义"</formula>
    </cfRule>
  </conditionalFormatting>
  <conditionalFormatting sqref="I55 I60">
    <cfRule type="expression" dxfId="25" priority="5">
      <formula>$J$51&gt;$L$48</formula>
    </cfRule>
  </conditionalFormatting>
  <conditionalFormatting sqref="J11">
    <cfRule type="expression" dxfId="24" priority="2">
      <formula>$M$10="自定义"</formula>
    </cfRule>
  </conditionalFormatting>
  <conditionalFormatting sqref="K55 K60">
    <cfRule type="expression" dxfId="23" priority="4">
      <formula>$L$48&gt;$J$51</formula>
    </cfRule>
  </conditionalFormatting>
  <dataValidations disablePrompts="1" count="9">
    <dataValidation type="list" allowBlank="1" showInputMessage="1" showErrorMessage="1" sqref="D1" xr:uid="{ACB708F8-50D4-41F2-BA38-8D002D6F45F0}">
      <formula1>"在建（套用方法）,土地（套用方法）,——"</formula1>
    </dataValidation>
    <dataValidation type="list" allowBlank="1" showInputMessage="1" showErrorMessage="1" sqref="M10 F10 F53" xr:uid="{6FC46927-A340-4485-B154-AA78883FFF14}">
      <formula1>"押一,押二,押三,自定义"</formula1>
    </dataValidation>
    <dataValidation type="list" allowBlank="1" showInputMessage="1" showErrorMessage="1" sqref="L55" xr:uid="{61AA9261-102B-46D8-8D1E-B6ED71FAC4D3}">
      <formula1>"比较法,基准地价,收益还原"</formula1>
    </dataValidation>
    <dataValidation type="list" allowBlank="1" showInputMessage="1" showErrorMessage="1" sqref="J56" xr:uid="{698D6619-1C19-4694-BF42-1481088CB7C1}">
      <formula1>估价范围判定</formula1>
    </dataValidation>
    <dataValidation type="list" allowBlank="1" showInputMessage="1" showErrorMessage="1" sqref="J48" xr:uid="{FF0ADDEF-0E1F-4D40-9387-12A11BC352AB}">
      <formula1>"非生产用房,生产用房,受腐蚀的生产用房"</formula1>
    </dataValidation>
    <dataValidation type="list" allowBlank="1" showInputMessage="1" showErrorMessage="1" sqref="J47" xr:uid="{F34FDD8A-8067-43E0-8C4D-55C0B14B6B5E}">
      <formula1>"钢,钢混,砖混"</formula1>
    </dataValidation>
    <dataValidation type="list" allowBlank="1" showInputMessage="1" showErrorMessage="1" sqref="C1" xr:uid="{869A3613-3037-4AF3-843B-6431198C6C2D}">
      <formula1>项目类型</formula1>
    </dataValidation>
    <dataValidation type="list" allowBlank="1" showInputMessage="1" showErrorMessage="1" sqref="D33 D61" xr:uid="{6E9679A1-5916-48CF-AF50-9119D94DC480}">
      <formula1>"按租金收入计税,按房产原值计税,按票据"</formula1>
    </dataValidation>
    <dataValidation type="list" allowBlank="1" showInputMessage="1" showErrorMessage="1" sqref="K19" xr:uid="{549CBD67-E6BE-4FB4-BD01-DC4A688CBB03}">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5626D-F211-4816-A0A4-3820C90E83A2}">
  <sheetPr>
    <tabColor rgb="FF92D050"/>
  </sheetPr>
  <dimension ref="A1:AK122"/>
  <sheetViews>
    <sheetView view="pageBreakPreview" topLeftCell="A16" zoomScale="85" zoomScaleNormal="80" zoomScaleSheetLayoutView="85" workbookViewId="0">
      <selection activeCell="J12" sqref="J12"/>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1921</v>
      </c>
      <c r="B1" s="189"/>
      <c r="C1" s="193" t="s">
        <v>1922</v>
      </c>
      <c r="D1" s="333">
        <f>SUM(D33:D34,D37:D42)</f>
        <v>91386.26999999999</v>
      </c>
      <c r="E1" s="1840"/>
      <c r="F1" s="1840"/>
      <c r="G1" s="1840"/>
      <c r="H1" s="1840"/>
      <c r="I1" s="1840"/>
      <c r="J1" s="1840"/>
      <c r="K1" s="1054"/>
      <c r="L1" s="1841" t="s">
        <v>1923</v>
      </c>
      <c r="M1" s="808">
        <f>SUMPRODUCT((区片价!B5:B9=I2)*(区片价!C3:G3=E2)*(区片价!C5:G9))</f>
        <v>36850</v>
      </c>
      <c r="N1" s="811">
        <f>SUMPRODUCT((因素修正幅度!B5:B9=I2)*(因素修正幅度!C3:G3=E2)*(因素修正幅度!C5:G9))</f>
        <v>9.8000000000000004E-2</v>
      </c>
      <c r="O1" s="1842"/>
      <c r="P1" s="1842"/>
      <c r="Q1" s="1054"/>
      <c r="R1" s="1127" t="s">
        <v>1924</v>
      </c>
      <c r="S1" s="1127" t="s">
        <v>1925</v>
      </c>
      <c r="T1" s="1127" t="s">
        <v>1926</v>
      </c>
      <c r="U1" s="1127" t="s">
        <v>1927</v>
      </c>
      <c r="V1" s="1127" t="s">
        <v>1928</v>
      </c>
      <c r="W1" s="1131"/>
      <c r="X1" s="1131"/>
      <c r="Y1" s="1131"/>
      <c r="Z1" s="1131"/>
      <c r="AA1" s="1131"/>
      <c r="AB1" s="1131"/>
      <c r="AC1" s="1132"/>
      <c r="AD1" s="1133"/>
      <c r="AE1" s="1133"/>
      <c r="AF1" s="1133"/>
      <c r="AG1" s="1133"/>
      <c r="AH1" s="1133"/>
      <c r="AI1" s="1133"/>
      <c r="AJ1" s="1134"/>
    </row>
    <row r="2" spans="1:36" ht="15.75">
      <c r="A2" s="193" t="s">
        <v>1929</v>
      </c>
      <c r="B2" s="196">
        <f>C30</f>
        <v>275712</v>
      </c>
      <c r="C2" s="1844" t="s">
        <v>1930</v>
      </c>
      <c r="D2" s="162" t="s">
        <v>1931</v>
      </c>
      <c r="E2" s="3117" t="s">
        <v>21</v>
      </c>
      <c r="F2" s="162" t="s">
        <v>1932</v>
      </c>
      <c r="G2" s="163" t="str">
        <f>IF(E2="商业",项目基本情况!B37,IF(E2="办公",项目基本情况!C37,IF(E2="住宅",项目基本情况!D37,IF(E2="工业",项目基本情况!E37,项目基本情况!F37))))</f>
        <v>一级</v>
      </c>
      <c r="H2" s="162" t="s">
        <v>1933</v>
      </c>
      <c r="I2" s="163" t="str">
        <f>IF(E2="商业",项目基本情况!B38,IF(E2="办公",项目基本情况!C38,IF(E2="住宅",项目基本情况!D38,IF(E2="工业",项目基本情况!E38,项目基本情况!F38))))</f>
        <v>Ⅰ—02</v>
      </c>
      <c r="J2" s="1840"/>
      <c r="K2" s="1054"/>
      <c r="L2" s="1845" t="s">
        <v>1934</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1.5206</v>
      </c>
      <c r="T2" s="3060">
        <f t="shared" ref="T2:T16" si="0">ROUND($C$5*$C$22*$C$23*$C$24*S2*$C$28,0)</f>
        <v>50281</v>
      </c>
      <c r="U2" s="1128"/>
      <c r="V2" s="3060">
        <f>ROUND(T2*U2/10000,0)</f>
        <v>0</v>
      </c>
      <c r="W2" s="1131"/>
      <c r="X2" s="1131"/>
      <c r="Y2" s="1131"/>
      <c r="Z2" s="1131"/>
      <c r="AA2" s="1131"/>
      <c r="AB2" s="1131"/>
      <c r="AC2" s="1132"/>
      <c r="AD2" s="1133"/>
      <c r="AE2" s="1133"/>
      <c r="AF2" s="1133"/>
      <c r="AG2" s="1133"/>
      <c r="AH2" s="1133"/>
      <c r="AI2" s="1133"/>
      <c r="AJ2" s="1134"/>
    </row>
    <row r="3" spans="1:36" ht="15.75">
      <c r="A3" s="195" t="s">
        <v>1935</v>
      </c>
      <c r="B3" s="196">
        <f>ROUND(B2*10000/D1,0)</f>
        <v>30170</v>
      </c>
      <c r="C3" s="1844" t="s">
        <v>1936</v>
      </c>
      <c r="D3" s="162" t="s">
        <v>1937</v>
      </c>
      <c r="E3" s="3115" t="s">
        <v>3436</v>
      </c>
      <c r="F3" s="1846" t="s">
        <v>3431</v>
      </c>
      <c r="G3" s="706">
        <f>IF(F3="宗地容积率",'数据-汇总表'!I4,IF(F3="估价对象容积率",'数据-汇总表'!I6,'数据-汇总表'!I7))</f>
        <v>7.67</v>
      </c>
      <c r="H3" s="162" t="s">
        <v>1938</v>
      </c>
      <c r="I3" s="727"/>
      <c r="J3" s="1840" t="s">
        <v>1939</v>
      </c>
      <c r="K3" s="1054"/>
      <c r="L3" s="1845" t="s">
        <v>1940</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1.2072000000000001</v>
      </c>
      <c r="T3" s="3060">
        <f t="shared" si="0"/>
        <v>39918</v>
      </c>
      <c r="U3" s="1128"/>
      <c r="V3" s="3060">
        <f t="shared" ref="V3:V16" si="1">ROUND(T3*U3/10000,0)</f>
        <v>0</v>
      </c>
      <c r="W3" s="1131"/>
      <c r="X3" s="1131"/>
      <c r="Y3" s="1131"/>
      <c r="Z3" s="1131"/>
      <c r="AA3" s="1131"/>
      <c r="AB3" s="1131"/>
      <c r="AC3" s="1132"/>
      <c r="AD3" s="1133"/>
      <c r="AE3" s="1133"/>
      <c r="AF3" s="1133"/>
      <c r="AG3" s="1133"/>
      <c r="AH3" s="1133"/>
      <c r="AI3" s="1133"/>
      <c r="AJ3" s="1134"/>
    </row>
    <row r="4" spans="1:36" ht="15.75">
      <c r="A4" s="3479"/>
      <c r="B4" s="3480"/>
      <c r="C4" s="3480"/>
      <c r="D4" s="3481"/>
      <c r="E4" s="3481"/>
      <c r="F4" s="3481"/>
      <c r="G4" s="3481"/>
      <c r="H4" s="3481"/>
      <c r="I4" s="3481"/>
      <c r="J4" s="3482"/>
      <c r="K4" s="1054"/>
      <c r="L4" s="1845" t="s">
        <v>1941</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1.0430999999999999</v>
      </c>
      <c r="T4" s="3060">
        <f t="shared" si="0"/>
        <v>34492</v>
      </c>
      <c r="U4" s="1128"/>
      <c r="V4" s="3060">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1942</v>
      </c>
      <c r="C5" s="707">
        <f>ROUND(IF(E2="商业",C6*C7*C17+C20,(IF(E2="住宅",C6*C13*C17+C20,IF(E2="办公",C6*C12*C17+C20,C6+C20)))),0)</f>
        <v>36850</v>
      </c>
      <c r="D5" s="1250">
        <f>ROUND(C6*C17+C20,0)</f>
        <v>36850</v>
      </c>
      <c r="E5" s="1250"/>
      <c r="F5" s="1849"/>
      <c r="G5" s="1850"/>
      <c r="H5" s="1850"/>
      <c r="I5" s="1850"/>
      <c r="J5" s="1851"/>
      <c r="K5" s="1852"/>
      <c r="L5" s="1845" t="s">
        <v>1943</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0.94389999999999996</v>
      </c>
      <c r="T5" s="3060">
        <f t="shared" si="0"/>
        <v>31212</v>
      </c>
      <c r="U5" s="1128"/>
      <c r="V5" s="3060">
        <f t="shared" si="1"/>
        <v>0</v>
      </c>
      <c r="W5" s="1131"/>
      <c r="X5" s="1131"/>
      <c r="Y5" s="1131"/>
      <c r="Z5" s="1131"/>
      <c r="AA5" s="1131"/>
      <c r="AB5" s="1131"/>
      <c r="AC5" s="1853"/>
      <c r="AD5" s="1854"/>
      <c r="AE5" s="1854"/>
      <c r="AF5" s="1854"/>
      <c r="AG5" s="1854"/>
      <c r="AH5" s="1854"/>
      <c r="AI5" s="1854"/>
      <c r="AJ5" s="1855"/>
    </row>
    <row r="6" spans="1:36" ht="15.75" thickBot="1">
      <c r="A6" s="1857" t="s">
        <v>1944</v>
      </c>
      <c r="B6" s="1858" t="s">
        <v>1945</v>
      </c>
      <c r="C6" s="708">
        <f>SUMIF(L1:L12,G2,M1:M12)</f>
        <v>36850</v>
      </c>
      <c r="D6" s="1859"/>
      <c r="E6" s="1860"/>
      <c r="F6" s="1860"/>
      <c r="G6" s="1861"/>
      <c r="H6" s="1861"/>
      <c r="I6" s="1861"/>
      <c r="J6" s="1862"/>
      <c r="K6" s="1290"/>
      <c r="L6" s="1845" t="s">
        <v>1946</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0.89959999999999996</v>
      </c>
      <c r="T6" s="3060">
        <f t="shared" si="0"/>
        <v>29747</v>
      </c>
      <c r="U6" s="1128"/>
      <c r="V6" s="3060">
        <f t="shared" si="1"/>
        <v>0</v>
      </c>
      <c r="W6" s="1131"/>
      <c r="X6" s="1131"/>
      <c r="Y6" s="1131"/>
      <c r="Z6" s="1131"/>
      <c r="AA6" s="1131"/>
      <c r="AB6" s="1131"/>
      <c r="AC6" s="1853"/>
      <c r="AD6" s="1854"/>
      <c r="AE6" s="1854"/>
      <c r="AF6" s="1854"/>
      <c r="AG6" s="1854"/>
      <c r="AH6" s="1854"/>
      <c r="AI6" s="1854"/>
      <c r="AJ6" s="1855"/>
    </row>
    <row r="7" spans="1:36" ht="24.75" thickBot="1">
      <c r="A7" s="3009" t="s">
        <v>3223</v>
      </c>
      <c r="B7" s="1863" t="s">
        <v>1947</v>
      </c>
      <c r="C7" s="709" t="e">
        <f>IF(C8="不临65条商业街",1,ROUND(1+(1.6*E8+1.2*E9+0.8*E10+0.4*E11)*C9,4))</f>
        <v>#DIV/0!</v>
      </c>
      <c r="D7" s="1864" t="s">
        <v>1948</v>
      </c>
      <c r="E7" s="728"/>
      <c r="F7" s="1865"/>
      <c r="G7" s="1866"/>
      <c r="H7" s="1866"/>
      <c r="I7" s="1866"/>
      <c r="J7" s="1867"/>
      <c r="K7" s="1290"/>
      <c r="L7" s="1845" t="s">
        <v>1949</v>
      </c>
      <c r="M7" s="809">
        <f>SUMPRODUCT((区片价!B190:B233=I2)*(区片价!C3:G3=E2)*(区片价!C190:G233))</f>
        <v>0</v>
      </c>
      <c r="N7" s="811">
        <f>SUMPRODUCT((因素修正幅度!B190:B233=I2)*(因素修正幅度!C3:G3=E2)*(因素修正幅度!C190:G233))</f>
        <v>0</v>
      </c>
      <c r="O7" s="1054"/>
      <c r="P7" s="1054"/>
      <c r="Q7" s="1054"/>
      <c r="R7" s="1127">
        <v>6</v>
      </c>
      <c r="S7" s="3114"/>
      <c r="T7" s="3060">
        <f t="shared" si="0"/>
        <v>0</v>
      </c>
      <c r="U7" s="1128"/>
      <c r="V7" s="3060">
        <f t="shared" si="1"/>
        <v>0</v>
      </c>
      <c r="W7" s="1265" t="s">
        <v>1950</v>
      </c>
      <c r="X7" s="1129" t="str">
        <f>G2</f>
        <v>一级</v>
      </c>
      <c r="Y7" s="1129" t="s">
        <v>1951</v>
      </c>
      <c r="Z7" s="1130">
        <f>G3</f>
        <v>7.67</v>
      </c>
      <c r="AA7" s="1131"/>
      <c r="AB7" s="1131"/>
      <c r="AC7" s="1132"/>
      <c r="AD7" s="1133"/>
      <c r="AE7" s="1133"/>
      <c r="AF7" s="1133"/>
      <c r="AG7" s="1133"/>
      <c r="AH7" s="1133"/>
      <c r="AI7" s="1133"/>
      <c r="AJ7" s="1134"/>
    </row>
    <row r="8" spans="1:36" ht="15">
      <c r="A8" s="3006"/>
      <c r="B8" s="162" t="s">
        <v>1952</v>
      </c>
      <c r="C8" s="1868"/>
      <c r="D8" s="710" t="s">
        <v>112</v>
      </c>
      <c r="E8" s="711" t="e">
        <f>ROUND(C11/E7,4)</f>
        <v>#DIV/0!</v>
      </c>
      <c r="F8" s="1869" t="s">
        <v>1953</v>
      </c>
      <c r="G8" s="1870"/>
      <c r="H8" s="1870"/>
      <c r="I8" s="1870"/>
      <c r="J8" s="1871"/>
      <c r="K8" s="1054"/>
      <c r="L8" s="1845" t="s">
        <v>1954</v>
      </c>
      <c r="M8" s="809">
        <f>SUMPRODUCT((区片价!B234:B276=I2)*(区片价!C3:G3=E2)*(区片价!C234:G276))</f>
        <v>0</v>
      </c>
      <c r="N8" s="811">
        <f>SUMPRODUCT((因素修正幅度!B234:B276=I2)*(因素修正幅度!C3:G3=E2)*(因素修正幅度!C234:G276))</f>
        <v>0</v>
      </c>
      <c r="O8" s="1054"/>
      <c r="P8" s="1054"/>
      <c r="Q8" s="1054"/>
      <c r="R8" s="1127">
        <v>7</v>
      </c>
      <c r="S8" s="1128"/>
      <c r="T8" s="3060">
        <f t="shared" si="0"/>
        <v>0</v>
      </c>
      <c r="U8" s="1128"/>
      <c r="V8" s="3060">
        <f t="shared" si="1"/>
        <v>0</v>
      </c>
      <c r="W8" s="3476" t="s">
        <v>1955</v>
      </c>
      <c r="X8" s="3477"/>
      <c r="Y8" s="1135" t="s">
        <v>1956</v>
      </c>
      <c r="Z8" s="1135" t="s">
        <v>1957</v>
      </c>
      <c r="AA8" s="1135" t="s">
        <v>1958</v>
      </c>
      <c r="AB8" s="1135" t="s">
        <v>1959</v>
      </c>
      <c r="AC8" s="1135" t="s">
        <v>1960</v>
      </c>
      <c r="AD8" s="1135" t="s">
        <v>1961</v>
      </c>
      <c r="AE8" s="1135" t="s">
        <v>1962</v>
      </c>
      <c r="AF8" s="1135" t="s">
        <v>1963</v>
      </c>
      <c r="AG8" s="1135" t="s">
        <v>1964</v>
      </c>
      <c r="AH8" s="1135" t="s">
        <v>1965</v>
      </c>
      <c r="AI8" s="1135" t="s">
        <v>1966</v>
      </c>
      <c r="AJ8" s="1135" t="s">
        <v>1967</v>
      </c>
    </row>
    <row r="9" spans="1:36" ht="15">
      <c r="A9" s="3006"/>
      <c r="B9" s="162" t="s">
        <v>1968</v>
      </c>
      <c r="C9" s="712">
        <f>SUMIF(修正!C71:C138,C8,修正!E71:E138)</f>
        <v>0</v>
      </c>
      <c r="D9" s="163" t="s">
        <v>113</v>
      </c>
      <c r="E9" s="163" t="e">
        <f>ROUND(C11/E7,4)</f>
        <v>#DIV/0!</v>
      </c>
      <c r="F9" s="1869" t="s">
        <v>1969</v>
      </c>
      <c r="G9" s="1870"/>
      <c r="H9" s="1870"/>
      <c r="I9" s="1870"/>
      <c r="J9" s="1871"/>
      <c r="K9" s="1054"/>
      <c r="L9" s="1845" t="s">
        <v>1970</v>
      </c>
      <c r="M9" s="809">
        <f>SUMPRODUCT((区片价!B277:B326=I2)*(区片价!C3:G3=E2)*(区片价!C277:G326))</f>
        <v>0</v>
      </c>
      <c r="N9" s="811">
        <f>SUMPRODUCT((因素修正幅度!B277:B326=I2)*(因素修正幅度!C3:G3=E2)*(因素修正幅度!C277:G326))</f>
        <v>0</v>
      </c>
      <c r="O9" s="1054"/>
      <c r="P9" s="1054"/>
      <c r="Q9" s="1054"/>
      <c r="R9" s="1127">
        <v>8</v>
      </c>
      <c r="S9" s="1128"/>
      <c r="T9" s="3060">
        <f t="shared" si="0"/>
        <v>0</v>
      </c>
      <c r="U9" s="1128"/>
      <c r="V9" s="3060">
        <f t="shared" si="1"/>
        <v>0</v>
      </c>
      <c r="W9" s="3478"/>
      <c r="X9" s="3061" t="s">
        <v>3254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1971</v>
      </c>
      <c r="C10" s="163">
        <f>SUMIF(修正!C71:C138,C8,修正!F71:F138)</f>
        <v>0</v>
      </c>
      <c r="D10" s="163" t="s">
        <v>114</v>
      </c>
      <c r="E10" s="163" t="e">
        <f>ROUND(C11/E7,4)</f>
        <v>#DIV/0!</v>
      </c>
      <c r="F10" s="1869" t="s">
        <v>1972</v>
      </c>
      <c r="G10" s="1870"/>
      <c r="H10" s="1870"/>
      <c r="I10" s="1870"/>
      <c r="J10" s="1871"/>
      <c r="K10" s="1054"/>
      <c r="L10" s="1845" t="s">
        <v>1973</v>
      </c>
      <c r="M10" s="809">
        <f>SUMPRODUCT((区片价!B327:B357=I2)*(区片价!C3:G3=E2)*(区片价!C327:G357))</f>
        <v>0</v>
      </c>
      <c r="N10" s="811">
        <f>SUMPRODUCT((因素修正幅度!B327:B357=I2)*(因素修正幅度!C3:G3=E2)*(因素修正幅度!C327:G357))</f>
        <v>0</v>
      </c>
      <c r="O10" s="1054"/>
      <c r="P10" s="1054"/>
      <c r="Q10" s="1054"/>
      <c r="R10" s="1127">
        <v>9</v>
      </c>
      <c r="S10" s="1128"/>
      <c r="T10" s="3060">
        <f t="shared" si="0"/>
        <v>0</v>
      </c>
      <c r="U10" s="1128"/>
      <c r="V10" s="3060">
        <f t="shared" si="1"/>
        <v>0</v>
      </c>
      <c r="W10" s="347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2" t="s">
        <v>1974</v>
      </c>
      <c r="C11" s="713">
        <f>C10/4</f>
        <v>0</v>
      </c>
      <c r="D11" s="713" t="s">
        <v>115</v>
      </c>
      <c r="E11" s="713" t="e">
        <f>ROUND(C11/E7,4)</f>
        <v>#DIV/0!</v>
      </c>
      <c r="F11" s="1873" t="s">
        <v>1975</v>
      </c>
      <c r="G11" s="1874"/>
      <c r="H11" s="1874"/>
      <c r="I11" s="1874"/>
      <c r="J11" s="1875"/>
      <c r="K11" s="1054"/>
      <c r="L11" s="1845" t="s">
        <v>1976</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f t="shared" si="0"/>
        <v>0</v>
      </c>
      <c r="U11" s="1128"/>
      <c r="V11" s="3060">
        <f t="shared" si="1"/>
        <v>0</v>
      </c>
      <c r="W11" s="1131"/>
      <c r="X11" s="1131"/>
      <c r="Y11" s="1131"/>
      <c r="Z11" s="1131"/>
      <c r="AA11" s="1131"/>
      <c r="AB11" s="1131"/>
      <c r="AC11" s="1132"/>
      <c r="AD11" s="2550"/>
      <c r="AE11" s="2550"/>
      <c r="AF11" s="2550"/>
      <c r="AG11" s="2550"/>
      <c r="AH11" s="2550"/>
      <c r="AI11" s="2550"/>
      <c r="AJ11" s="2551"/>
    </row>
    <row r="12" spans="1:36" ht="25.5" thickBot="1">
      <c r="A12" s="3009" t="s">
        <v>3224</v>
      </c>
      <c r="B12" s="3010" t="s">
        <v>3225</v>
      </c>
      <c r="C12" s="3011">
        <v>1</v>
      </c>
      <c r="D12" s="3012" t="s">
        <v>3226</v>
      </c>
      <c r="E12" s="3013" t="s">
        <v>3227</v>
      </c>
      <c r="F12" s="3014"/>
      <c r="G12" s="3015"/>
      <c r="H12" s="3015"/>
      <c r="I12" s="3015"/>
      <c r="J12" s="3016"/>
      <c r="K12" s="1054"/>
      <c r="L12" s="1794" t="s">
        <v>1979</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f t="shared" si="0"/>
        <v>0</v>
      </c>
      <c r="U12" s="1128"/>
      <c r="V12" s="3060">
        <f t="shared" si="1"/>
        <v>0</v>
      </c>
      <c r="W12" s="1131"/>
      <c r="X12" s="1131"/>
      <c r="Y12" s="1131"/>
      <c r="Z12" s="1131"/>
      <c r="AA12" s="1131"/>
      <c r="AB12" s="1131"/>
      <c r="AC12" s="1132"/>
      <c r="AD12" s="2550"/>
      <c r="AE12" s="2550"/>
      <c r="AF12" s="2550"/>
      <c r="AG12" s="2550"/>
      <c r="AH12" s="2550"/>
      <c r="AI12" s="2550"/>
      <c r="AJ12" s="2551"/>
    </row>
    <row r="13" spans="1:36" ht="15.75" thickBot="1">
      <c r="A13" s="3009" t="s">
        <v>3228</v>
      </c>
      <c r="B13" s="1876" t="s">
        <v>1977</v>
      </c>
      <c r="C13" s="709">
        <f>ROUND(C16*D16*E16*F16*G16*H16*I16*J16,4)</f>
        <v>0</v>
      </c>
      <c r="D13" s="1877" t="s">
        <v>1978</v>
      </c>
      <c r="E13" s="1878"/>
      <c r="F13" s="1878"/>
      <c r="G13" s="1879"/>
      <c r="H13" s="1879"/>
      <c r="I13" s="1879"/>
      <c r="J13" s="1880"/>
      <c r="K13" s="1054"/>
      <c r="L13" s="3"/>
      <c r="M13" s="4"/>
      <c r="N13" s="3007"/>
      <c r="O13" s="1054"/>
      <c r="P13" s="1054"/>
      <c r="Q13" s="1054"/>
      <c r="R13" s="1127">
        <v>12</v>
      </c>
      <c r="S13" s="1128"/>
      <c r="T13" s="3060">
        <f t="shared" si="0"/>
        <v>0</v>
      </c>
      <c r="U13" s="1128"/>
      <c r="V13" s="3060">
        <f t="shared" si="1"/>
        <v>0</v>
      </c>
      <c r="W13" s="1131"/>
      <c r="X13" s="1131"/>
      <c r="Y13" s="1131"/>
      <c r="Z13" s="1131"/>
      <c r="AA13" s="1131"/>
      <c r="AB13" s="1131"/>
      <c r="AC13" s="1132"/>
      <c r="AD13" s="2550"/>
      <c r="AE13" s="2550"/>
      <c r="AF13" s="2550"/>
      <c r="AG13" s="2550"/>
      <c r="AH13" s="2550"/>
      <c r="AI13" s="2550"/>
      <c r="AJ13" s="2551"/>
    </row>
    <row r="14" spans="1:36" ht="15">
      <c r="A14" s="3005"/>
      <c r="B14" s="1881" t="s">
        <v>1980</v>
      </c>
      <c r="C14" s="1882" t="s">
        <v>1981</v>
      </c>
      <c r="D14" s="1259" t="s">
        <v>1982</v>
      </c>
      <c r="E14" s="27" t="s">
        <v>1983</v>
      </c>
      <c r="F14" s="3017" t="s">
        <v>3229</v>
      </c>
      <c r="G14" s="3017" t="s">
        <v>3229</v>
      </c>
      <c r="H14" s="3017" t="s">
        <v>3229</v>
      </c>
      <c r="I14" s="3017" t="s">
        <v>3229</v>
      </c>
      <c r="J14" s="3017" t="s">
        <v>3229</v>
      </c>
      <c r="K14" s="1054"/>
      <c r="L14" s="1054"/>
      <c r="M14" s="1054"/>
      <c r="N14" s="1054"/>
      <c r="O14" s="1054"/>
      <c r="P14" s="1054"/>
      <c r="Q14" s="1054"/>
      <c r="R14" s="1127">
        <v>13</v>
      </c>
      <c r="S14" s="1128"/>
      <c r="T14" s="3060">
        <f t="shared" si="0"/>
        <v>0</v>
      </c>
      <c r="U14" s="1128"/>
      <c r="V14" s="3060">
        <f t="shared" si="1"/>
        <v>0</v>
      </c>
      <c r="W14" s="1131"/>
      <c r="X14" s="1131"/>
      <c r="Y14" s="1131"/>
      <c r="Z14" s="1131"/>
      <c r="AA14" s="1131"/>
      <c r="AB14" s="1131"/>
      <c r="AC14" s="1132"/>
      <c r="AD14" s="2550"/>
      <c r="AE14" s="2550"/>
      <c r="AF14" s="2550"/>
      <c r="AG14" s="2550"/>
      <c r="AH14" s="2550"/>
      <c r="AI14" s="2550"/>
      <c r="AJ14" s="2551"/>
    </row>
    <row r="15" spans="1:36" ht="15">
      <c r="A15" s="3005"/>
      <c r="B15" s="1883"/>
      <c r="C15" s="1884"/>
      <c r="D15" s="1885"/>
      <c r="E15" s="1886"/>
      <c r="F15" s="1468" t="s">
        <v>3230</v>
      </c>
      <c r="G15" s="1926"/>
      <c r="H15" s="3018"/>
      <c r="I15" s="3019"/>
      <c r="J15" s="3020"/>
      <c r="K15" s="1054"/>
      <c r="L15" s="1054"/>
      <c r="M15" s="1054"/>
      <c r="N15" s="1054"/>
      <c r="O15" s="1054"/>
      <c r="P15" s="1054"/>
      <c r="Q15" s="1054"/>
      <c r="R15" s="1127">
        <v>14</v>
      </c>
      <c r="S15" s="1128"/>
      <c r="T15" s="3060">
        <f t="shared" si="0"/>
        <v>0</v>
      </c>
      <c r="U15" s="1128"/>
      <c r="V15" s="3060">
        <f t="shared" si="1"/>
        <v>0</v>
      </c>
      <c r="W15" s="1131"/>
      <c r="X15" s="1131"/>
      <c r="Y15" s="1131"/>
      <c r="Z15" s="1131"/>
      <c r="AA15" s="1131"/>
      <c r="AB15" s="1131"/>
      <c r="AC15" s="1132"/>
      <c r="AD15" s="2550"/>
      <c r="AE15" s="2550"/>
      <c r="AF15" s="2550"/>
      <c r="AG15" s="2550"/>
      <c r="AH15" s="2550"/>
      <c r="AI15" s="2550"/>
      <c r="AJ15" s="2551"/>
    </row>
    <row r="16" spans="1:36" ht="15.75" thickBot="1">
      <c r="A16" s="3005"/>
      <c r="B16" s="3023" t="s">
        <v>1984</v>
      </c>
      <c r="C16" s="3021"/>
      <c r="D16" s="3021"/>
      <c r="E16" s="3021"/>
      <c r="F16" s="3021">
        <v>1</v>
      </c>
      <c r="G16" s="3021">
        <v>1</v>
      </c>
      <c r="H16" s="3021">
        <v>1</v>
      </c>
      <c r="I16" s="3021">
        <v>1</v>
      </c>
      <c r="J16" s="3022">
        <v>1</v>
      </c>
      <c r="K16" s="1054"/>
      <c r="L16" s="1842"/>
      <c r="M16" s="1842"/>
      <c r="N16" s="1842"/>
      <c r="O16" s="1842"/>
      <c r="P16" s="1842"/>
      <c r="Q16" s="1054"/>
      <c r="R16" s="1127">
        <v>15</v>
      </c>
      <c r="S16" s="1128"/>
      <c r="T16" s="3060">
        <f t="shared" si="0"/>
        <v>0</v>
      </c>
      <c r="U16" s="1128"/>
      <c r="V16" s="3060">
        <f t="shared" si="1"/>
        <v>0</v>
      </c>
      <c r="W16" s="1131"/>
      <c r="X16" s="1131"/>
      <c r="Y16" s="1131"/>
      <c r="Z16" s="1131"/>
      <c r="AA16" s="1131"/>
      <c r="AB16" s="1131"/>
      <c r="AC16" s="1132"/>
      <c r="AD16" s="2550"/>
      <c r="AE16" s="2550"/>
      <c r="AF16" s="2550"/>
      <c r="AG16" s="2550"/>
      <c r="AH16" s="2550"/>
      <c r="AI16" s="2550"/>
      <c r="AJ16" s="2551"/>
    </row>
    <row r="17" spans="1:37">
      <c r="A17" s="3032" t="s">
        <v>3231</v>
      </c>
      <c r="B17" s="3024" t="s">
        <v>3232</v>
      </c>
      <c r="C17" s="3033">
        <f>ROUND(IF(OR(E2="工业",E2="公共服务"),1,IF(AND(E18=0,E19=0),1,IF(AND(E18=J24,E19=G19),0.8,IF(E19=0,1+E17*(-0.2),1+E17*G17*(-0.2))))),4)</f>
        <v>1</v>
      </c>
      <c r="D17" s="3025" t="s">
        <v>3233</v>
      </c>
      <c r="E17" s="3033">
        <f>ROUND(G18/I18,2)</f>
        <v>0</v>
      </c>
      <c r="F17" s="3025" t="s">
        <v>3236</v>
      </c>
      <c r="G17" s="3033" t="e">
        <f>ROUND(E19/G19,2)</f>
        <v>#DIV/0!</v>
      </c>
      <c r="H17" s="3033"/>
      <c r="I17" s="3033"/>
      <c r="J17" s="3034"/>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5"/>
      <c r="B18" s="2306"/>
      <c r="C18" s="3031"/>
      <c r="D18" s="3026" t="s">
        <v>3234</v>
      </c>
      <c r="E18" s="2353"/>
      <c r="F18" s="3027" t="s">
        <v>3237</v>
      </c>
      <c r="G18" s="3031">
        <f>ROUND(1-(1/(POWER(1+G24,E18))),4)</f>
        <v>0</v>
      </c>
      <c r="H18" s="3027" t="s">
        <v>3239</v>
      </c>
      <c r="I18" s="3031">
        <f>ROUND(1-(1/(POWER(1+G24,J24))),4)</f>
        <v>0.93120000000000003</v>
      </c>
      <c r="J18" s="3036"/>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9"/>
    </row>
    <row r="19" spans="1:37" s="1856" customFormat="1" ht="15" thickBot="1">
      <c r="A19" s="3037"/>
      <c r="B19" s="3038"/>
      <c r="C19" s="3039"/>
      <c r="D19" s="3039" t="s">
        <v>3235</v>
      </c>
      <c r="E19" s="3040"/>
      <c r="F19" s="3041" t="s">
        <v>3238</v>
      </c>
      <c r="G19" s="3040"/>
      <c r="H19" s="3039"/>
      <c r="I19" s="3039"/>
      <c r="J19" s="3042"/>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2"/>
      <c r="AH19" s="1978"/>
      <c r="AI19" s="561"/>
      <c r="AJ19" s="561"/>
      <c r="AK19" s="1897"/>
    </row>
    <row r="20" spans="1:37" s="1856" customFormat="1" ht="14.25">
      <c r="A20" s="3483" t="s">
        <v>3240</v>
      </c>
      <c r="B20" s="159" t="s">
        <v>1989</v>
      </c>
      <c r="C20" s="3028">
        <f>ROUND(IF(F21="与级别开发程度一致",0,(G21-E21)/C21),0)</f>
        <v>0</v>
      </c>
      <c r="D20" s="3043" t="s">
        <v>1993</v>
      </c>
      <c r="E20" s="3044"/>
      <c r="F20" s="3489" t="s">
        <v>1990</v>
      </c>
      <c r="G20" s="3490"/>
      <c r="H20" s="3029"/>
      <c r="I20" s="3029"/>
      <c r="J20" s="3030"/>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6" customFormat="1" ht="26.25" thickBot="1">
      <c r="A21" s="3484"/>
      <c r="B21" s="2000" t="s">
        <v>1992</v>
      </c>
      <c r="C21" s="2001">
        <f>IF(E3="M4科研用地",SUMPRODUCT((修正!A2:A7=E3)*(修正!B1:M1=G2)*(修正!B2:M7)),SUMPRODUCT((修正!A2:A7=E2)*(修正!B1:M1=G2)*(修正!B2:M7)))</f>
        <v>3.5</v>
      </c>
      <c r="D21" s="179" t="str">
        <f>IF(OR(G2="八级",G2="九级",G2="十级",G2="十一级",G2="十二级"),"五通一平","七通一平")</f>
        <v>七通一平</v>
      </c>
      <c r="E21" s="1991">
        <f>SUMPRODUCT((修正!B1:M1=G2)*(修正!B17:M17))</f>
        <v>375</v>
      </c>
      <c r="F21" s="1992" t="s">
        <v>3432</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6" customFormat="1" ht="15.75" thickBot="1">
      <c r="A22" s="1994" t="s">
        <v>363</v>
      </c>
      <c r="B22" s="1995" t="s">
        <v>1995</v>
      </c>
      <c r="C22" s="1996">
        <f>SUMIF(修正!C20:C51,E3,修正!E20:E51)</f>
        <v>1</v>
      </c>
      <c r="D22" s="1997"/>
      <c r="E22" s="1998"/>
      <c r="F22" s="1998"/>
      <c r="G22" s="1998"/>
      <c r="H22" s="1998"/>
      <c r="I22" s="1998"/>
      <c r="J22" s="1999"/>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90" t="s">
        <v>364</v>
      </c>
      <c r="B23" s="1891" t="s">
        <v>1996</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4" t="s">
        <v>1997</v>
      </c>
      <c r="E23" s="715">
        <v>44197</v>
      </c>
      <c r="F23" s="1894" t="s">
        <v>1998</v>
      </c>
      <c r="G23" s="716">
        <f>'数据-取费表'!B2</f>
        <v>45804</v>
      </c>
      <c r="H23" s="3045" t="s">
        <v>3242</v>
      </c>
      <c r="I23" s="3046" t="str">
        <f>IF(H23="季度增幅（自定义）",SUMIF(N25:N28,E2,O25:O28),"")</f>
        <v/>
      </c>
      <c r="J23" s="3138" t="s">
        <v>3241</v>
      </c>
      <c r="K23" s="1059"/>
      <c r="L23" s="1895" t="s">
        <v>1999</v>
      </c>
      <c r="M23" s="1239">
        <f>ROUND(SUMIF(地价!B2:G2,E2,地价!B16:G16),0)</f>
        <v>350</v>
      </c>
      <c r="N23" s="1896" t="s">
        <v>2000</v>
      </c>
      <c r="O23" s="717">
        <f>ROUNDDOWN(DATEDIF(E23,G23,"M")/3,0)</f>
        <v>17</v>
      </c>
      <c r="P23" s="1055"/>
      <c r="Q23" s="2549"/>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2001</v>
      </c>
      <c r="C24" s="718">
        <f>ROUND(POWER(1+G24,J24-I24)*(POWER(1+G24,I24)-1)/(POWER(1+G24,J24)-1),4)</f>
        <v>0.8498</v>
      </c>
      <c r="D24" s="1900" t="s">
        <v>2002</v>
      </c>
      <c r="E24" s="1246">
        <f>存贷款利率!E28/100</f>
        <v>4.3499999999999997E-2</v>
      </c>
      <c r="F24" s="1900" t="s">
        <v>1994</v>
      </c>
      <c r="G24" s="722">
        <f>SUMIF(M30:Q30,E2,M33:Q33)</f>
        <v>5.5E-2</v>
      </c>
      <c r="H24" s="1900" t="s">
        <v>2003</v>
      </c>
      <c r="I24" s="723">
        <f>SUMIF('数据-取费表'!C6:C15,E2,'数据-取费表'!F6:F15)/COUNTIF('数据-取费表'!C6:C15,E2)</f>
        <v>29.27</v>
      </c>
      <c r="J24" s="724">
        <f>IF(E2="住宅",70,IF(E2="商业",40,50))</f>
        <v>50</v>
      </c>
      <c r="K24" s="1059"/>
      <c r="L24" s="1901" t="s">
        <v>2004</v>
      </c>
      <c r="M24" s="1240">
        <f>ROUND(SUMPRODUCT((地价!A4:A16=YEAR(G23)&amp;"-"&amp;ROUNDUP(MONTH(G23)/3,0))*(地价!B2:G2=E2)*(地价!B4:G16)),0)</f>
        <v>0</v>
      </c>
      <c r="N24" s="1902" t="s">
        <v>2005</v>
      </c>
      <c r="O24" s="1903" t="s">
        <v>2006</v>
      </c>
      <c r="P24" s="1904" t="s">
        <v>2007</v>
      </c>
      <c r="Q24" s="1842"/>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5" t="s">
        <v>366</v>
      </c>
      <c r="B25" s="1906" t="s">
        <v>3321</v>
      </c>
      <c r="C25" s="461">
        <f>IF(B25="容积率修正",IF(G3&lt;10,D26,J26),C27)</f>
        <v>0.91239999999999999</v>
      </c>
      <c r="D25" s="1907"/>
      <c r="E25" s="1907"/>
      <c r="F25" s="1907"/>
      <c r="G25" s="1907"/>
      <c r="H25" s="1907"/>
      <c r="I25" s="1907"/>
      <c r="J25" s="1908"/>
      <c r="K25" s="1059"/>
      <c r="L25" s="2549"/>
      <c r="M25" s="2549"/>
      <c r="N25" s="1909" t="s">
        <v>2008</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2009</v>
      </c>
      <c r="B26" s="1910" t="s">
        <v>2010</v>
      </c>
      <c r="C26" s="1910" t="s">
        <v>3243</v>
      </c>
      <c r="D26" s="1261">
        <f>IF(E26=G26,F26,IF(G3&lt;10,ROUND(F26+(H26-F26)*(G3-E26)/(G26-E26),4),"——"))</f>
        <v>0.91239999999999999</v>
      </c>
      <c r="E26" s="706">
        <f>ROUNDDOWN(G3,1)</f>
        <v>7.6</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0.91339999999999999</v>
      </c>
      <c r="G26" s="706">
        <f>ROUNDUP(G3,1)</f>
        <v>7.6999999999999993</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0.91190000000000004</v>
      </c>
      <c r="I26" s="1910" t="s">
        <v>3244</v>
      </c>
      <c r="J26" s="374" t="str">
        <f>IF(G3&gt;=10,D115,"——")</f>
        <v>——</v>
      </c>
      <c r="K26" s="1059"/>
      <c r="L26" s="2549"/>
      <c r="M26" s="2549"/>
      <c r="N26" s="1909" t="s">
        <v>2011</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2012</v>
      </c>
      <c r="B27" s="1911" t="s">
        <v>2013</v>
      </c>
      <c r="C27" s="789">
        <f>ROUND(IF(I3&lt;6,SUMPRODUCT((B106:B110=I3)*(C105:N105=G2)*(C106:N110)),SUMIF(C105:N105,G2,C112:N112)),4)</f>
        <v>0</v>
      </c>
      <c r="D27" s="1840"/>
      <c r="E27" s="1840"/>
      <c r="F27" s="1912"/>
      <c r="G27" s="1913"/>
      <c r="H27" s="1914"/>
      <c r="I27" s="1915"/>
      <c r="J27" s="1916"/>
      <c r="K27" s="1054"/>
      <c r="L27" s="1842"/>
      <c r="M27" s="1842"/>
      <c r="N27" s="1909" t="s">
        <v>2014</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2015</v>
      </c>
      <c r="C28" s="714">
        <f>SUMIF(A47:A101,E2,B47:B101)</f>
        <v>1.0651999999999999</v>
      </c>
      <c r="D28" s="1892"/>
      <c r="E28" s="1917"/>
      <c r="F28" s="1917"/>
      <c r="G28" s="1917"/>
      <c r="H28" s="1917"/>
      <c r="I28" s="1917"/>
      <c r="J28" s="1918"/>
      <c r="K28" s="1059"/>
      <c r="L28" s="2549"/>
      <c r="M28" s="2549"/>
      <c r="N28" s="1919" t="s">
        <v>2016</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2017</v>
      </c>
      <c r="C29" s="719"/>
      <c r="D29" s="1866"/>
      <c r="E29" s="1866"/>
      <c r="F29" s="1921"/>
      <c r="G29" s="1866"/>
      <c r="H29" s="1866"/>
      <c r="I29" s="1866"/>
      <c r="J29" s="1867"/>
      <c r="K29" s="1054"/>
      <c r="L29" s="1842"/>
      <c r="M29" s="1842"/>
      <c r="N29" s="2546" t="s">
        <v>2018</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2019</v>
      </c>
      <c r="C30" s="2143">
        <f>IF(B25="容积率修正",E33+SUM(E37:E42),SUM(V2:V16)+SUM(E37:E42))</f>
        <v>275712</v>
      </c>
      <c r="D30" s="1923"/>
      <c r="E30" s="1840"/>
      <c r="F30" s="1924"/>
      <c r="G30" s="1840"/>
      <c r="H30" s="1840"/>
      <c r="I30" s="1840"/>
      <c r="J30" s="1925"/>
      <c r="K30" s="1054"/>
      <c r="L30" s="3052" t="s">
        <v>1931</v>
      </c>
      <c r="M30" s="3053" t="s">
        <v>1985</v>
      </c>
      <c r="N30" s="3053" t="s">
        <v>1986</v>
      </c>
      <c r="O30" s="3053" t="s">
        <v>1987</v>
      </c>
      <c r="P30" s="3053" t="s">
        <v>1988</v>
      </c>
      <c r="Q30" s="3056" t="s">
        <v>3248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2020</v>
      </c>
      <c r="C31" s="720">
        <f>E34+SUM(I37:I42)</f>
        <v>0</v>
      </c>
      <c r="D31" s="1927"/>
      <c r="E31" s="1928"/>
      <c r="F31" s="1929"/>
      <c r="G31" s="1928"/>
      <c r="H31" s="1928"/>
      <c r="I31" s="1928"/>
      <c r="J31" s="1930"/>
      <c r="K31" s="1054"/>
      <c r="L31" s="3054" t="s">
        <v>1991</v>
      </c>
      <c r="M31" s="162">
        <v>0.25</v>
      </c>
      <c r="N31" s="162">
        <v>0.2</v>
      </c>
      <c r="O31" s="162">
        <v>0.15</v>
      </c>
      <c r="P31" s="162">
        <v>0.1</v>
      </c>
      <c r="Q31" s="3049">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2021</v>
      </c>
      <c r="C32" s="1933" t="s">
        <v>2022</v>
      </c>
      <c r="D32" s="1933" t="s">
        <v>2023</v>
      </c>
      <c r="E32" s="1934" t="s">
        <v>2024</v>
      </c>
      <c r="F32" s="1935"/>
      <c r="G32" s="1879"/>
      <c r="H32" s="1879"/>
      <c r="I32" s="1879"/>
      <c r="J32" s="1880"/>
      <c r="K32" s="1054"/>
      <c r="L32" s="3055" t="s">
        <v>1994</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2025</v>
      </c>
      <c r="C33" s="167">
        <f>ROUND(C5*C22*C23*C24*C25*C28,0)</f>
        <v>30170</v>
      </c>
      <c r="D33" s="1938">
        <f>'数据-汇总表'!F20</f>
        <v>91386.26999999999</v>
      </c>
      <c r="E33" s="725">
        <f>ROUND(C33*D33/10000,0)</f>
        <v>275712</v>
      </c>
      <c r="F33" s="3047" t="s">
        <v>3246</v>
      </c>
      <c r="G33" s="1939"/>
      <c r="H33" s="1939"/>
      <c r="I33" s="1939"/>
      <c r="J33" s="1940"/>
      <c r="K33" s="1054"/>
      <c r="L33" s="3050" t="s">
        <v>3249</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2026</v>
      </c>
      <c r="C34" s="179">
        <f>ROUND(IF(E2="工业",C33*M42,IF(B25="楼层修正",SUM(V2:V16)*M41*10000/D34,C33*M41)),0)</f>
        <v>7543</v>
      </c>
      <c r="D34" s="1943"/>
      <c r="E34" s="725">
        <f>ROUND(IF(B25="楼层修正",SUM(V2:V16)*M40,C34*D34/10000),0)</f>
        <v>0</v>
      </c>
      <c r="F34" s="1944" t="s">
        <v>2027</v>
      </c>
      <c r="G34" s="1945"/>
      <c r="H34" s="1945"/>
      <c r="I34" s="1945"/>
      <c r="J34" s="1946"/>
      <c r="K34" s="1054"/>
      <c r="L34" s="3050" t="s">
        <v>3250</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2028</v>
      </c>
      <c r="C35" s="3048" t="s">
        <v>3247</v>
      </c>
      <c r="D35" s="1879"/>
      <c r="E35" s="1949"/>
      <c r="F35" s="1949"/>
      <c r="G35" s="1877" t="s">
        <v>2029</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2022</v>
      </c>
      <c r="D36" s="433" t="s">
        <v>2023</v>
      </c>
      <c r="E36" s="433" t="s">
        <v>2024</v>
      </c>
      <c r="F36" s="333" t="s">
        <v>2030</v>
      </c>
      <c r="G36" s="1952" t="s">
        <v>2022</v>
      </c>
      <c r="H36" s="1952" t="s">
        <v>2023</v>
      </c>
      <c r="I36" s="1952" t="s">
        <v>2024</v>
      </c>
      <c r="J36" s="235"/>
      <c r="K36" s="1962" t="s">
        <v>3251</v>
      </c>
      <c r="L36" s="3139">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87"/>
      <c r="B37" s="1953" t="s">
        <v>2031</v>
      </c>
      <c r="C37" s="167">
        <f>ROUND(D5*C22*C23*C24*C28*F37,0)</f>
        <v>23147</v>
      </c>
      <c r="D37" s="1938"/>
      <c r="E37" s="163">
        <f>ROUND(C37*D37/10000,0)</f>
        <v>0</v>
      </c>
      <c r="F37" s="163">
        <f>SUMIF(修正!A57:A68,G2,修正!B57:B68)</f>
        <v>0.7</v>
      </c>
      <c r="G37" s="163">
        <f>ROUND(IF(E2="工业",C37*$M$42,C37*$M$41),0)</f>
        <v>5787</v>
      </c>
      <c r="H37" s="163">
        <f>D37</f>
        <v>0</v>
      </c>
      <c r="I37" s="163">
        <f>ROUND(G37*H37/10000,0)</f>
        <v>0</v>
      </c>
      <c r="J37" s="2751"/>
      <c r="K37" s="3058" t="s">
        <v>3252</v>
      </c>
      <c r="L37" s="1962">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88"/>
      <c r="B38" s="1882" t="s">
        <v>2032</v>
      </c>
      <c r="C38" s="167">
        <f>ROUND(D5*C22*C23*C24*C28*F38,0)</f>
        <v>13227</v>
      </c>
      <c r="D38" s="1938"/>
      <c r="E38" s="163">
        <f t="shared" ref="E38:E42" si="4">ROUND(C38*D38/10000,0)</f>
        <v>0</v>
      </c>
      <c r="F38" s="163">
        <f>SUMIF(修正!A57:A68,G2,修正!C57:C68)</f>
        <v>0.4</v>
      </c>
      <c r="G38" s="163">
        <f>ROUND(IF(E2="工业",C38*$M$42,C38*$M$41),0)</f>
        <v>3307</v>
      </c>
      <c r="H38" s="163">
        <f t="shared" ref="H38:H42" si="5">D38</f>
        <v>0</v>
      </c>
      <c r="I38" s="163">
        <f t="shared" ref="I38:I42" si="6">ROUND(G38*H38/10000,0)</f>
        <v>0</v>
      </c>
      <c r="J38" s="2750"/>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88"/>
      <c r="B39" s="1882" t="s">
        <v>3245</v>
      </c>
      <c r="C39" s="167">
        <f>ROUND(D5*C22*C23*C24*C28*F39,0)</f>
        <v>9920</v>
      </c>
      <c r="D39" s="1938"/>
      <c r="E39" s="163">
        <f t="shared" si="4"/>
        <v>0</v>
      </c>
      <c r="F39" s="163">
        <f>SUMIF(修正!A57:A68,G2,修正!D57:D68)</f>
        <v>0.3</v>
      </c>
      <c r="G39" s="163">
        <f>ROUND(IF(E2="工业",C39*$M$42,C39*$M$41),0)</f>
        <v>2480</v>
      </c>
      <c r="H39" s="163">
        <f t="shared" si="5"/>
        <v>0</v>
      </c>
      <c r="I39" s="163">
        <f t="shared" si="6"/>
        <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2033</v>
      </c>
      <c r="C40" s="163">
        <f>ROUND(D5*C22*C23*C24*C28*F40,0)</f>
        <v>9920</v>
      </c>
      <c r="D40" s="1938"/>
      <c r="E40" s="163">
        <f t="shared" si="4"/>
        <v>0</v>
      </c>
      <c r="F40" s="167">
        <f>SUMIF(修正!A57:A68,G2,修正!E57:E68)</f>
        <v>0.3</v>
      </c>
      <c r="G40" s="163">
        <f>ROUND(IF(E2="工业",C40*$M$42,C40*$M$41),0)</f>
        <v>2480</v>
      </c>
      <c r="H40" s="163">
        <f t="shared" si="5"/>
        <v>0</v>
      </c>
      <c r="I40" s="163">
        <f t="shared" si="6"/>
        <v>0</v>
      </c>
      <c r="J40" s="937"/>
      <c r="L40" s="1955" t="s">
        <v>2034</v>
      </c>
      <c r="M40" s="1956"/>
      <c r="Z40" s="1055"/>
      <c r="AA40" s="1055"/>
      <c r="AB40" s="1055"/>
      <c r="AC40" s="1055"/>
      <c r="AD40" s="1055"/>
      <c r="AE40" s="1055"/>
      <c r="AF40" s="1055"/>
      <c r="AG40" s="1055"/>
      <c r="AH40" s="1055"/>
      <c r="AI40" s="1055"/>
      <c r="AJ40" s="1055"/>
    </row>
    <row r="41" spans="1:37" s="1054" customFormat="1">
      <c r="A41" s="1954"/>
      <c r="B41" s="1882" t="s">
        <v>2035</v>
      </c>
      <c r="C41" s="163">
        <f>ROUND(D5*C22*C23*C44*C28*F41,0)</f>
        <v>9920</v>
      </c>
      <c r="D41" s="1938"/>
      <c r="E41" s="163">
        <f t="shared" si="4"/>
        <v>0</v>
      </c>
      <c r="F41" s="167">
        <f>SUMIF(修正!A57:A68,G2,修正!F57:F68)</f>
        <v>0.3</v>
      </c>
      <c r="G41" s="163">
        <f>ROUND(IF(E2="工业",C41*$M$42,C41*$M$41),0)</f>
        <v>2480</v>
      </c>
      <c r="H41" s="163">
        <f t="shared" si="5"/>
        <v>0</v>
      </c>
      <c r="I41" s="163">
        <f t="shared" si="6"/>
        <v>0</v>
      </c>
      <c r="J41" s="937"/>
      <c r="L41" s="3059" t="s">
        <v>3253</v>
      </c>
      <c r="M41" s="1957">
        <v>0.25</v>
      </c>
      <c r="Z41" s="1055"/>
      <c r="AA41" s="1055"/>
      <c r="AB41" s="1055"/>
      <c r="AC41" s="1055"/>
      <c r="AD41" s="1055"/>
      <c r="AE41" s="1055"/>
      <c r="AF41" s="1055"/>
      <c r="AG41" s="1055"/>
      <c r="AH41" s="1055"/>
      <c r="AI41" s="1055"/>
      <c r="AJ41" s="1055"/>
    </row>
    <row r="42" spans="1:37" s="1054" customFormat="1" ht="13.5" thickBot="1">
      <c r="A42" s="1941"/>
      <c r="B42" s="1958" t="s">
        <v>2036</v>
      </c>
      <c r="C42" s="179">
        <f>ROUND(D5*C22*C23*C44*C28*F42,0)</f>
        <v>6613</v>
      </c>
      <c r="D42" s="1943"/>
      <c r="E42" s="179">
        <f t="shared" si="4"/>
        <v>0</v>
      </c>
      <c r="F42" s="721">
        <f>SUMIF(修正!A57:A68,G2,修正!G57:G68)</f>
        <v>0.2</v>
      </c>
      <c r="G42" s="179">
        <f>ROUND(IF(E2="工业",C42*$M$42,C42*$M$41),0)</f>
        <v>1653</v>
      </c>
      <c r="H42" s="179">
        <f t="shared" si="5"/>
        <v>0</v>
      </c>
      <c r="I42" s="179">
        <f t="shared" si="6"/>
        <v>0</v>
      </c>
      <c r="J42" s="1959"/>
      <c r="L42" s="1960" t="s">
        <v>1988</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2117</v>
      </c>
      <c r="C44" s="333">
        <f>ROUND(POWER(1+E44,H44-G44)*(POWER(1+E44,G44)-1)/(POWER(1+E44,H44)-1),4)</f>
        <v>0.8498</v>
      </c>
      <c r="D44" s="163" t="s">
        <v>1994</v>
      </c>
      <c r="E44" s="1989">
        <f>G24</f>
        <v>5.5E-2</v>
      </c>
      <c r="F44" s="163" t="s">
        <v>2003</v>
      </c>
      <c r="G44" s="175">
        <f>项目基本情况!E15</f>
        <v>29.27</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2037</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2038</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2039</v>
      </c>
      <c r="B49" s="1260" t="s">
        <v>2040</v>
      </c>
      <c r="C49" s="1260" t="s">
        <v>2041</v>
      </c>
      <c r="D49" s="1260" t="s">
        <v>2042</v>
      </c>
      <c r="E49" s="699" t="s">
        <v>2043</v>
      </c>
      <c r="F49" s="1969" t="s">
        <v>2044</v>
      </c>
      <c r="G49" s="1260" t="s">
        <v>310</v>
      </c>
      <c r="H49" s="1970" t="s">
        <v>2045</v>
      </c>
      <c r="I49" s="1260" t="s">
        <v>2046</v>
      </c>
      <c r="J49" s="530" t="s">
        <v>1716</v>
      </c>
      <c r="K49" s="530" t="s">
        <v>1717</v>
      </c>
      <c r="L49" s="530" t="s">
        <v>1718</v>
      </c>
      <c r="M49" s="530" t="s">
        <v>1719</v>
      </c>
      <c r="N49" s="530" t="s">
        <v>1720</v>
      </c>
      <c r="AA49" s="1055"/>
      <c r="AB49" s="1055"/>
      <c r="AC49" s="1055"/>
      <c r="AD49" s="1055"/>
      <c r="AE49" s="1055"/>
      <c r="AF49" s="1055"/>
      <c r="AG49" s="1055"/>
      <c r="AH49" s="1055"/>
      <c r="AI49" s="1055"/>
      <c r="AJ49" s="1055"/>
      <c r="AK49" s="1055"/>
    </row>
    <row r="50" spans="1:37" s="1054" customFormat="1" ht="24.75">
      <c r="A50" s="1968" t="s">
        <v>2047</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5">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8" t="s">
        <v>2048</v>
      </c>
      <c r="B51" s="1260">
        <f>估价对象房地状况!C18</f>
        <v>0</v>
      </c>
      <c r="C51" s="1885"/>
      <c r="D51" s="1000">
        <f t="shared" si="7"/>
        <v>0</v>
      </c>
      <c r="E51" s="701"/>
      <c r="F51" s="1673"/>
      <c r="G51" s="998"/>
      <c r="H51" s="1001" t="str">
        <f t="shared" si="8"/>
        <v>——</v>
      </c>
      <c r="I51" s="3065">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7" t="s">
        <v>3255</v>
      </c>
      <c r="B52" s="1260">
        <f>估价对象房地状况!C19</f>
        <v>0</v>
      </c>
      <c r="C52" s="1885"/>
      <c r="D52" s="1000">
        <f t="shared" si="7"/>
        <v>0</v>
      </c>
      <c r="E52" s="701"/>
      <c r="F52" s="1673"/>
      <c r="G52" s="998"/>
      <c r="H52" s="1001" t="str">
        <f t="shared" si="8"/>
        <v>——</v>
      </c>
      <c r="I52" s="3065">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2049</v>
      </c>
      <c r="B53" s="1972" t="s">
        <v>2050</v>
      </c>
      <c r="C53" s="1885"/>
      <c r="D53" s="1000">
        <f t="shared" si="7"/>
        <v>0</v>
      </c>
      <c r="E53" s="701"/>
      <c r="F53" s="1673"/>
      <c r="G53" s="998"/>
      <c r="H53" s="1001" t="str">
        <f t="shared" si="8"/>
        <v>——</v>
      </c>
      <c r="I53" s="3065">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2051</v>
      </c>
      <c r="B54" s="1260">
        <f>估价对象房地状况!C24</f>
        <v>0</v>
      </c>
      <c r="C54" s="1885"/>
      <c r="D54" s="1000">
        <f t="shared" si="7"/>
        <v>0</v>
      </c>
      <c r="E54" s="701"/>
      <c r="F54" s="1673"/>
      <c r="G54" s="998"/>
      <c r="H54" s="1001" t="str">
        <f t="shared" si="8"/>
        <v>——</v>
      </c>
      <c r="I54" s="3065">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2052</v>
      </c>
      <c r="B55" s="1973" t="s">
        <v>2053</v>
      </c>
      <c r="C55" s="1885"/>
      <c r="D55" s="1000">
        <f t="shared" si="7"/>
        <v>0</v>
      </c>
      <c r="E55" s="701"/>
      <c r="F55" s="1673"/>
      <c r="G55" s="998"/>
      <c r="H55" s="1001" t="str">
        <f t="shared" si="8"/>
        <v>——</v>
      </c>
      <c r="I55" s="3065">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4" t="s">
        <v>2054</v>
      </c>
      <c r="B56" s="1238">
        <f>估价对象房地状况!C21</f>
        <v>0</v>
      </c>
      <c r="C56" s="1885"/>
      <c r="D56" s="1000">
        <f t="shared" si="7"/>
        <v>0</v>
      </c>
      <c r="E56" s="701"/>
      <c r="F56" s="1673"/>
      <c r="G56" s="998"/>
      <c r="H56" s="1001" t="str">
        <f t="shared" si="8"/>
        <v>——</v>
      </c>
      <c r="I56" s="3065">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4" t="s">
        <v>2055</v>
      </c>
      <c r="B57" s="1260">
        <f>估价对象房地状况!C22</f>
        <v>0</v>
      </c>
      <c r="C57" s="1885"/>
      <c r="D57" s="1000">
        <f t="shared" si="7"/>
        <v>0</v>
      </c>
      <c r="E57" s="701"/>
      <c r="F57" s="1673"/>
      <c r="G57" s="998"/>
      <c r="H57" s="1001" t="str">
        <f t="shared" si="8"/>
        <v>——</v>
      </c>
      <c r="I57" s="3065">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5" t="s">
        <v>2056</v>
      </c>
      <c r="B58" s="1976">
        <f>估价对象房地状况!C20</f>
        <v>0</v>
      </c>
      <c r="C58" s="1885"/>
      <c r="D58" s="1000">
        <f t="shared" si="7"/>
        <v>0</v>
      </c>
      <c r="E58" s="702"/>
      <c r="F58" s="1673"/>
      <c r="G58" s="998"/>
      <c r="H58" s="1001" t="str">
        <f t="shared" si="8"/>
        <v>——</v>
      </c>
      <c r="I58" s="3066">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2057</v>
      </c>
      <c r="B59" s="1966">
        <f>1+E61</f>
        <v>1.0651999999999999</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2039</v>
      </c>
      <c r="B60" s="1260"/>
      <c r="C60" s="1260" t="s">
        <v>2041</v>
      </c>
      <c r="D60" s="1260" t="s">
        <v>2042</v>
      </c>
      <c r="E60" s="699" t="s">
        <v>2043</v>
      </c>
      <c r="F60" s="1969" t="s">
        <v>2058</v>
      </c>
      <c r="G60" s="1260" t="s">
        <v>310</v>
      </c>
      <c r="H60" s="1970" t="s">
        <v>2045</v>
      </c>
      <c r="I60" s="1260" t="s">
        <v>2046</v>
      </c>
      <c r="J60" s="530" t="s">
        <v>1716</v>
      </c>
      <c r="K60" s="530" t="s">
        <v>1717</v>
      </c>
      <c r="L60" s="530" t="s">
        <v>1718</v>
      </c>
      <c r="M60" s="530" t="s">
        <v>1719</v>
      </c>
      <c r="N60" s="530" t="s">
        <v>1720</v>
      </c>
      <c r="AA60" s="1055"/>
      <c r="AB60" s="1055"/>
      <c r="AC60" s="1055"/>
      <c r="AD60" s="1055"/>
      <c r="AE60" s="1055"/>
      <c r="AF60" s="1055"/>
      <c r="AG60" s="1055"/>
      <c r="AH60" s="1055"/>
      <c r="AI60" s="1055"/>
      <c r="AJ60" s="1055"/>
      <c r="AK60" s="1055"/>
    </row>
    <row r="61" spans="1:37" s="1054" customFormat="1" ht="24">
      <c r="A61" s="1968" t="s">
        <v>2059</v>
      </c>
      <c r="B61" s="1971">
        <f>估价对象房地状况!C17</f>
        <v>0</v>
      </c>
      <c r="C61" s="1885" t="s">
        <v>3434</v>
      </c>
      <c r="D61" s="1000">
        <f t="shared" ref="D61:D69" si="12">SUMIF($J$60:$N$60,C61,J61:N61)</f>
        <v>2.4400000000000002E-2</v>
      </c>
      <c r="E61" s="700">
        <f>ROUND(SUM(D61:D69),4)</f>
        <v>6.5199999999999994E-2</v>
      </c>
      <c r="F61" s="1673">
        <f>IF(E2="办公",SUMIF(L1:L12,G2,N1:N12),"——")</f>
        <v>9.8000000000000004E-2</v>
      </c>
      <c r="G61" s="998">
        <f>H61</f>
        <v>1.2200000000000001E-2</v>
      </c>
      <c r="H61" s="1001">
        <f t="shared" ref="H61:H69" si="13">IFERROR(ROUNDDOWN($F$61*I61/2,4),"——")</f>
        <v>1.2200000000000001E-2</v>
      </c>
      <c r="I61" s="3065">
        <v>0.25</v>
      </c>
      <c r="J61" s="999">
        <f t="shared" ref="J61:J69" si="14">K61+$G61</f>
        <v>2.4400000000000002E-2</v>
      </c>
      <c r="K61" s="999">
        <f t="shared" ref="K61:K69" si="15">$L61+$G61</f>
        <v>1.2200000000000001E-2</v>
      </c>
      <c r="L61" s="999">
        <v>0</v>
      </c>
      <c r="M61" s="999">
        <f t="shared" ref="M61:N69" si="16">L61-$G61</f>
        <v>-1.2200000000000001E-2</v>
      </c>
      <c r="N61" s="999">
        <f t="shared" si="16"/>
        <v>-2.4400000000000002E-2</v>
      </c>
      <c r="AA61" s="1055"/>
      <c r="AB61" s="1055"/>
      <c r="AC61" s="1055"/>
      <c r="AD61" s="1055"/>
      <c r="AE61" s="1055"/>
      <c r="AF61" s="1055"/>
      <c r="AG61" s="1055"/>
      <c r="AH61" s="1055"/>
      <c r="AI61" s="1055"/>
      <c r="AJ61" s="1055"/>
      <c r="AK61" s="1055"/>
    </row>
    <row r="62" spans="1:37" s="1054" customFormat="1" ht="14.25">
      <c r="A62" s="1968" t="s">
        <v>2048</v>
      </c>
      <c r="B62" s="1260">
        <f>估价对象房地状况!C18</f>
        <v>0</v>
      </c>
      <c r="C62" s="1885" t="s">
        <v>3433</v>
      </c>
      <c r="D62" s="1000">
        <f t="shared" si="12"/>
        <v>1.2699999999999999E-2</v>
      </c>
      <c r="E62" s="701"/>
      <c r="F62" s="1673"/>
      <c r="G62" s="998">
        <f t="shared" ref="G62:G69" si="17">H62</f>
        <v>1.2699999999999999E-2</v>
      </c>
      <c r="H62" s="1001">
        <f t="shared" si="13"/>
        <v>1.2699999999999999E-2</v>
      </c>
      <c r="I62" s="3065">
        <v>0.26</v>
      </c>
      <c r="J62" s="999">
        <f t="shared" si="14"/>
        <v>2.5399999999999999E-2</v>
      </c>
      <c r="K62" s="999">
        <f t="shared" si="15"/>
        <v>1.2699999999999999E-2</v>
      </c>
      <c r="L62" s="999">
        <v>0</v>
      </c>
      <c r="M62" s="999">
        <f t="shared" si="16"/>
        <v>-1.2699999999999999E-2</v>
      </c>
      <c r="N62" s="999">
        <f t="shared" si="16"/>
        <v>-2.5399999999999999E-2</v>
      </c>
      <c r="AA62" s="1055"/>
      <c r="AB62" s="1055"/>
      <c r="AC62" s="1055"/>
      <c r="AD62" s="1055"/>
      <c r="AE62" s="1055"/>
      <c r="AF62" s="1055"/>
      <c r="AG62" s="1055"/>
      <c r="AH62" s="1055"/>
      <c r="AI62" s="1055"/>
      <c r="AJ62" s="1055"/>
      <c r="AK62" s="1055"/>
    </row>
    <row r="63" spans="1:37" s="1054" customFormat="1" ht="36">
      <c r="A63" s="3067" t="s">
        <v>3255</v>
      </c>
      <c r="B63" s="1260">
        <f>估价对象房地状况!C19</f>
        <v>0</v>
      </c>
      <c r="C63" s="1885" t="s">
        <v>3433</v>
      </c>
      <c r="D63" s="1000">
        <f t="shared" si="12"/>
        <v>5.3E-3</v>
      </c>
      <c r="E63" s="701"/>
      <c r="F63" s="1673"/>
      <c r="G63" s="998">
        <f t="shared" si="17"/>
        <v>5.3E-3</v>
      </c>
      <c r="H63" s="1001">
        <f t="shared" si="13"/>
        <v>5.3E-3</v>
      </c>
      <c r="I63" s="3065">
        <v>0.11</v>
      </c>
      <c r="J63" s="999">
        <f t="shared" si="14"/>
        <v>1.06E-2</v>
      </c>
      <c r="K63" s="999">
        <f t="shared" si="15"/>
        <v>5.3E-3</v>
      </c>
      <c r="L63" s="999">
        <v>0</v>
      </c>
      <c r="M63" s="999">
        <f t="shared" si="16"/>
        <v>-5.3E-3</v>
      </c>
      <c r="N63" s="999">
        <f t="shared" si="16"/>
        <v>-1.06E-2</v>
      </c>
      <c r="AA63" s="1055"/>
      <c r="AB63" s="1055"/>
      <c r="AC63" s="1055"/>
      <c r="AD63" s="1055"/>
      <c r="AE63" s="1055"/>
      <c r="AF63" s="1055"/>
      <c r="AG63" s="1055"/>
      <c r="AH63" s="1055"/>
      <c r="AI63" s="1055"/>
      <c r="AJ63" s="1055"/>
      <c r="AK63" s="1055"/>
    </row>
    <row r="64" spans="1:37" s="1054" customFormat="1" ht="36.75">
      <c r="A64" s="1968" t="s">
        <v>2049</v>
      </c>
      <c r="B64" s="1972" t="s">
        <v>2050</v>
      </c>
      <c r="C64" s="1885" t="s">
        <v>3433</v>
      </c>
      <c r="D64" s="1000">
        <f t="shared" si="12"/>
        <v>2.3999999999999998E-3</v>
      </c>
      <c r="E64" s="701"/>
      <c r="F64" s="1673"/>
      <c r="G64" s="998">
        <f t="shared" si="17"/>
        <v>2.3999999999999998E-3</v>
      </c>
      <c r="H64" s="1001">
        <f t="shared" si="13"/>
        <v>2.3999999999999998E-3</v>
      </c>
      <c r="I64" s="3065">
        <v>0.05</v>
      </c>
      <c r="J64" s="999">
        <f t="shared" si="14"/>
        <v>4.7999999999999996E-3</v>
      </c>
      <c r="K64" s="999">
        <f t="shared" si="15"/>
        <v>2.3999999999999998E-3</v>
      </c>
      <c r="L64" s="999">
        <v>0</v>
      </c>
      <c r="M64" s="999">
        <f t="shared" si="16"/>
        <v>-2.3999999999999998E-3</v>
      </c>
      <c r="N64" s="999">
        <f t="shared" si="16"/>
        <v>-4.7999999999999996E-3</v>
      </c>
      <c r="AA64" s="1055"/>
      <c r="AB64" s="1055"/>
      <c r="AC64" s="1055"/>
      <c r="AD64" s="1055"/>
      <c r="AE64" s="1055"/>
      <c r="AF64" s="1055"/>
      <c r="AG64" s="1055"/>
      <c r="AH64" s="1055"/>
      <c r="AI64" s="1055"/>
      <c r="AJ64" s="1055"/>
      <c r="AK64" s="1055"/>
    </row>
    <row r="65" spans="1:37" s="1054" customFormat="1" ht="24">
      <c r="A65" s="1968" t="s">
        <v>2051</v>
      </c>
      <c r="B65" s="1260">
        <f>估价对象房地状况!C24</f>
        <v>0</v>
      </c>
      <c r="C65" s="1885" t="s">
        <v>3433</v>
      </c>
      <c r="D65" s="1000">
        <f t="shared" si="12"/>
        <v>2.3999999999999998E-3</v>
      </c>
      <c r="E65" s="701"/>
      <c r="F65" s="1673"/>
      <c r="G65" s="998">
        <f t="shared" si="17"/>
        <v>2.3999999999999998E-3</v>
      </c>
      <c r="H65" s="1001">
        <f t="shared" si="13"/>
        <v>2.3999999999999998E-3</v>
      </c>
      <c r="I65" s="3065">
        <v>0.05</v>
      </c>
      <c r="J65" s="999">
        <f t="shared" si="14"/>
        <v>4.7999999999999996E-3</v>
      </c>
      <c r="K65" s="999">
        <f t="shared" si="15"/>
        <v>2.3999999999999998E-3</v>
      </c>
      <c r="L65" s="999">
        <v>0</v>
      </c>
      <c r="M65" s="999">
        <f t="shared" si="16"/>
        <v>-2.3999999999999998E-3</v>
      </c>
      <c r="N65" s="999">
        <f t="shared" si="16"/>
        <v>-4.7999999999999996E-3</v>
      </c>
      <c r="AA65" s="1055"/>
      <c r="AB65" s="1055"/>
      <c r="AC65" s="1055"/>
      <c r="AD65" s="1055"/>
      <c r="AE65" s="1055"/>
      <c r="AF65" s="1055"/>
      <c r="AG65" s="1055"/>
      <c r="AH65" s="1055"/>
      <c r="AI65" s="1055"/>
      <c r="AJ65" s="1055"/>
      <c r="AK65" s="1055"/>
    </row>
    <row r="66" spans="1:37" s="1054" customFormat="1" ht="24">
      <c r="A66" s="1968" t="s">
        <v>2052</v>
      </c>
      <c r="B66" s="1973" t="s">
        <v>2053</v>
      </c>
      <c r="C66" s="1885" t="s">
        <v>3433</v>
      </c>
      <c r="D66" s="1000">
        <f t="shared" si="12"/>
        <v>2.8999999999999998E-3</v>
      </c>
      <c r="E66" s="701"/>
      <c r="F66" s="1673"/>
      <c r="G66" s="998">
        <f t="shared" si="17"/>
        <v>2.8999999999999998E-3</v>
      </c>
      <c r="H66" s="1001">
        <f t="shared" si="13"/>
        <v>2.8999999999999998E-3</v>
      </c>
      <c r="I66" s="3065">
        <v>0.06</v>
      </c>
      <c r="J66" s="999">
        <f t="shared" si="14"/>
        <v>5.7999999999999996E-3</v>
      </c>
      <c r="K66" s="999">
        <f t="shared" si="15"/>
        <v>2.8999999999999998E-3</v>
      </c>
      <c r="L66" s="999">
        <v>0</v>
      </c>
      <c r="M66" s="999">
        <f t="shared" si="16"/>
        <v>-2.8999999999999998E-3</v>
      </c>
      <c r="N66" s="999">
        <f t="shared" si="16"/>
        <v>-5.7999999999999996E-3</v>
      </c>
      <c r="AA66" s="1055"/>
      <c r="AB66" s="1055"/>
      <c r="AC66" s="1055"/>
      <c r="AD66" s="1055"/>
      <c r="AE66" s="1055"/>
      <c r="AF66" s="1055"/>
      <c r="AG66" s="1055"/>
      <c r="AH66" s="1055"/>
      <c r="AI66" s="1055"/>
      <c r="AJ66" s="1055"/>
      <c r="AK66" s="1055"/>
    </row>
    <row r="67" spans="1:37" s="1054" customFormat="1" ht="24">
      <c r="A67" s="1968" t="s">
        <v>2054</v>
      </c>
      <c r="B67" s="1238">
        <f>估价对象房地状况!C21</f>
        <v>0</v>
      </c>
      <c r="C67" s="1885" t="s">
        <v>3433</v>
      </c>
      <c r="D67" s="1000">
        <f t="shared" si="12"/>
        <v>2.8999999999999998E-3</v>
      </c>
      <c r="E67" s="701"/>
      <c r="F67" s="1673"/>
      <c r="G67" s="998">
        <f t="shared" si="17"/>
        <v>2.8999999999999998E-3</v>
      </c>
      <c r="H67" s="1001">
        <f t="shared" si="13"/>
        <v>2.8999999999999998E-3</v>
      </c>
      <c r="I67" s="3065">
        <v>0.06</v>
      </c>
      <c r="J67" s="999">
        <f t="shared" si="14"/>
        <v>5.7999999999999996E-3</v>
      </c>
      <c r="K67" s="999">
        <f t="shared" si="15"/>
        <v>2.8999999999999998E-3</v>
      </c>
      <c r="L67" s="999">
        <v>0</v>
      </c>
      <c r="M67" s="999">
        <f t="shared" si="16"/>
        <v>-2.8999999999999998E-3</v>
      </c>
      <c r="N67" s="999">
        <f t="shared" si="16"/>
        <v>-5.7999999999999996E-3</v>
      </c>
      <c r="AA67" s="1055"/>
      <c r="AB67" s="1055"/>
      <c r="AC67" s="1055"/>
      <c r="AD67" s="1055"/>
      <c r="AE67" s="1055"/>
      <c r="AF67" s="1055"/>
      <c r="AG67" s="1055"/>
      <c r="AH67" s="1055"/>
      <c r="AI67" s="1055"/>
      <c r="AJ67" s="1055"/>
      <c r="AK67" s="1055"/>
    </row>
    <row r="68" spans="1:37" s="1054" customFormat="1" ht="24">
      <c r="A68" s="1968" t="s">
        <v>2055</v>
      </c>
      <c r="B68" s="1238">
        <f>估价对象房地状况!C22</f>
        <v>0</v>
      </c>
      <c r="C68" s="1885" t="s">
        <v>3434</v>
      </c>
      <c r="D68" s="1000">
        <f t="shared" si="12"/>
        <v>8.8000000000000005E-3</v>
      </c>
      <c r="E68" s="701"/>
      <c r="F68" s="1673"/>
      <c r="G68" s="998">
        <f t="shared" si="17"/>
        <v>4.4000000000000003E-3</v>
      </c>
      <c r="H68" s="1001">
        <f t="shared" si="13"/>
        <v>4.4000000000000003E-3</v>
      </c>
      <c r="I68" s="3065">
        <v>0.09</v>
      </c>
      <c r="J68" s="999">
        <f t="shared" si="14"/>
        <v>8.8000000000000005E-3</v>
      </c>
      <c r="K68" s="999">
        <f t="shared" si="15"/>
        <v>4.4000000000000003E-3</v>
      </c>
      <c r="L68" s="999">
        <v>0</v>
      </c>
      <c r="M68" s="999">
        <f t="shared" si="16"/>
        <v>-4.4000000000000003E-3</v>
      </c>
      <c r="N68" s="999">
        <f t="shared" si="16"/>
        <v>-8.8000000000000005E-3</v>
      </c>
      <c r="AA68" s="1055"/>
      <c r="AB68" s="1055"/>
      <c r="AC68" s="1055"/>
      <c r="AD68" s="1055"/>
      <c r="AE68" s="1055"/>
      <c r="AF68" s="1055"/>
      <c r="AG68" s="1055"/>
      <c r="AH68" s="1055"/>
      <c r="AI68" s="1055"/>
      <c r="AJ68" s="1055"/>
      <c r="AK68" s="1055"/>
    </row>
    <row r="69" spans="1:37" s="1054" customFormat="1" ht="24.75" thickBot="1">
      <c r="A69" s="1975" t="s">
        <v>2056</v>
      </c>
      <c r="B69" s="1977">
        <f>估价对象房地状况!C20</f>
        <v>0</v>
      </c>
      <c r="C69" s="1885" t="s">
        <v>3433</v>
      </c>
      <c r="D69" s="1000">
        <f t="shared" si="12"/>
        <v>3.3999999999999998E-3</v>
      </c>
      <c r="E69" s="702"/>
      <c r="F69" s="1673"/>
      <c r="G69" s="998">
        <f t="shared" si="17"/>
        <v>3.3999999999999998E-3</v>
      </c>
      <c r="H69" s="1001">
        <f t="shared" si="13"/>
        <v>3.3999999999999998E-3</v>
      </c>
      <c r="I69" s="3066">
        <v>7.0000000000000007E-2</v>
      </c>
      <c r="J69" s="999">
        <f t="shared" si="14"/>
        <v>6.7999999999999996E-3</v>
      </c>
      <c r="K69" s="999">
        <f t="shared" si="15"/>
        <v>3.3999999999999998E-3</v>
      </c>
      <c r="L69" s="999">
        <v>0</v>
      </c>
      <c r="M69" s="999">
        <f t="shared" si="16"/>
        <v>-3.3999999999999998E-3</v>
      </c>
      <c r="N69" s="999">
        <f t="shared" si="16"/>
        <v>-6.7999999999999996E-3</v>
      </c>
      <c r="AA69" s="1055"/>
      <c r="AB69" s="1055"/>
      <c r="AC69" s="1055"/>
      <c r="AD69" s="1055"/>
      <c r="AE69" s="1055"/>
      <c r="AF69" s="1055"/>
      <c r="AG69" s="1055"/>
      <c r="AH69" s="1055"/>
      <c r="AI69" s="1055"/>
      <c r="AJ69" s="1055"/>
      <c r="AK69" s="1055"/>
    </row>
    <row r="70" spans="1:37" s="1054" customFormat="1" ht="15">
      <c r="A70" s="1965" t="s">
        <v>2060</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2039</v>
      </c>
      <c r="B71" s="1260"/>
      <c r="C71" s="1260" t="s">
        <v>2041</v>
      </c>
      <c r="D71" s="1260" t="s">
        <v>2042</v>
      </c>
      <c r="E71" s="699" t="s">
        <v>2043</v>
      </c>
      <c r="F71" s="1969" t="s">
        <v>2058</v>
      </c>
      <c r="G71" s="1260" t="s">
        <v>310</v>
      </c>
      <c r="H71" s="1970" t="s">
        <v>2045</v>
      </c>
      <c r="I71" s="1260" t="s">
        <v>2046</v>
      </c>
      <c r="J71" s="530" t="s">
        <v>1716</v>
      </c>
      <c r="K71" s="530" t="s">
        <v>1717</v>
      </c>
      <c r="L71" s="530" t="s">
        <v>1718</v>
      </c>
      <c r="M71" s="530" t="s">
        <v>1719</v>
      </c>
      <c r="N71" s="530" t="s">
        <v>1720</v>
      </c>
      <c r="AA71" s="1055"/>
      <c r="AB71" s="1055"/>
      <c r="AC71" s="1055"/>
      <c r="AD71" s="1055"/>
      <c r="AE71" s="1055"/>
      <c r="AF71" s="1055"/>
      <c r="AG71" s="1055"/>
      <c r="AH71" s="1055"/>
      <c r="AI71" s="1055"/>
      <c r="AJ71" s="1055"/>
      <c r="AK71" s="1055"/>
    </row>
    <row r="72" spans="1:37" s="1054" customFormat="1" ht="24">
      <c r="A72" s="1968" t="s">
        <v>2061</v>
      </c>
      <c r="B72" s="1971">
        <f>估价对象房地状况!C15</f>
        <v>0</v>
      </c>
      <c r="C72" s="1885"/>
      <c r="D72" s="1000">
        <f t="shared" ref="D72:D80" si="18">SUMIF($J$71:$N$71,C72,J72:N72)</f>
        <v>0</v>
      </c>
      <c r="E72" s="700">
        <f>ROUND(SUM(D72:D80),4)</f>
        <v>0</v>
      </c>
      <c r="F72" s="1673" t="str">
        <f>IF(E2="住宅",SUMIF(L1:L12,G2,N1:N12),"——")</f>
        <v>——</v>
      </c>
      <c r="G72" s="998"/>
      <c r="H72" s="1001" t="str">
        <f t="shared" ref="H72:H80" si="19">IFERROR(ROUNDDOWN($F$72*I72/2,4),"——")</f>
        <v>——</v>
      </c>
      <c r="I72" s="3065">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8" t="s">
        <v>2048</v>
      </c>
      <c r="B73" s="1260">
        <f>估价对象房地状况!C18</f>
        <v>0</v>
      </c>
      <c r="C73" s="1885"/>
      <c r="D73" s="1000">
        <f t="shared" si="18"/>
        <v>0</v>
      </c>
      <c r="E73" s="703"/>
      <c r="F73" s="1673"/>
      <c r="G73" s="998"/>
      <c r="H73" s="1001" t="str">
        <f t="shared" si="19"/>
        <v>——</v>
      </c>
      <c r="I73" s="3065">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7" t="s">
        <v>3255</v>
      </c>
      <c r="B74" s="1260">
        <f>估价对象房地状况!C19</f>
        <v>0</v>
      </c>
      <c r="C74" s="1885"/>
      <c r="D74" s="1000">
        <f t="shared" si="18"/>
        <v>0</v>
      </c>
      <c r="E74" s="703"/>
      <c r="F74" s="1673"/>
      <c r="G74" s="998"/>
      <c r="H74" s="1001" t="str">
        <f t="shared" si="19"/>
        <v>——</v>
      </c>
      <c r="I74" s="3065">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2062</v>
      </c>
      <c r="B75" s="1260">
        <f>估价对象房地状况!C24</f>
        <v>0</v>
      </c>
      <c r="C75" s="1885"/>
      <c r="D75" s="1000">
        <f t="shared" si="18"/>
        <v>0</v>
      </c>
      <c r="E75" s="703"/>
      <c r="F75" s="1673"/>
      <c r="G75" s="998"/>
      <c r="H75" s="1001" t="str">
        <f t="shared" si="19"/>
        <v>——</v>
      </c>
      <c r="I75" s="3065">
        <v>0.05</v>
      </c>
      <c r="J75" s="999">
        <f t="shared" si="20"/>
        <v>0</v>
      </c>
      <c r="K75" s="999">
        <f t="shared" si="21"/>
        <v>0</v>
      </c>
      <c r="L75" s="999">
        <v>0</v>
      </c>
      <c r="M75" s="999">
        <f t="shared" si="22"/>
        <v>0</v>
      </c>
      <c r="N75" s="999">
        <f t="shared" si="22"/>
        <v>0</v>
      </c>
      <c r="O75" s="1054"/>
      <c r="P75" s="1054"/>
      <c r="Q75" s="1842"/>
      <c r="Z75" s="1843"/>
      <c r="AA75" s="1893"/>
      <c r="AG75" s="1056"/>
      <c r="AK75" s="1893"/>
    </row>
    <row r="76" spans="1:37" ht="24">
      <c r="A76" s="1968" t="s">
        <v>2054</v>
      </c>
      <c r="B76" s="1238">
        <f>估价对象房地状况!C21</f>
        <v>0</v>
      </c>
      <c r="C76" s="1885"/>
      <c r="D76" s="1000">
        <f t="shared" si="18"/>
        <v>0</v>
      </c>
      <c r="E76" s="703"/>
      <c r="F76" s="1673"/>
      <c r="G76" s="998"/>
      <c r="H76" s="1001" t="str">
        <f t="shared" si="19"/>
        <v>——</v>
      </c>
      <c r="I76" s="3065">
        <v>0.08</v>
      </c>
      <c r="J76" s="999">
        <f t="shared" si="20"/>
        <v>0</v>
      </c>
      <c r="K76" s="999">
        <f t="shared" si="21"/>
        <v>0</v>
      </c>
      <c r="L76" s="999">
        <v>0</v>
      </c>
      <c r="M76" s="999">
        <f t="shared" si="22"/>
        <v>0</v>
      </c>
      <c r="N76" s="999">
        <f t="shared" si="22"/>
        <v>0</v>
      </c>
      <c r="O76" s="1054"/>
      <c r="P76" s="1054"/>
      <c r="Z76" s="1843"/>
      <c r="AA76" s="1893"/>
      <c r="AG76" s="1056"/>
      <c r="AK76" s="1893"/>
    </row>
    <row r="77" spans="1:37" ht="24">
      <c r="A77" s="1968" t="s">
        <v>2055</v>
      </c>
      <c r="B77" s="1238">
        <f>估价对象房地状况!C22</f>
        <v>0</v>
      </c>
      <c r="C77" s="1885"/>
      <c r="D77" s="1000">
        <f t="shared" si="18"/>
        <v>0</v>
      </c>
      <c r="E77" s="703"/>
      <c r="F77" s="1673"/>
      <c r="G77" s="998"/>
      <c r="H77" s="1001" t="str">
        <f t="shared" si="19"/>
        <v>——</v>
      </c>
      <c r="I77" s="3065">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2052</v>
      </c>
      <c r="B78" s="1973" t="s">
        <v>2053</v>
      </c>
      <c r="C78" s="1885"/>
      <c r="D78" s="1000">
        <f t="shared" si="18"/>
        <v>0</v>
      </c>
      <c r="E78" s="703"/>
      <c r="F78" s="1673"/>
      <c r="G78" s="998"/>
      <c r="H78" s="1001" t="str">
        <f t="shared" si="19"/>
        <v>——</v>
      </c>
      <c r="I78" s="3065">
        <v>0.05</v>
      </c>
      <c r="J78" s="999">
        <f t="shared" si="20"/>
        <v>0</v>
      </c>
      <c r="K78" s="999">
        <f t="shared" si="21"/>
        <v>0</v>
      </c>
      <c r="L78" s="999">
        <v>0</v>
      </c>
      <c r="M78" s="999">
        <f t="shared" si="22"/>
        <v>0</v>
      </c>
      <c r="N78" s="999">
        <f t="shared" si="22"/>
        <v>0</v>
      </c>
      <c r="O78" s="1842"/>
      <c r="P78" s="1842"/>
      <c r="Z78" s="1843"/>
      <c r="AA78" s="1893"/>
      <c r="AG78" s="1056"/>
      <c r="AK78" s="1893"/>
    </row>
    <row r="79" spans="1:37" ht="24">
      <c r="A79" s="1968" t="s">
        <v>2056</v>
      </c>
      <c r="B79" s="1971">
        <f>估价对象房地状况!C20</f>
        <v>0</v>
      </c>
      <c r="C79" s="1885"/>
      <c r="D79" s="1000">
        <f t="shared" si="18"/>
        <v>0</v>
      </c>
      <c r="E79" s="703"/>
      <c r="F79" s="1673"/>
      <c r="G79" s="998"/>
      <c r="H79" s="1001" t="str">
        <f t="shared" si="19"/>
        <v>——</v>
      </c>
      <c r="I79" s="3065">
        <v>0.12</v>
      </c>
      <c r="J79" s="999">
        <f t="shared" si="20"/>
        <v>0</v>
      </c>
      <c r="K79" s="999">
        <f t="shared" si="21"/>
        <v>0</v>
      </c>
      <c r="L79" s="999">
        <v>0</v>
      </c>
      <c r="M79" s="999">
        <f t="shared" si="22"/>
        <v>0</v>
      </c>
      <c r="N79" s="999">
        <f t="shared" si="22"/>
        <v>0</v>
      </c>
      <c r="Z79" s="1843"/>
      <c r="AA79" s="1893"/>
      <c r="AG79" s="1056"/>
      <c r="AK79" s="1893"/>
    </row>
    <row r="80" spans="1:37" ht="24.75" thickBot="1">
      <c r="A80" s="1975" t="s">
        <v>2063</v>
      </c>
      <c r="B80" s="1979"/>
      <c r="C80" s="1885"/>
      <c r="D80" s="1000">
        <f t="shared" si="18"/>
        <v>0</v>
      </c>
      <c r="E80" s="704"/>
      <c r="F80" s="1673"/>
      <c r="G80" s="998"/>
      <c r="H80" s="1001" t="str">
        <f t="shared" si="19"/>
        <v>——</v>
      </c>
      <c r="I80" s="3066">
        <v>0.05</v>
      </c>
      <c r="J80" s="999">
        <f t="shared" si="20"/>
        <v>0</v>
      </c>
      <c r="K80" s="999">
        <f t="shared" si="21"/>
        <v>0</v>
      </c>
      <c r="L80" s="999">
        <v>0</v>
      </c>
      <c r="M80" s="999">
        <f t="shared" si="22"/>
        <v>0</v>
      </c>
      <c r="N80" s="999">
        <f t="shared" si="22"/>
        <v>0</v>
      </c>
      <c r="Z80" s="1843"/>
      <c r="AA80" s="1893"/>
      <c r="AG80" s="1056"/>
      <c r="AK80" s="1893"/>
    </row>
    <row r="81" spans="1:37" ht="15">
      <c r="A81" s="1965" t="s">
        <v>2064</v>
      </c>
      <c r="B81" s="1966">
        <f>1+E83</f>
        <v>1</v>
      </c>
      <c r="C81" s="697"/>
      <c r="D81" s="697"/>
      <c r="E81" s="698"/>
      <c r="F81" s="1967"/>
      <c r="G81" s="3"/>
      <c r="H81" s="3"/>
      <c r="I81" s="3"/>
      <c r="J81" s="4"/>
      <c r="K81" s="4"/>
      <c r="L81" s="4"/>
      <c r="M81" s="4"/>
      <c r="N81" s="4"/>
      <c r="Z81" s="1843"/>
      <c r="AA81" s="1893"/>
      <c r="AG81" s="1056"/>
      <c r="AK81" s="1893"/>
    </row>
    <row r="82" spans="1:37" ht="24.75">
      <c r="A82" s="1968" t="s">
        <v>2039</v>
      </c>
      <c r="B82" s="1260"/>
      <c r="C82" s="1260" t="s">
        <v>2041</v>
      </c>
      <c r="D82" s="1260" t="s">
        <v>2042</v>
      </c>
      <c r="E82" s="699" t="s">
        <v>2043</v>
      </c>
      <c r="F82" s="1969" t="s">
        <v>2058</v>
      </c>
      <c r="G82" s="1260" t="s">
        <v>310</v>
      </c>
      <c r="H82" s="1970" t="s">
        <v>2045</v>
      </c>
      <c r="I82" s="1260" t="s">
        <v>2046</v>
      </c>
      <c r="J82" s="530" t="s">
        <v>1716</v>
      </c>
      <c r="K82" s="530" t="s">
        <v>1717</v>
      </c>
      <c r="L82" s="530" t="s">
        <v>1718</v>
      </c>
      <c r="M82" s="530" t="s">
        <v>1719</v>
      </c>
      <c r="N82" s="530" t="s">
        <v>1720</v>
      </c>
      <c r="Z82" s="1843"/>
      <c r="AA82" s="1893"/>
      <c r="AG82" s="1056"/>
      <c r="AK82" s="1893"/>
    </row>
    <row r="83" spans="1:37" ht="24">
      <c r="A83" s="1968" t="s">
        <v>2065</v>
      </c>
      <c r="B83" s="1260">
        <f>估价对象房地状况!G15</f>
        <v>0</v>
      </c>
      <c r="C83" s="1885"/>
      <c r="D83" s="1000">
        <f t="shared" ref="D83:D90" si="23">SUMIF($J$82:$N$82,C83,J83:N83)</f>
        <v>0</v>
      </c>
      <c r="E83" s="700">
        <f>ROUND(SUM(D83:D90),4)</f>
        <v>0</v>
      </c>
      <c r="F83" s="1673" t="str">
        <f>IF(E2="工业",SUMIF(L1:L12,G2,N1:N12),"——")</f>
        <v>——</v>
      </c>
      <c r="G83" s="998"/>
      <c r="H83" s="1001" t="str">
        <f t="shared" ref="H83:H90" si="24">IFERROR(ROUNDDOWN($F$83*I83/2,4),"——")</f>
        <v>——</v>
      </c>
      <c r="I83" s="3065">
        <v>0.26</v>
      </c>
      <c r="J83" s="999">
        <f t="shared" ref="J83:J90" si="25">K83+$G83</f>
        <v>0</v>
      </c>
      <c r="K83" s="999">
        <f t="shared" ref="K83:K90" si="26">$L83+$G83</f>
        <v>0</v>
      </c>
      <c r="L83" s="999">
        <v>0</v>
      </c>
      <c r="M83" s="999">
        <f t="shared" ref="M83:N90" si="27">L83-$G83</f>
        <v>0</v>
      </c>
      <c r="N83" s="999">
        <f t="shared" si="27"/>
        <v>0</v>
      </c>
      <c r="Z83" s="1843"/>
      <c r="AA83" s="1893"/>
      <c r="AG83" s="1056"/>
      <c r="AK83" s="1893"/>
    </row>
    <row r="84" spans="1:37" ht="14.25">
      <c r="A84" s="1968" t="s">
        <v>2048</v>
      </c>
      <c r="B84" s="1260">
        <f>估价对象房地状况!G16</f>
        <v>0</v>
      </c>
      <c r="C84" s="1885"/>
      <c r="D84" s="1000">
        <f t="shared" si="23"/>
        <v>0</v>
      </c>
      <c r="E84" s="703"/>
      <c r="F84" s="1673"/>
      <c r="G84" s="998"/>
      <c r="H84" s="1001" t="str">
        <f t="shared" si="24"/>
        <v>——</v>
      </c>
      <c r="I84" s="3065">
        <v>0.3</v>
      </c>
      <c r="J84" s="999">
        <f t="shared" si="25"/>
        <v>0</v>
      </c>
      <c r="K84" s="999">
        <f t="shared" si="26"/>
        <v>0</v>
      </c>
      <c r="L84" s="999">
        <v>0</v>
      </c>
      <c r="M84" s="999">
        <f t="shared" si="27"/>
        <v>0</v>
      </c>
      <c r="N84" s="999">
        <f t="shared" si="27"/>
        <v>0</v>
      </c>
      <c r="Z84" s="1843"/>
      <c r="AA84" s="1893"/>
      <c r="AG84" s="1056"/>
      <c r="AK84" s="1893"/>
    </row>
    <row r="85" spans="1:37" ht="36">
      <c r="A85" s="3067" t="s">
        <v>3255</v>
      </c>
      <c r="B85" s="1260">
        <f>估价对象房地状况!G17</f>
        <v>0</v>
      </c>
      <c r="C85" s="1885"/>
      <c r="D85" s="1000">
        <f t="shared" si="23"/>
        <v>0</v>
      </c>
      <c r="E85" s="703"/>
      <c r="F85" s="1673"/>
      <c r="G85" s="998"/>
      <c r="H85" s="1001" t="str">
        <f t="shared" si="24"/>
        <v>——</v>
      </c>
      <c r="I85" s="3065">
        <v>0.1</v>
      </c>
      <c r="J85" s="999">
        <f t="shared" si="25"/>
        <v>0</v>
      </c>
      <c r="K85" s="999">
        <f t="shared" si="26"/>
        <v>0</v>
      </c>
      <c r="L85" s="999">
        <v>0</v>
      </c>
      <c r="M85" s="999">
        <f t="shared" si="27"/>
        <v>0</v>
      </c>
      <c r="N85" s="999">
        <f t="shared" si="27"/>
        <v>0</v>
      </c>
      <c r="Z85" s="1843"/>
      <c r="AA85" s="1893"/>
      <c r="AG85" s="1056"/>
      <c r="AK85" s="1893"/>
    </row>
    <row r="86" spans="1:37" ht="14.25">
      <c r="A86" s="1968" t="s">
        <v>2062</v>
      </c>
      <c r="B86" s="1260">
        <f>估价对象房地状况!G22</f>
        <v>0</v>
      </c>
      <c r="C86" s="1885"/>
      <c r="D86" s="1000">
        <f t="shared" si="23"/>
        <v>0</v>
      </c>
      <c r="E86" s="703"/>
      <c r="F86" s="1673"/>
      <c r="G86" s="998"/>
      <c r="H86" s="1001" t="str">
        <f t="shared" si="24"/>
        <v>——</v>
      </c>
      <c r="I86" s="3065">
        <v>0.05</v>
      </c>
      <c r="J86" s="999">
        <f t="shared" si="25"/>
        <v>0</v>
      </c>
      <c r="K86" s="999">
        <f t="shared" si="26"/>
        <v>0</v>
      </c>
      <c r="L86" s="999">
        <v>0</v>
      </c>
      <c r="M86" s="999">
        <f t="shared" si="27"/>
        <v>0</v>
      </c>
      <c r="N86" s="999">
        <f t="shared" si="27"/>
        <v>0</v>
      </c>
      <c r="Z86" s="1843"/>
      <c r="AA86" s="1893"/>
      <c r="AG86" s="1056"/>
      <c r="AK86" s="1893"/>
    </row>
    <row r="87" spans="1:37" ht="24">
      <c r="A87" s="1968" t="s">
        <v>2054</v>
      </c>
      <c r="B87" s="1238">
        <f>估价对象房地状况!G19</f>
        <v>0</v>
      </c>
      <c r="C87" s="1885"/>
      <c r="D87" s="1000">
        <f t="shared" si="23"/>
        <v>0</v>
      </c>
      <c r="E87" s="703"/>
      <c r="F87" s="1673"/>
      <c r="G87" s="998"/>
      <c r="H87" s="1001" t="str">
        <f t="shared" si="24"/>
        <v>——</v>
      </c>
      <c r="I87" s="3065">
        <v>0.06</v>
      </c>
      <c r="J87" s="999">
        <f t="shared" si="25"/>
        <v>0</v>
      </c>
      <c r="K87" s="999">
        <f t="shared" si="26"/>
        <v>0</v>
      </c>
      <c r="L87" s="999">
        <v>0</v>
      </c>
      <c r="M87" s="999">
        <f t="shared" si="27"/>
        <v>0</v>
      </c>
      <c r="N87" s="999">
        <f t="shared" si="27"/>
        <v>0</v>
      </c>
    </row>
    <row r="88" spans="1:37" ht="24">
      <c r="A88" s="1968" t="s">
        <v>2055</v>
      </c>
      <c r="B88" s="1238">
        <f>估价对象房地状况!G20</f>
        <v>0</v>
      </c>
      <c r="C88" s="1885"/>
      <c r="D88" s="1000">
        <f t="shared" si="23"/>
        <v>0</v>
      </c>
      <c r="E88" s="703"/>
      <c r="F88" s="1673"/>
      <c r="G88" s="998"/>
      <c r="H88" s="1001" t="str">
        <f t="shared" si="24"/>
        <v>——</v>
      </c>
      <c r="I88" s="3065">
        <v>0.12</v>
      </c>
      <c r="J88" s="999">
        <f t="shared" si="25"/>
        <v>0</v>
      </c>
      <c r="K88" s="999">
        <f t="shared" si="26"/>
        <v>0</v>
      </c>
      <c r="L88" s="999">
        <v>0</v>
      </c>
      <c r="M88" s="999">
        <f t="shared" si="27"/>
        <v>0</v>
      </c>
      <c r="N88" s="999">
        <f t="shared" si="27"/>
        <v>0</v>
      </c>
    </row>
    <row r="89" spans="1:37" ht="24">
      <c r="A89" s="1968" t="s">
        <v>2052</v>
      </c>
      <c r="B89" s="1973" t="s">
        <v>2066</v>
      </c>
      <c r="C89" s="1885"/>
      <c r="D89" s="1000">
        <f t="shared" si="23"/>
        <v>0</v>
      </c>
      <c r="E89" s="703"/>
      <c r="F89" s="1673"/>
      <c r="G89" s="998"/>
      <c r="H89" s="1001" t="str">
        <f t="shared" si="24"/>
        <v>——</v>
      </c>
      <c r="I89" s="3065">
        <v>0.06</v>
      </c>
      <c r="J89" s="999">
        <f t="shared" si="25"/>
        <v>0</v>
      </c>
      <c r="K89" s="999">
        <f t="shared" si="26"/>
        <v>0</v>
      </c>
      <c r="L89" s="999">
        <v>0</v>
      </c>
      <c r="M89" s="999">
        <f t="shared" si="27"/>
        <v>0</v>
      </c>
      <c r="N89" s="999">
        <f t="shared" si="27"/>
        <v>0</v>
      </c>
    </row>
    <row r="90" spans="1:37" ht="15" thickBot="1">
      <c r="A90" s="1975" t="s">
        <v>2067</v>
      </c>
      <c r="B90" s="1980">
        <f>估价对象房地状况!G18</f>
        <v>0</v>
      </c>
      <c r="C90" s="1885"/>
      <c r="D90" s="1000">
        <f t="shared" si="23"/>
        <v>0</v>
      </c>
      <c r="E90" s="704"/>
      <c r="F90" s="1673"/>
      <c r="G90" s="998"/>
      <c r="H90" s="1001" t="str">
        <f t="shared" si="24"/>
        <v>——</v>
      </c>
      <c r="I90" s="3066">
        <v>0.05</v>
      </c>
      <c r="J90" s="999">
        <f t="shared" si="25"/>
        <v>0</v>
      </c>
      <c r="K90" s="999">
        <f t="shared" si="26"/>
        <v>0</v>
      </c>
      <c r="L90" s="999">
        <v>0</v>
      </c>
      <c r="M90" s="999">
        <f t="shared" si="27"/>
        <v>0</v>
      </c>
      <c r="N90" s="999">
        <f t="shared" si="27"/>
        <v>0</v>
      </c>
    </row>
    <row r="91" spans="1:37" ht="15">
      <c r="A91" s="3075" t="s">
        <v>2598</v>
      </c>
      <c r="B91" s="3076">
        <f>1+E93</f>
        <v>1</v>
      </c>
      <c r="C91" s="3069"/>
      <c r="D91" s="3070"/>
      <c r="E91" s="1673"/>
      <c r="F91" s="1673"/>
      <c r="G91" s="3071"/>
      <c r="H91" s="3072"/>
      <c r="I91" s="3073"/>
      <c r="J91" s="3074"/>
      <c r="K91" s="3074"/>
      <c r="L91" s="3074"/>
      <c r="M91" s="3074"/>
      <c r="N91" s="3074"/>
    </row>
    <row r="92" spans="1:37" ht="24.75">
      <c r="A92" s="3077" t="s">
        <v>2039</v>
      </c>
      <c r="B92" s="2306"/>
      <c r="C92" s="2306" t="s">
        <v>2041</v>
      </c>
      <c r="D92" s="2306" t="s">
        <v>2042</v>
      </c>
      <c r="E92" s="3049" t="s">
        <v>2043</v>
      </c>
      <c r="F92" s="3079" t="s">
        <v>3269</v>
      </c>
      <c r="G92" s="2306" t="s">
        <v>1984</v>
      </c>
      <c r="H92" s="3086" t="s">
        <v>3273</v>
      </c>
      <c r="I92" s="2306" t="s">
        <v>2046</v>
      </c>
      <c r="J92" s="2148" t="s">
        <v>1716</v>
      </c>
      <c r="K92" s="2148" t="s">
        <v>1717</v>
      </c>
      <c r="L92" s="2148" t="s">
        <v>1718</v>
      </c>
      <c r="M92" s="2148" t="s">
        <v>1719</v>
      </c>
      <c r="N92" s="2148" t="s">
        <v>1720</v>
      </c>
    </row>
    <row r="93" spans="1:37" ht="24">
      <c r="A93" s="3067" t="s">
        <v>3258</v>
      </c>
      <c r="B93" s="1219"/>
      <c r="C93" s="1885"/>
      <c r="D93" s="2306">
        <f>SUMIF($J$92:$N$92,C93,J93:N93)</f>
        <v>0</v>
      </c>
      <c r="E93" s="3080">
        <f>ROUND(SUM(D93:D101),4)</f>
        <v>0</v>
      </c>
      <c r="F93" s="1673" t="str">
        <f>IF(E2="公共服务",SUMIF(L1:L12,G2,N1:N12),"——")</f>
        <v>——</v>
      </c>
      <c r="G93" s="3071"/>
      <c r="H93" s="3116" t="str">
        <f>IFERROR(ROUNDDOWN($F$93*I93/2,4),"——")</f>
        <v>——</v>
      </c>
      <c r="I93" s="3065">
        <v>0.25</v>
      </c>
      <c r="J93" s="1910">
        <f t="shared" ref="J93:J101" si="28">K93+$G93</f>
        <v>0</v>
      </c>
      <c r="K93" s="1910">
        <f t="shared" ref="K93:K101" si="29">$L93+$G93</f>
        <v>0</v>
      </c>
      <c r="L93" s="1910">
        <v>0</v>
      </c>
      <c r="M93" s="1910">
        <f t="shared" ref="M93:N101" si="30">L93-$G93</f>
        <v>0</v>
      </c>
      <c r="N93" s="1910">
        <f t="shared" si="30"/>
        <v>0</v>
      </c>
    </row>
    <row r="94" spans="1:37" ht="14.25">
      <c r="A94" s="3077" t="s">
        <v>2048</v>
      </c>
      <c r="B94" s="3068">
        <f>估价对象房地状况!C18</f>
        <v>0</v>
      </c>
      <c r="C94" s="1885"/>
      <c r="D94" s="2306">
        <f t="shared" ref="D94:D101" si="31">SUMIF($J$60:$N$60,C94,J94:N94)</f>
        <v>0</v>
      </c>
      <c r="E94" s="3081"/>
      <c r="F94" s="1673"/>
      <c r="G94" s="3071"/>
      <c r="H94" s="3116" t="str">
        <f>IFERROR(ROUNDDOWN($F$93*I94/2,4),"——")</f>
        <v>——</v>
      </c>
      <c r="I94" s="3065">
        <v>0.26</v>
      </c>
      <c r="J94" s="1910">
        <f t="shared" si="28"/>
        <v>0</v>
      </c>
      <c r="K94" s="1910">
        <f t="shared" si="29"/>
        <v>0</v>
      </c>
      <c r="L94" s="1910">
        <v>0</v>
      </c>
      <c r="M94" s="1910">
        <f t="shared" si="30"/>
        <v>0</v>
      </c>
      <c r="N94" s="1910">
        <f t="shared" si="30"/>
        <v>0</v>
      </c>
    </row>
    <row r="95" spans="1:37" ht="36">
      <c r="A95" s="3067" t="s">
        <v>3255</v>
      </c>
      <c r="B95" s="3068">
        <f>估价对象房地状况!C19</f>
        <v>0</v>
      </c>
      <c r="C95" s="1885"/>
      <c r="D95" s="2306">
        <f t="shared" si="31"/>
        <v>0</v>
      </c>
      <c r="E95" s="3081"/>
      <c r="F95" s="1673"/>
      <c r="G95" s="3071"/>
      <c r="H95" s="3116" t="str">
        <f t="shared" ref="H95:H101" si="32">IFERROR(ROUNDDOWN($F$93*I95/2,4),"——")</f>
        <v>——</v>
      </c>
      <c r="I95" s="3065">
        <v>0.11</v>
      </c>
      <c r="J95" s="1910">
        <f t="shared" si="28"/>
        <v>0</v>
      </c>
      <c r="K95" s="1910">
        <f t="shared" si="29"/>
        <v>0</v>
      </c>
      <c r="L95" s="1910">
        <v>0</v>
      </c>
      <c r="M95" s="1910">
        <f t="shared" si="30"/>
        <v>0</v>
      </c>
      <c r="N95" s="1910">
        <f t="shared" si="30"/>
        <v>0</v>
      </c>
    </row>
    <row r="96" spans="1:37" ht="36.75">
      <c r="A96" s="3077" t="s">
        <v>2049</v>
      </c>
      <c r="B96" s="3083" t="s">
        <v>3271</v>
      </c>
      <c r="C96" s="1885"/>
      <c r="D96" s="2306">
        <f t="shared" si="31"/>
        <v>0</v>
      </c>
      <c r="E96" s="3081"/>
      <c r="F96" s="1673"/>
      <c r="G96" s="3071"/>
      <c r="H96" s="3116" t="str">
        <f t="shared" si="32"/>
        <v>——</v>
      </c>
      <c r="I96" s="3065">
        <v>0.05</v>
      </c>
      <c r="J96" s="1910">
        <f t="shared" si="28"/>
        <v>0</v>
      </c>
      <c r="K96" s="1910">
        <f t="shared" si="29"/>
        <v>0</v>
      </c>
      <c r="L96" s="1910">
        <v>0</v>
      </c>
      <c r="M96" s="1910">
        <f t="shared" si="30"/>
        <v>0</v>
      </c>
      <c r="N96" s="1910">
        <f t="shared" si="30"/>
        <v>0</v>
      </c>
    </row>
    <row r="97" spans="1:14" ht="24">
      <c r="A97" s="3077" t="s">
        <v>2051</v>
      </c>
      <c r="B97" s="3068">
        <f>估价对象房地状况!C24</f>
        <v>0</v>
      </c>
      <c r="C97" s="1885"/>
      <c r="D97" s="2306">
        <f t="shared" si="31"/>
        <v>0</v>
      </c>
      <c r="E97" s="3081"/>
      <c r="F97" s="1673"/>
      <c r="G97" s="3071"/>
      <c r="H97" s="3116" t="str">
        <f t="shared" si="32"/>
        <v>——</v>
      </c>
      <c r="I97" s="3065">
        <v>0.05</v>
      </c>
      <c r="J97" s="1910">
        <f t="shared" si="28"/>
        <v>0</v>
      </c>
      <c r="K97" s="1910">
        <f t="shared" si="29"/>
        <v>0</v>
      </c>
      <c r="L97" s="1910">
        <v>0</v>
      </c>
      <c r="M97" s="1910">
        <f t="shared" si="30"/>
        <v>0</v>
      </c>
      <c r="N97" s="1910">
        <f t="shared" si="30"/>
        <v>0</v>
      </c>
    </row>
    <row r="98" spans="1:14" ht="24">
      <c r="A98" s="3077" t="s">
        <v>2052</v>
      </c>
      <c r="B98" s="3084" t="s">
        <v>3272</v>
      </c>
      <c r="C98" s="1885"/>
      <c r="D98" s="2306">
        <f t="shared" si="31"/>
        <v>0</v>
      </c>
      <c r="E98" s="3081"/>
      <c r="F98" s="1673"/>
      <c r="G98" s="3071"/>
      <c r="H98" s="3116" t="str">
        <f t="shared" si="32"/>
        <v>——</v>
      </c>
      <c r="I98" s="3065">
        <v>0.06</v>
      </c>
      <c r="J98" s="1910">
        <f t="shared" si="28"/>
        <v>0</v>
      </c>
      <c r="K98" s="1910">
        <f t="shared" si="29"/>
        <v>0</v>
      </c>
      <c r="L98" s="1910">
        <v>0</v>
      </c>
      <c r="M98" s="1910">
        <f t="shared" si="30"/>
        <v>0</v>
      </c>
      <c r="N98" s="1910">
        <f t="shared" si="30"/>
        <v>0</v>
      </c>
    </row>
    <row r="99" spans="1:14" ht="24">
      <c r="A99" s="3077" t="s">
        <v>2054</v>
      </c>
      <c r="B99" s="3068">
        <f>估价对象房地状况!C21</f>
        <v>0</v>
      </c>
      <c r="C99" s="1885"/>
      <c r="D99" s="2306">
        <f t="shared" si="31"/>
        <v>0</v>
      </c>
      <c r="E99" s="3081"/>
      <c r="F99" s="1673"/>
      <c r="G99" s="3071"/>
      <c r="H99" s="3116" t="str">
        <f t="shared" si="32"/>
        <v>——</v>
      </c>
      <c r="I99" s="3065">
        <v>0.06</v>
      </c>
      <c r="J99" s="1910">
        <f t="shared" si="28"/>
        <v>0</v>
      </c>
      <c r="K99" s="1910">
        <f t="shared" si="29"/>
        <v>0</v>
      </c>
      <c r="L99" s="1910">
        <v>0</v>
      </c>
      <c r="M99" s="1910">
        <f t="shared" si="30"/>
        <v>0</v>
      </c>
      <c r="N99" s="1910">
        <f t="shared" si="30"/>
        <v>0</v>
      </c>
    </row>
    <row r="100" spans="1:14" ht="24">
      <c r="A100" s="3077" t="s">
        <v>2055</v>
      </c>
      <c r="B100" s="3068">
        <f>估价对象房地状况!C22</f>
        <v>0</v>
      </c>
      <c r="C100" s="1885"/>
      <c r="D100" s="2306">
        <f t="shared" si="31"/>
        <v>0</v>
      </c>
      <c r="E100" s="3081"/>
      <c r="F100" s="1673"/>
      <c r="G100" s="3071"/>
      <c r="H100" s="3116" t="str">
        <f t="shared" si="32"/>
        <v>——</v>
      </c>
      <c r="I100" s="3065">
        <v>0.09</v>
      </c>
      <c r="J100" s="1910">
        <f t="shared" si="28"/>
        <v>0</v>
      </c>
      <c r="K100" s="1910">
        <f t="shared" si="29"/>
        <v>0</v>
      </c>
      <c r="L100" s="1910">
        <v>0</v>
      </c>
      <c r="M100" s="1910">
        <f t="shared" si="30"/>
        <v>0</v>
      </c>
      <c r="N100" s="1910">
        <f t="shared" si="30"/>
        <v>0</v>
      </c>
    </row>
    <row r="101" spans="1:14" ht="24.75" thickBot="1">
      <c r="A101" s="3078" t="s">
        <v>2056</v>
      </c>
      <c r="B101" s="3085">
        <f>估价对象房地状况!C20</f>
        <v>0</v>
      </c>
      <c r="C101" s="1885"/>
      <c r="D101" s="2306">
        <f t="shared" si="31"/>
        <v>0</v>
      </c>
      <c r="E101" s="3082"/>
      <c r="F101" s="1673"/>
      <c r="G101" s="3071"/>
      <c r="H101" s="3116" t="str">
        <f t="shared" si="32"/>
        <v>——</v>
      </c>
      <c r="I101" s="3066">
        <v>7.0000000000000007E-2</v>
      </c>
      <c r="J101" s="1910">
        <f t="shared" si="28"/>
        <v>0</v>
      </c>
      <c r="K101" s="1910">
        <f t="shared" si="29"/>
        <v>0</v>
      </c>
      <c r="L101" s="1910">
        <v>0</v>
      </c>
      <c r="M101" s="1910">
        <f t="shared" si="30"/>
        <v>0</v>
      </c>
      <c r="N101" s="1910">
        <f t="shared" si="30"/>
        <v>0</v>
      </c>
    </row>
    <row r="103" spans="1:14">
      <c r="A103" s="3485" t="s">
        <v>3280</v>
      </c>
      <c r="B103" s="3485"/>
      <c r="C103" s="3485"/>
      <c r="D103" s="3485"/>
      <c r="E103" s="3485"/>
      <c r="F103" s="3485"/>
      <c r="G103" s="3485"/>
      <c r="H103" s="3485"/>
      <c r="I103" s="3485"/>
      <c r="J103" s="3485"/>
      <c r="K103" s="1665"/>
      <c r="L103" s="1665"/>
      <c r="M103" s="1665"/>
      <c r="N103" s="1665"/>
    </row>
    <row r="104" spans="1:14">
      <c r="A104" s="3486" t="s">
        <v>3281</v>
      </c>
      <c r="B104" s="3486" t="s">
        <v>3282</v>
      </c>
      <c r="C104" s="3087" t="s">
        <v>3283</v>
      </c>
      <c r="D104" s="3088"/>
      <c r="E104" s="3088"/>
      <c r="F104" s="3088"/>
      <c r="G104" s="3088"/>
      <c r="H104" s="3088"/>
      <c r="I104" s="3088"/>
      <c r="J104" s="3089"/>
      <c r="K104" s="3090"/>
      <c r="L104" s="3090"/>
      <c r="M104" s="3090"/>
      <c r="N104" s="3090"/>
    </row>
    <row r="105" spans="1:14">
      <c r="A105" s="3486"/>
      <c r="B105" s="3486"/>
      <c r="C105" s="3091" t="s">
        <v>1956</v>
      </c>
      <c r="D105" s="3091" t="s">
        <v>1957</v>
      </c>
      <c r="E105" s="3091" t="s">
        <v>1958</v>
      </c>
      <c r="F105" s="3091" t="s">
        <v>1959</v>
      </c>
      <c r="G105" s="3091" t="s">
        <v>1960</v>
      </c>
      <c r="H105" s="3091" t="s">
        <v>1961</v>
      </c>
      <c r="I105" s="3091" t="s">
        <v>1962</v>
      </c>
      <c r="J105" s="3091" t="s">
        <v>1963</v>
      </c>
      <c r="K105" s="3091" t="s">
        <v>1964</v>
      </c>
      <c r="L105" s="3091" t="s">
        <v>1965</v>
      </c>
      <c r="M105" s="3091" t="s">
        <v>1966</v>
      </c>
      <c r="N105" s="3091" t="s">
        <v>1967</v>
      </c>
    </row>
    <row r="106" spans="1:14">
      <c r="A106" s="3472" t="s">
        <v>3296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3"/>
      <c r="B111" s="3091" t="s">
        <v>3254</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474"/>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475" t="s">
        <v>3297</v>
      </c>
      <c r="B113" s="3475"/>
      <c r="C113" s="3475"/>
      <c r="D113" s="3475"/>
      <c r="E113" s="3475"/>
      <c r="F113" s="3475"/>
      <c r="G113" s="3475"/>
      <c r="H113" s="3475"/>
      <c r="I113" s="3475"/>
      <c r="J113" s="3475"/>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3298</v>
      </c>
      <c r="B116" s="3111">
        <f>G3</f>
        <v>7.67</v>
      </c>
      <c r="C116" s="3096" t="s">
        <v>3299</v>
      </c>
      <c r="D116" s="3097">
        <f>SUMPRODUCT((A118:A122=F116)*(B117:M117=H116)*B118:M122)</f>
        <v>0.90710000000000002</v>
      </c>
      <c r="E116" s="162" t="s">
        <v>1931</v>
      </c>
      <c r="F116" s="3098" t="str">
        <f>E2</f>
        <v>办公</v>
      </c>
      <c r="G116" s="162" t="s">
        <v>1932</v>
      </c>
      <c r="H116" s="3098" t="str">
        <f>G2</f>
        <v>一级</v>
      </c>
      <c r="I116" s="162"/>
      <c r="J116" s="3099"/>
      <c r="K116" s="3099"/>
      <c r="L116" s="3099"/>
      <c r="M116" s="3099"/>
      <c r="N116" s="3094"/>
    </row>
    <row r="117" spans="1:14">
      <c r="A117" s="3100"/>
      <c r="B117" s="3101" t="s">
        <v>3302</v>
      </c>
      <c r="C117" s="3101" t="s">
        <v>3303</v>
      </c>
      <c r="D117" s="3101" t="s">
        <v>3304</v>
      </c>
      <c r="E117" s="3102" t="s">
        <v>3305</v>
      </c>
      <c r="F117" s="3102" t="s">
        <v>3306</v>
      </c>
      <c r="G117" s="3102" t="s">
        <v>3307</v>
      </c>
      <c r="H117" s="3103" t="s">
        <v>3308</v>
      </c>
      <c r="I117" s="3103" t="s">
        <v>3309</v>
      </c>
      <c r="J117" s="3104" t="s">
        <v>3310</v>
      </c>
      <c r="K117" s="3104" t="s">
        <v>3311</v>
      </c>
      <c r="L117" s="3104" t="s">
        <v>3312</v>
      </c>
      <c r="M117" s="3105" t="s">
        <v>3313</v>
      </c>
      <c r="N117" s="3094"/>
    </row>
    <row r="118" spans="1:14">
      <c r="A118" s="3054" t="s">
        <v>1985</v>
      </c>
      <c r="B118" s="3086">
        <f>ROUND(0.9968-0.011*B116,4)</f>
        <v>0.91239999999999999</v>
      </c>
      <c r="C118" s="3086">
        <f>B118</f>
        <v>0.91239999999999999</v>
      </c>
      <c r="D118" s="3086">
        <f>ROUND(0.949-0.014*B116,4)</f>
        <v>0.84160000000000001</v>
      </c>
      <c r="E118" s="3086">
        <f>D118</f>
        <v>0.84160000000000001</v>
      </c>
      <c r="F118" s="3086">
        <f>E118</f>
        <v>0.84160000000000001</v>
      </c>
      <c r="G118" s="3086">
        <f>F118</f>
        <v>0.84160000000000001</v>
      </c>
      <c r="H118" s="3086">
        <f>G118</f>
        <v>0.84160000000000001</v>
      </c>
      <c r="I118" s="3086">
        <f>ROUND(0.8486-0.018*B116,4)</f>
        <v>0.71050000000000002</v>
      </c>
      <c r="J118" s="3086">
        <f t="shared" ref="J118:M122" si="36">I118</f>
        <v>0.71050000000000002</v>
      </c>
      <c r="K118" s="3086">
        <f t="shared" si="36"/>
        <v>0.71050000000000002</v>
      </c>
      <c r="L118" s="3086">
        <f t="shared" si="36"/>
        <v>0.71050000000000002</v>
      </c>
      <c r="M118" s="3106">
        <f t="shared" si="36"/>
        <v>0.71050000000000002</v>
      </c>
      <c r="N118" s="3094"/>
    </row>
    <row r="119" spans="1:14">
      <c r="A119" s="3054" t="s">
        <v>1986</v>
      </c>
      <c r="B119" s="3086">
        <f>ROUND(0.993-0.0112*B116,4)</f>
        <v>0.90710000000000002</v>
      </c>
      <c r="C119" s="3086">
        <f>B119</f>
        <v>0.90710000000000002</v>
      </c>
      <c r="D119" s="3086">
        <f>ROUND(0.9415-0.0142*B116,4)</f>
        <v>0.83260000000000001</v>
      </c>
      <c r="E119" s="3086">
        <f t="shared" ref="E119:H120" si="37">D119</f>
        <v>0.83260000000000001</v>
      </c>
      <c r="F119" s="3086">
        <f t="shared" si="37"/>
        <v>0.83260000000000001</v>
      </c>
      <c r="G119" s="3086">
        <f t="shared" si="37"/>
        <v>0.83260000000000001</v>
      </c>
      <c r="H119" s="3086">
        <f t="shared" si="37"/>
        <v>0.83260000000000001</v>
      </c>
      <c r="I119" s="3086">
        <f>ROUND(0.838-0.0182*B116,4)</f>
        <v>0.69840000000000002</v>
      </c>
      <c r="J119" s="3086">
        <f t="shared" si="36"/>
        <v>0.69840000000000002</v>
      </c>
      <c r="K119" s="3086">
        <f t="shared" si="36"/>
        <v>0.69840000000000002</v>
      </c>
      <c r="L119" s="3086">
        <f t="shared" si="36"/>
        <v>0.69840000000000002</v>
      </c>
      <c r="M119" s="3106">
        <f t="shared" si="36"/>
        <v>0.69840000000000002</v>
      </c>
      <c r="N119" s="3094"/>
    </row>
    <row r="120" spans="1:14">
      <c r="A120" s="3054" t="s">
        <v>1987</v>
      </c>
      <c r="B120" s="3086">
        <f>ROUND(0.9448-0.0115*B116,4)</f>
        <v>0.85660000000000003</v>
      </c>
      <c r="C120" s="3086">
        <f>B120</f>
        <v>0.85660000000000003</v>
      </c>
      <c r="D120" s="3086">
        <f>ROUND(0.937-0.0145*B116,4)</f>
        <v>0.82579999999999998</v>
      </c>
      <c r="E120" s="3086">
        <f t="shared" si="37"/>
        <v>0.82579999999999998</v>
      </c>
      <c r="F120" s="3086">
        <f t="shared" si="37"/>
        <v>0.82579999999999998</v>
      </c>
      <c r="G120" s="3086">
        <f t="shared" si="37"/>
        <v>0.82579999999999998</v>
      </c>
      <c r="H120" s="3086">
        <f t="shared" si="37"/>
        <v>0.82579999999999998</v>
      </c>
      <c r="I120" s="3086">
        <f>ROUND(0.7965-0.0185*B116,4)</f>
        <v>0.65459999999999996</v>
      </c>
      <c r="J120" s="3086">
        <f t="shared" si="36"/>
        <v>0.65459999999999996</v>
      </c>
      <c r="K120" s="3086">
        <f t="shared" si="36"/>
        <v>0.65459999999999996</v>
      </c>
      <c r="L120" s="3086">
        <f t="shared" si="36"/>
        <v>0.65459999999999996</v>
      </c>
      <c r="M120" s="3106">
        <f t="shared" si="36"/>
        <v>0.65459999999999996</v>
      </c>
      <c r="N120" s="3094"/>
    </row>
    <row r="121" spans="1:14" ht="13.5" thickBot="1">
      <c r="A121" s="3107" t="s">
        <v>1988</v>
      </c>
      <c r="B121" s="3108">
        <f>ROUND(0.7836-0.012*B116,4)</f>
        <v>0.69159999999999999</v>
      </c>
      <c r="C121" s="3108">
        <f>B121</f>
        <v>0.69159999999999999</v>
      </c>
      <c r="D121" s="3108">
        <f>ROUND(0.753-0.015*B116,4)</f>
        <v>0.63800000000000001</v>
      </c>
      <c r="E121" s="3108">
        <f>D121</f>
        <v>0.63800000000000001</v>
      </c>
      <c r="F121" s="3108">
        <f>E121</f>
        <v>0.63800000000000001</v>
      </c>
      <c r="G121" s="3108">
        <f>ROUND(0.6612-0.018*B116,4)</f>
        <v>0.52310000000000001</v>
      </c>
      <c r="H121" s="3108">
        <f>G121</f>
        <v>0.52310000000000001</v>
      </c>
      <c r="I121" s="3108">
        <f>ROUND(0.5905-0.019*B116,4)</f>
        <v>0.44479999999999997</v>
      </c>
      <c r="J121" s="3108">
        <f t="shared" si="36"/>
        <v>0.44479999999999997</v>
      </c>
      <c r="K121" s="3108">
        <f t="shared" si="36"/>
        <v>0.44479999999999997</v>
      </c>
      <c r="L121" s="3108">
        <f t="shared" si="36"/>
        <v>0.44479999999999997</v>
      </c>
      <c r="M121" s="3109">
        <f t="shared" si="36"/>
        <v>0.44479999999999997</v>
      </c>
      <c r="N121" s="3094"/>
    </row>
    <row r="122" spans="1:14">
      <c r="A122" s="3110" t="s">
        <v>2598</v>
      </c>
      <c r="B122" s="3086">
        <f>ROUND(0.9404-0.0106*B116,4)</f>
        <v>0.85909999999999997</v>
      </c>
      <c r="C122" s="3086">
        <f>B122</f>
        <v>0.85909999999999997</v>
      </c>
      <c r="D122" s="3086">
        <f>ROUND(0.8955-0.0135*B116,4)</f>
        <v>0.79200000000000004</v>
      </c>
      <c r="E122" s="3086">
        <f t="shared" ref="E122:H122" si="38">D122</f>
        <v>0.79200000000000004</v>
      </c>
      <c r="F122" s="3086">
        <f t="shared" si="38"/>
        <v>0.79200000000000004</v>
      </c>
      <c r="G122" s="3086">
        <f t="shared" si="38"/>
        <v>0.79200000000000004</v>
      </c>
      <c r="H122" s="3086">
        <f t="shared" si="38"/>
        <v>0.79200000000000004</v>
      </c>
      <c r="I122" s="3086">
        <f>ROUND(0.7632-0.0166*B116,4)</f>
        <v>0.63590000000000002</v>
      </c>
      <c r="J122" s="3086">
        <f t="shared" si="36"/>
        <v>0.63590000000000002</v>
      </c>
      <c r="K122" s="3086">
        <f t="shared" si="36"/>
        <v>0.63590000000000002</v>
      </c>
      <c r="L122" s="3086">
        <f t="shared" si="36"/>
        <v>0.63590000000000002</v>
      </c>
      <c r="M122" s="3106">
        <f t="shared" si="36"/>
        <v>0.63590000000000002</v>
      </c>
      <c r="N122" s="30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22" priority="6" stopIfTrue="1" operator="notEqual">
      <formula>"——"</formula>
    </cfRule>
  </conditionalFormatting>
  <conditionalFormatting sqref="F61">
    <cfRule type="cellIs" dxfId="21" priority="5" stopIfTrue="1" operator="notEqual">
      <formula>"——"</formula>
    </cfRule>
  </conditionalFormatting>
  <conditionalFormatting sqref="F72">
    <cfRule type="cellIs" dxfId="20" priority="4" stopIfTrue="1" operator="notEqual">
      <formula>"——"</formula>
    </cfRule>
  </conditionalFormatting>
  <conditionalFormatting sqref="F83">
    <cfRule type="cellIs" dxfId="19" priority="3" stopIfTrue="1" operator="notEqual">
      <formula>"——"</formula>
    </cfRule>
  </conditionalFormatting>
  <conditionalFormatting sqref="H50:H58 H61:H69 H72:H80 H83:H91">
    <cfRule type="cellIs" dxfId="18" priority="2" operator="notEqual">
      <formula>"——"</formula>
    </cfRule>
  </conditionalFormatting>
  <conditionalFormatting sqref="H93:H101">
    <cfRule type="cellIs" dxfId="17" priority="1" operator="notEqual">
      <formula>"——"</formula>
    </cfRule>
  </conditionalFormatting>
  <dataValidations count="12">
    <dataValidation type="list" allowBlank="1" showInputMessage="1" showErrorMessage="1" sqref="J23" xr:uid="{6AC73F90-EF43-410F-B875-9447AFE0E398}">
      <formula1>"不用分区数据,中心城区,中心城区以外"</formula1>
    </dataValidation>
    <dataValidation type="list" allowBlank="1" showInputMessage="1" showErrorMessage="1" sqref="H20:O20" xr:uid="{13F98C1C-4661-4E14-9222-E385C93AC27B}">
      <formula1>七通一平</formula1>
    </dataValidation>
    <dataValidation type="list" allowBlank="1" showInputMessage="1" showErrorMessage="1" sqref="H23" xr:uid="{E216D196-39B5-47F7-B781-E164F2D715C0}">
      <formula1>"地价指数,季度增幅（自定义）,按公示增长率计算"</formula1>
    </dataValidation>
    <dataValidation type="list" allowBlank="1" showInputMessage="1" showErrorMessage="1" sqref="C61:C69 C72:C80 C50:C58 C83:C91 C93:C101" xr:uid="{FCA905D4-5FC6-41DC-811D-C7497DB5917D}">
      <formula1>五等判定</formula1>
    </dataValidation>
    <dataValidation type="list" allowBlank="1" showInputMessage="1" showErrorMessage="1" sqref="E3" xr:uid="{D88787E8-9D8C-48F3-BC73-F6A6A01A8551}">
      <formula1>二级分类</formula1>
    </dataValidation>
    <dataValidation type="list" allowBlank="1" showInputMessage="1" showErrorMessage="1" sqref="C8" xr:uid="{E90FF354-EF91-4B8D-96AA-58E328151DC1}">
      <formula1>商业街名称</formula1>
    </dataValidation>
    <dataValidation type="list" allowBlank="1" showInputMessage="1" showErrorMessage="1" sqref="F3" xr:uid="{8FDDB8BB-5C8D-4836-B94C-F53EC1876F40}">
      <formula1>"宗地容积率,估价对象容积率,自定义容积率"</formula1>
    </dataValidation>
    <dataValidation type="list" allowBlank="1" showInputMessage="1" showErrorMessage="1" sqref="E2" xr:uid="{60F3BD01-8DA8-443D-B295-227779079A49}">
      <formula1>"商业,办公,住宅,工业,公共服务"</formula1>
    </dataValidation>
    <dataValidation type="list" allowBlank="1" showInputMessage="1" showErrorMessage="1" sqref="F21" xr:uid="{DA09A1BB-57C3-4687-B6EB-761205E554F3}">
      <formula1>"与级别开发程度一致,与级别开发程度不一致"</formula1>
    </dataValidation>
    <dataValidation type="list" allowBlank="1" showInputMessage="1" showErrorMessage="1" sqref="B25" xr:uid="{C45655AC-7F5E-472A-8036-469812A9D642}">
      <formula1>"容积率修正,楼层修正"</formula1>
    </dataValidation>
    <dataValidation type="list" allowBlank="1" showInputMessage="1" showErrorMessage="1" sqref="C15:D15" xr:uid="{F52F9B85-FF4B-406E-BE62-179E0FD05E32}">
      <formula1>"有,无"</formula1>
    </dataValidation>
    <dataValidation type="list" allowBlank="1" showInputMessage="1" showErrorMessage="1" sqref="E15" xr:uid="{1545CE4F-E421-4CF5-94C1-0DC2B7B8975C}">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7ED51-032F-4108-B6F2-8A93C1C0422E}">
  <sheetPr>
    <tabColor rgb="FFFF0000"/>
  </sheetPr>
  <dimension ref="A1:AJ512"/>
  <sheetViews>
    <sheetView view="pageBreakPreview" zoomScale="85" zoomScaleNormal="100" zoomScaleSheetLayoutView="85" zoomScalePageLayoutView="80" workbookViewId="0">
      <selection activeCell="E14" sqref="E14"/>
    </sheetView>
  </sheetViews>
  <sheetFormatPr defaultColWidth="12.625" defaultRowHeight="21.75" customHeight="1"/>
  <cols>
    <col min="1" max="2" width="12.625" style="1559"/>
    <col min="3" max="4" width="12.625" style="1559" customWidth="1"/>
    <col min="5" max="9" width="12.625" style="1559"/>
    <col min="10" max="11" width="12.625" style="684" customWidth="1"/>
    <col min="12" max="12" width="12.625" style="684"/>
    <col min="13" max="13" width="14.125" style="684" bestFit="1" customWidth="1"/>
    <col min="14" max="26" width="12.625" style="684"/>
    <col min="27" max="35" width="12.625" style="1621"/>
    <col min="36" max="16384" width="12.625" style="1559"/>
  </cols>
  <sheetData>
    <row r="1" spans="1:12" ht="21.75" customHeight="1" thickBot="1">
      <c r="A1" s="1519" t="s">
        <v>1257</v>
      </c>
      <c r="B1" s="646"/>
      <c r="C1" s="1618"/>
      <c r="D1" s="646"/>
      <c r="E1" s="646"/>
      <c r="F1" s="1619" t="s">
        <v>1258</v>
      </c>
      <c r="G1" s="1451"/>
      <c r="H1" s="1619" t="str">
        <f>IF(G1="现房","——","估价对象范围")</f>
        <v>估价对象范围</v>
      </c>
      <c r="I1" s="1620"/>
    </row>
    <row r="2" spans="1:12" ht="21.75" customHeight="1" thickBot="1">
      <c r="A2" s="3308" t="str">
        <f>项目基本情况!S2</f>
        <v>北京市房地产</v>
      </c>
      <c r="B2" s="3309"/>
      <c r="C2" s="3309"/>
      <c r="D2" s="3309"/>
      <c r="E2" s="3309"/>
      <c r="F2" s="3309"/>
      <c r="G2" s="3309"/>
      <c r="H2" s="3309"/>
      <c r="I2" s="3310"/>
    </row>
    <row r="3" spans="1:12" ht="12.75">
      <c r="A3" s="3312" t="s">
        <v>1259</v>
      </c>
      <c r="B3" s="3313"/>
      <c r="C3" s="3313"/>
      <c r="D3" s="3313"/>
      <c r="E3" s="3313"/>
      <c r="F3" s="3313"/>
      <c r="G3" s="3313"/>
      <c r="H3" s="3313"/>
      <c r="I3" s="3313"/>
    </row>
    <row r="4" spans="1:12" ht="14.25">
      <c r="A4" s="1622" t="s">
        <v>1260</v>
      </c>
      <c r="B4" s="1623" t="s">
        <v>1261</v>
      </c>
      <c r="C4" s="1624" t="s">
        <v>3479</v>
      </c>
      <c r="D4" s="1624" t="s">
        <v>3468</v>
      </c>
      <c r="E4" s="3314" t="s">
        <v>1262</v>
      </c>
      <c r="F4" s="3315"/>
      <c r="G4" s="3315"/>
      <c r="H4" s="3315"/>
      <c r="I4" s="3316"/>
      <c r="K4" s="138" t="str">
        <f>IF(ISNUMBER(FIND("比较法",地下车库结果表!C4)),"比较法",IF(ISNUMBER(FIND("成本法",地下车库结果表!C4)),"成本法",IF(ISNUMBER(FIND("假设开发法",地下车库结果表!C4)),"假设开发法",IF(ISNUMBER(FIND("收益法",地下车库结果表!C4)),"收益法","基准地价系数修正法"))))</f>
        <v>成本法</v>
      </c>
      <c r="L4" s="138" t="str">
        <f>IF(ISNUMBER(FIND("比较法",地下车库结果表!D4)),"比较法",IF(ISNUMBER(FIND("成本法",地下车库结果表!D4)),"成本法",IF(ISNUMBER(FIND("假设开发法",地下车库结果表!D4)),"假设开发法",IF(ISNUMBER(FIND("收益法",地下车库结果表!D4)),"收益法","基准地价系数修正法"))))</f>
        <v>收益法</v>
      </c>
    </row>
    <row r="5" spans="1:12" ht="12.75">
      <c r="A5" s="3288" t="s">
        <v>1263</v>
      </c>
      <c r="B5" s="3275">
        <v>25</v>
      </c>
      <c r="C5" s="3291"/>
      <c r="D5" s="3311"/>
      <c r="E5" s="123" t="s">
        <v>1264</v>
      </c>
      <c r="F5" s="1625"/>
      <c r="G5" s="1625"/>
      <c r="H5" s="1625"/>
      <c r="I5" s="1279"/>
    </row>
    <row r="6" spans="1:12" ht="12.75">
      <c r="A6" s="3288"/>
      <c r="B6" s="3275"/>
      <c r="C6" s="3292"/>
      <c r="D6" s="3311"/>
      <c r="E6" s="123" t="s">
        <v>1265</v>
      </c>
      <c r="F6" s="1625"/>
      <c r="G6" s="1625"/>
      <c r="H6" s="1625"/>
      <c r="I6" s="1279"/>
    </row>
    <row r="7" spans="1:12" ht="12.75">
      <c r="A7" s="3288"/>
      <c r="B7" s="3275"/>
      <c r="C7" s="3293"/>
      <c r="D7" s="3311"/>
      <c r="E7" s="123" t="s">
        <v>1266</v>
      </c>
      <c r="F7" s="1625"/>
      <c r="G7" s="1625"/>
      <c r="H7" s="1625"/>
      <c r="I7" s="1279"/>
    </row>
    <row r="8" spans="1:12" ht="12.75">
      <c r="A8" s="3288" t="s">
        <v>1267</v>
      </c>
      <c r="B8" s="3275">
        <v>15</v>
      </c>
      <c r="C8" s="3291"/>
      <c r="D8" s="3311"/>
      <c r="E8" s="123" t="s">
        <v>1268</v>
      </c>
      <c r="F8" s="1625"/>
      <c r="G8" s="1625"/>
      <c r="H8" s="1625"/>
      <c r="I8" s="1279"/>
    </row>
    <row r="9" spans="1:12" ht="12.75">
      <c r="A9" s="3288"/>
      <c r="B9" s="3275"/>
      <c r="C9" s="3293"/>
      <c r="D9" s="3311"/>
      <c r="E9" s="123" t="s">
        <v>1269</v>
      </c>
      <c r="F9" s="1625"/>
      <c r="G9" s="1625"/>
      <c r="H9" s="1625"/>
      <c r="I9" s="1279"/>
    </row>
    <row r="10" spans="1:12" ht="12.75">
      <c r="A10" s="3288" t="s">
        <v>1270</v>
      </c>
      <c r="B10" s="3275">
        <v>15</v>
      </c>
      <c r="C10" s="3291"/>
      <c r="D10" s="3311"/>
      <c r="E10" s="123" t="s">
        <v>1271</v>
      </c>
      <c r="F10" s="1625"/>
      <c r="G10" s="1625"/>
      <c r="H10" s="1625"/>
      <c r="I10" s="1279"/>
    </row>
    <row r="11" spans="1:12" ht="12.75">
      <c r="A11" s="3288"/>
      <c r="B11" s="3275"/>
      <c r="C11" s="3293"/>
      <c r="D11" s="3311"/>
      <c r="E11" s="123" t="s">
        <v>1272</v>
      </c>
      <c r="F11" s="1625"/>
      <c r="G11" s="1625"/>
      <c r="H11" s="1625"/>
      <c r="I11" s="1279"/>
    </row>
    <row r="12" spans="1:12" ht="12.75">
      <c r="A12" s="3288" t="s">
        <v>1273</v>
      </c>
      <c r="B12" s="3275">
        <v>15</v>
      </c>
      <c r="C12" s="3291"/>
      <c r="D12" s="3311"/>
      <c r="E12" s="123" t="s">
        <v>1274</v>
      </c>
      <c r="F12" s="1625"/>
      <c r="G12" s="1625"/>
      <c r="H12" s="1625"/>
      <c r="I12" s="1279"/>
    </row>
    <row r="13" spans="1:12" ht="12.75">
      <c r="A13" s="3288"/>
      <c r="B13" s="3275"/>
      <c r="C13" s="3293"/>
      <c r="D13" s="3311"/>
      <c r="E13" s="123" t="s">
        <v>1275</v>
      </c>
      <c r="F13" s="1625"/>
      <c r="G13" s="1625"/>
      <c r="H13" s="1625"/>
      <c r="I13" s="1279"/>
    </row>
    <row r="14" spans="1:12" ht="12.75">
      <c r="A14" s="3288" t="s">
        <v>1276</v>
      </c>
      <c r="B14" s="3275">
        <v>30</v>
      </c>
      <c r="C14" s="3291">
        <v>6</v>
      </c>
      <c r="D14" s="3311">
        <v>4</v>
      </c>
      <c r="E14" s="123" t="s">
        <v>1277</v>
      </c>
      <c r="F14" s="1625"/>
      <c r="G14" s="1625"/>
      <c r="H14" s="1625"/>
      <c r="I14" s="1279"/>
    </row>
    <row r="15" spans="1:12" ht="12.75">
      <c r="A15" s="3288"/>
      <c r="B15" s="3275"/>
      <c r="C15" s="3292"/>
      <c r="D15" s="3311"/>
      <c r="E15" s="123" t="s">
        <v>1278</v>
      </c>
      <c r="F15" s="1625"/>
      <c r="G15" s="1625"/>
      <c r="H15" s="1625"/>
      <c r="I15" s="1279"/>
    </row>
    <row r="16" spans="1:12" ht="12.75">
      <c r="A16" s="3288"/>
      <c r="B16" s="3275"/>
      <c r="C16" s="3293"/>
      <c r="D16" s="3311"/>
      <c r="E16" s="123" t="s">
        <v>1279</v>
      </c>
      <c r="F16" s="1625"/>
      <c r="G16" s="1625"/>
      <c r="H16" s="1625"/>
      <c r="I16" s="1279"/>
    </row>
    <row r="17" spans="1:36" ht="15">
      <c r="A17" s="1626" t="s">
        <v>1280</v>
      </c>
      <c r="B17" s="54"/>
      <c r="C17" s="124">
        <f>SUM(C5:C16)</f>
        <v>6</v>
      </c>
      <c r="D17" s="124">
        <f>SUM(D5:D16)</f>
        <v>4</v>
      </c>
      <c r="E17" s="121"/>
      <c r="F17" s="121"/>
      <c r="G17" s="121"/>
      <c r="H17" s="121"/>
      <c r="I17" s="121"/>
      <c r="K17" s="294"/>
      <c r="L17" s="294" t="s">
        <v>1281</v>
      </c>
      <c r="M17" s="294" t="s">
        <v>1282</v>
      </c>
    </row>
    <row r="18" spans="1:36" ht="31.9" customHeight="1" thickBot="1">
      <c r="A18" s="1627" t="s">
        <v>1283</v>
      </c>
      <c r="B18" s="1540"/>
      <c r="C18" s="125">
        <f>ROUND(C17/SUM(C17:D17),2)</f>
        <v>0.6</v>
      </c>
      <c r="D18" s="125">
        <f>1-C18</f>
        <v>0.4</v>
      </c>
      <c r="E18" s="3298" t="s">
        <v>2126</v>
      </c>
      <c r="F18" s="3299"/>
      <c r="G18" s="3299"/>
      <c r="H18" s="3299"/>
      <c r="I18" s="3299"/>
      <c r="K18" s="294" t="s">
        <v>1284</v>
      </c>
      <c r="L18" s="294">
        <f>IF(C1="",'数据-汇总表'!E3,SUMIF(项目类型,C1,'数据-汇总表'!E17:E26)+SUMIF(项目类型,C1,'数据-汇总表'!I17:I26))</f>
        <v>139616.6</v>
      </c>
      <c r="M18" s="294">
        <f>IF(C1="",'数据-汇总表'!E3,SUMIF(项目类型,C1,'数据-汇总表'!E17:E26))</f>
        <v>139616.6</v>
      </c>
    </row>
    <row r="19" spans="1:36" ht="15">
      <c r="A19" s="1628" t="s">
        <v>1285</v>
      </c>
      <c r="B19" s="1629" t="s">
        <v>1286</v>
      </c>
      <c r="C19" s="126">
        <f ca="1">SUMIF(INDIRECT("'"&amp;C4&amp;"'"&amp;"!A:A"),地下车库结果表!B19,INDIRECT("'"&amp;C4&amp;"'"&amp;"!B:B"))</f>
        <v>40108</v>
      </c>
      <c r="D19" s="127">
        <f ca="1">SUMIF(INDIRECT("'"&amp;D4&amp;"'"&amp;"!A:A"),地下车库结果表!B19,INDIRECT("'"&amp;D4&amp;"'"&amp;"!B:B"))</f>
        <v>10908</v>
      </c>
      <c r="E19" s="1628" t="s">
        <v>1287</v>
      </c>
      <c r="F19" s="1629" t="s">
        <v>1286</v>
      </c>
      <c r="G19" s="128">
        <f ca="1">ROUND(C19*$C$18+D19*$D$18,0)</f>
        <v>28428</v>
      </c>
      <c r="H19" s="1630" t="s">
        <v>1288</v>
      </c>
      <c r="I19" s="121"/>
      <c r="K19" s="294" t="s">
        <v>1289</v>
      </c>
      <c r="L19" s="294">
        <f>IF(C1="",'数据-汇总表'!D3,SUMIF(项目类型,C1,'数据-汇总表'!D17:D26)+SUMIF(项目类型,C1,'数据-汇总表'!H17:H27))</f>
        <v>13767.47</v>
      </c>
      <c r="M19" s="294">
        <f>IF(C1="",'数据-汇总表'!D3,SUMIF(项目类型,C1,'数据-汇总表'!D17:D26))</f>
        <v>13767.47</v>
      </c>
    </row>
    <row r="20" spans="1:36" ht="15">
      <c r="A20" s="1631"/>
      <c r="B20" s="43" t="s">
        <v>1290</v>
      </c>
      <c r="C20" s="129">
        <f ca="1">SUMIF(INDIRECT("'"&amp;C4&amp;"'"&amp;"!A:A"),地下车库结果表!B20,INDIRECT("'"&amp;C4&amp;"'"&amp;"!B:B"))</f>
        <v>16389</v>
      </c>
      <c r="D20" s="130">
        <f ca="1">SUMIF(INDIRECT("'"&amp;D4&amp;"'"&amp;"!A:A"),地下车库结果表!B20,INDIRECT("'"&amp;D4&amp;"'"&amp;"!B:B"))</f>
        <v>4457</v>
      </c>
      <c r="E20" s="1631"/>
      <c r="F20" s="43" t="s">
        <v>1290</v>
      </c>
      <c r="G20" s="131">
        <f ca="1">ROUND(C20*$C$18+D20*$D$18,0)</f>
        <v>11616</v>
      </c>
      <c r="H20" s="758" t="s">
        <v>1291</v>
      </c>
      <c r="I20" s="121"/>
    </row>
    <row r="21" spans="1:36" ht="15" customHeight="1" thickBot="1">
      <c r="A21" s="449"/>
      <c r="B21" s="93" t="s">
        <v>1292</v>
      </c>
      <c r="C21" s="678">
        <f ca="1">ROUND(C19*10000/L19,0)</f>
        <v>29132</v>
      </c>
      <c r="D21" s="679">
        <f ca="1">ROUND(D19*10000/L19,0)</f>
        <v>7923</v>
      </c>
      <c r="E21" s="449"/>
      <c r="F21" s="93" t="s">
        <v>1292</v>
      </c>
      <c r="G21" s="132">
        <f ca="1">ROUND(G19*10000/L19,0)</f>
        <v>20649</v>
      </c>
      <c r="H21" s="1632" t="s">
        <v>1291</v>
      </c>
      <c r="I21" s="121"/>
    </row>
    <row r="22" spans="1:36" ht="15" thickBot="1">
      <c r="A22" s="1562" t="s">
        <v>1293</v>
      </c>
      <c r="B22" s="1633"/>
      <c r="C22" s="1634"/>
      <c r="D22" s="680">
        <f ca="1">IF(C19&lt;D19,D19/C19-1,C19/D19-1)</f>
        <v>2.6769343601026767</v>
      </c>
      <c r="E22" s="121"/>
      <c r="F22" s="121"/>
      <c r="G22" s="121"/>
      <c r="H22" s="121"/>
      <c r="I22" s="121"/>
    </row>
    <row r="23" spans="1:36" ht="13.5" thickBot="1">
      <c r="A23" s="646"/>
      <c r="B23" s="646"/>
      <c r="C23" s="646"/>
      <c r="D23" s="646"/>
      <c r="E23" s="121"/>
      <c r="F23" s="121"/>
      <c r="G23" s="121"/>
      <c r="H23" s="121"/>
      <c r="I23" s="121"/>
    </row>
    <row r="24" spans="1:36" ht="14.25">
      <c r="A24" s="3282" t="s">
        <v>1294</v>
      </c>
      <c r="B24" s="1629" t="s">
        <v>1286</v>
      </c>
      <c r="C24" s="128">
        <f>IF(B30=0,0,D30)</f>
        <v>0</v>
      </c>
      <c r="D24" s="1635"/>
      <c r="E24" s="121"/>
      <c r="F24" s="121"/>
      <c r="G24" s="121"/>
      <c r="H24" s="121"/>
      <c r="I24" s="121"/>
    </row>
    <row r="25" spans="1:36" ht="14.25">
      <c r="A25" s="3283"/>
      <c r="B25" s="43" t="s">
        <v>1290</v>
      </c>
      <c r="C25" s="133">
        <f>IF(B30=0,0,C30)</f>
        <v>0</v>
      </c>
      <c r="D25" s="1636"/>
      <c r="E25" s="121"/>
      <c r="F25" s="121"/>
      <c r="G25" s="121"/>
      <c r="H25" s="121"/>
      <c r="I25" s="121"/>
    </row>
    <row r="26" spans="1:36" ht="13.5" customHeight="1">
      <c r="A26" s="1637" t="s">
        <v>1295</v>
      </c>
      <c r="B26" s="134" t="s">
        <v>1296</v>
      </c>
      <c r="C26" s="134" t="s">
        <v>1297</v>
      </c>
      <c r="D26" s="135" t="s">
        <v>1298</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1299</v>
      </c>
      <c r="B30" s="134"/>
      <c r="C30" s="134"/>
      <c r="D30" s="134"/>
      <c r="E30" s="2125" t="s">
        <v>2127</v>
      </c>
      <c r="F30" s="121"/>
      <c r="G30" s="121"/>
      <c r="H30" s="121"/>
      <c r="I30" s="121"/>
    </row>
    <row r="31" spans="1:36" s="2131" customFormat="1" ht="26.45" customHeight="1" thickTop="1" thickBot="1">
      <c r="A31" s="2126"/>
      <c r="B31" s="2127"/>
      <c r="C31" s="2127"/>
      <c r="D31" s="2127"/>
      <c r="E31" s="2127"/>
      <c r="F31" s="2127"/>
      <c r="G31" s="2127"/>
      <c r="H31" s="2127"/>
      <c r="I31" s="2128" t="s">
        <v>2128</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1300</v>
      </c>
      <c r="B32" s="1533"/>
      <c r="C32" s="136">
        <f ca="1">IF(D32="总价",G19-C24,G20-C25)</f>
        <v>28428</v>
      </c>
      <c r="D32" s="1639" t="s">
        <v>3470</v>
      </c>
      <c r="E32" s="121"/>
      <c r="F32" s="121"/>
      <c r="G32" s="121"/>
      <c r="H32" s="121"/>
      <c r="I32" s="121"/>
    </row>
    <row r="33" spans="1:15" ht="15">
      <c r="A33" s="738" t="s">
        <v>1301</v>
      </c>
      <c r="B33" s="123"/>
      <c r="C33" s="1640" t="s">
        <v>3471</v>
      </c>
      <c r="D33" s="1641" t="s">
        <v>3441</v>
      </c>
      <c r="E33" s="1642" t="s">
        <v>1302</v>
      </c>
      <c r="F33" s="1643" t="str">
        <f>IF(D32="楼面单价","取值（单价）","取值（总价）")</f>
        <v>取值（总价）</v>
      </c>
      <c r="G33" s="121"/>
      <c r="H33" s="121"/>
      <c r="I33" s="121"/>
    </row>
    <row r="34" spans="1:15" ht="15">
      <c r="A34" s="1644"/>
      <c r="B34" s="1645" t="s">
        <v>1303</v>
      </c>
      <c r="C34" s="140" t="e">
        <f ca="1">IF(C33="自定义",F34,C32-C35)</f>
        <v>#REF!</v>
      </c>
      <c r="D34" s="806" t="e">
        <f ca="1">IF(C33="自定义",ROUND(C34/C32,3),IF(C33="收益比率",SUMIF(INDIRECT("'"&amp;D33&amp;"'"&amp;"!b:b"),"土地收益比率",INDIRECT("'"&amp;D33&amp;"'"&amp;"!c:c")),SUMIF(INDIRECT("'"&amp;D33&amp;"'"&amp;"!b:b"),"土地成本比率",INDIRECT("'"&amp;D33&amp;"'"&amp;"!c:c"))))</f>
        <v>#REF!</v>
      </c>
      <c r="E34" s="1646" t="s">
        <v>1304</v>
      </c>
      <c r="F34" s="1241"/>
      <c r="G34" s="121"/>
      <c r="H34" s="121"/>
      <c r="I34" s="121"/>
    </row>
    <row r="35" spans="1:15" ht="15.75" thickBot="1">
      <c r="A35" s="1647"/>
      <c r="B35" s="1648" t="s">
        <v>1305</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1306</v>
      </c>
      <c r="F35" s="146"/>
      <c r="G35" s="121"/>
      <c r="H35" s="121"/>
      <c r="I35" s="121"/>
    </row>
    <row r="36" spans="1:15" ht="15.75" thickBot="1">
      <c r="A36" s="3302" t="s">
        <v>1307</v>
      </c>
      <c r="B36" s="1650" t="s">
        <v>1308</v>
      </c>
      <c r="C36" s="137"/>
      <c r="D36" s="1651"/>
      <c r="E36" s="1565"/>
      <c r="F36" s="1652"/>
      <c r="G36" s="121"/>
      <c r="H36" s="121"/>
      <c r="I36" s="121"/>
    </row>
    <row r="37" spans="1:15" ht="15.75" thickBot="1">
      <c r="A37" s="3303"/>
      <c r="B37" s="1553" t="s">
        <v>1309</v>
      </c>
      <c r="C37" s="139"/>
      <c r="D37" s="1069"/>
      <c r="E37" s="1069"/>
      <c r="F37" s="1652"/>
      <c r="G37" s="121"/>
      <c r="H37" s="121"/>
      <c r="I37" s="121"/>
    </row>
    <row r="38" spans="1:15" ht="15.75" thickBot="1">
      <c r="A38" s="3304"/>
      <c r="B38" s="1653" t="s">
        <v>1310</v>
      </c>
      <c r="C38" s="641"/>
      <c r="D38" s="1654" t="s">
        <v>1311</v>
      </c>
      <c r="E38" s="1069"/>
      <c r="F38" s="1652"/>
      <c r="G38" s="121"/>
      <c r="H38" s="121"/>
      <c r="I38" s="121"/>
    </row>
    <row r="39" spans="1:15" ht="15">
      <c r="A39" s="1631" t="s">
        <v>1312</v>
      </c>
      <c r="B39" s="1655" t="s">
        <v>1296</v>
      </c>
      <c r="C39" s="1656" t="s">
        <v>1297</v>
      </c>
      <c r="D39" s="1656" t="s">
        <v>1315</v>
      </c>
      <c r="E39" s="1657" t="s">
        <v>1298</v>
      </c>
      <c r="F39" s="1652"/>
      <c r="G39" s="121"/>
      <c r="H39" s="121"/>
      <c r="I39" s="121"/>
    </row>
    <row r="40" spans="1:15" ht="14.25">
      <c r="A40" s="1658" t="s">
        <v>1317</v>
      </c>
      <c r="B40" s="141"/>
      <c r="C40" s="142"/>
      <c r="D40" s="142"/>
      <c r="E40" s="143"/>
      <c r="F40" s="1652"/>
      <c r="G40" s="121"/>
      <c r="H40" s="121"/>
      <c r="I40" s="121"/>
    </row>
    <row r="41" spans="1:15" ht="14.25">
      <c r="A41" s="1658" t="s">
        <v>1318</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1319</v>
      </c>
      <c r="B44" s="1662"/>
      <c r="C44" s="1662"/>
      <c r="D44" s="1663"/>
      <c r="E44" s="1663"/>
      <c r="F44" s="1664"/>
      <c r="G44" s="1664"/>
      <c r="H44" s="1664"/>
      <c r="I44" s="1664"/>
      <c r="J44" s="1665" t="s">
        <v>1320</v>
      </c>
      <c r="K44" s="4"/>
      <c r="L44" s="4"/>
      <c r="M44" s="4"/>
      <c r="N44" s="4"/>
      <c r="O44" s="4"/>
    </row>
    <row r="45" spans="1:15" ht="14.25" customHeight="1" thickBot="1">
      <c r="A45" s="3279" t="s">
        <v>1321</v>
      </c>
      <c r="B45" s="3280"/>
      <c r="C45" s="3281"/>
      <c r="D45" s="147">
        <f ca="1">ROUND(H101*F45,0)</f>
        <v>28428</v>
      </c>
      <c r="E45" s="148" t="s">
        <v>1322</v>
      </c>
      <c r="F45" s="149">
        <v>1</v>
      </c>
      <c r="G45" s="150" t="s">
        <v>1323</v>
      </c>
      <c r="H45" s="121"/>
      <c r="I45" s="121"/>
      <c r="J45" s="3357" t="s">
        <v>1324</v>
      </c>
      <c r="K45" s="3357"/>
      <c r="L45" s="3357"/>
      <c r="M45" s="3357"/>
      <c r="N45" s="3357"/>
      <c r="O45" s="3357"/>
    </row>
    <row r="46" spans="1:15" ht="14.25" customHeight="1">
      <c r="A46" s="3276" t="s">
        <v>1325</v>
      </c>
      <c r="B46" s="3277"/>
      <c r="C46" s="3277"/>
      <c r="D46" s="3277"/>
      <c r="E46" s="3277"/>
      <c r="F46" s="3277"/>
      <c r="G46" s="3278"/>
      <c r="H46" s="1666"/>
      <c r="I46" s="151"/>
      <c r="J46" s="2306">
        <v>1</v>
      </c>
      <c r="K46" s="3338" t="s">
        <v>1326</v>
      </c>
      <c r="L46" s="3338"/>
      <c r="M46" s="3358"/>
      <c r="N46" s="3358"/>
      <c r="O46" s="3358"/>
    </row>
    <row r="47" spans="1:15" ht="12" customHeight="1">
      <c r="A47" s="152" t="s">
        <v>1327</v>
      </c>
      <c r="B47" s="153"/>
      <c r="C47" s="154"/>
      <c r="D47" s="1022" t="s">
        <v>1328</v>
      </c>
      <c r="E47" s="294" t="s">
        <v>1329</v>
      </c>
      <c r="F47" s="155" t="s">
        <v>1330</v>
      </c>
      <c r="G47" s="2329" t="s">
        <v>1331</v>
      </c>
      <c r="H47" s="2330"/>
      <c r="I47" s="151"/>
      <c r="J47" s="2306">
        <v>2</v>
      </c>
      <c r="K47" s="3338" t="s">
        <v>1332</v>
      </c>
      <c r="L47" s="3338"/>
      <c r="M47" s="3359">
        <f>'数据-取费表'!B2</f>
        <v>45804</v>
      </c>
      <c r="N47" s="3359"/>
      <c r="O47" s="3359"/>
    </row>
    <row r="48" spans="1:15" ht="25.5">
      <c r="A48" s="3307" t="s">
        <v>1333</v>
      </c>
      <c r="B48" s="3290"/>
      <c r="C48" s="3290"/>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1334</v>
      </c>
      <c r="H48" s="2333"/>
      <c r="I48" s="1666"/>
      <c r="J48" s="2306">
        <v>3</v>
      </c>
      <c r="K48" s="3338" t="s">
        <v>1335</v>
      </c>
      <c r="L48" s="3338"/>
      <c r="M48" s="3360">
        <f ca="1">H101</f>
        <v>28428</v>
      </c>
      <c r="N48" s="3360"/>
      <c r="O48" s="3360"/>
    </row>
    <row r="49" spans="1:35" ht="25.5" customHeight="1">
      <c r="A49" s="2150" t="s">
        <v>1336</v>
      </c>
      <c r="B49" s="3274" t="s">
        <v>1337</v>
      </c>
      <c r="C49" s="3274"/>
      <c r="D49" s="1476">
        <v>0</v>
      </c>
      <c r="E49" s="316" t="s">
        <v>1338</v>
      </c>
      <c r="F49" s="2231" t="s">
        <v>28</v>
      </c>
      <c r="G49" s="3344"/>
      <c r="H49" s="2132" t="s">
        <v>2129</v>
      </c>
      <c r="I49" s="2133"/>
      <c r="J49" s="2306">
        <v>4</v>
      </c>
      <c r="K49" s="3338" t="str">
        <f>IF(项目基本情况!E8="房地产抵押价值","房地产抵押价值","抵押担保权已注销时的房地产抵押价值")</f>
        <v>房地产抵押价值</v>
      </c>
      <c r="L49" s="3338"/>
      <c r="M49" s="3360">
        <f ca="1">IF(项目基本情况!E8="房地产抵押价值",H107,H109)</f>
        <v>28428</v>
      </c>
      <c r="N49" s="3360"/>
      <c r="O49" s="3360"/>
    </row>
    <row r="50" spans="1:35" ht="25.5" customHeight="1">
      <c r="A50" s="2334"/>
      <c r="B50" s="3274" t="s">
        <v>1339</v>
      </c>
      <c r="C50" s="3274"/>
      <c r="D50" s="2187"/>
      <c r="E50" s="323"/>
      <c r="F50" s="2231"/>
      <c r="G50" s="3345"/>
      <c r="H50" s="2134" t="s">
        <v>2130</v>
      </c>
      <c r="I50" s="2133"/>
      <c r="J50" s="3357" t="s">
        <v>1340</v>
      </c>
      <c r="K50" s="3357"/>
      <c r="L50" s="3357"/>
      <c r="M50" s="3357"/>
      <c r="N50" s="3357"/>
      <c r="O50" s="3357"/>
    </row>
    <row r="51" spans="1:35" ht="20.45" customHeight="1">
      <c r="A51" s="2335"/>
      <c r="B51" s="3274" t="s">
        <v>1341</v>
      </c>
      <c r="C51" s="3274"/>
      <c r="D51" s="1022"/>
      <c r="E51" s="319"/>
      <c r="F51" s="2231"/>
      <c r="G51" s="3346"/>
      <c r="H51" s="2134" t="s">
        <v>2131</v>
      </c>
      <c r="I51" s="2133"/>
      <c r="J51" s="2307" t="s">
        <v>1342</v>
      </c>
      <c r="K51" s="3338" t="s">
        <v>1343</v>
      </c>
      <c r="L51" s="3338"/>
      <c r="M51" s="2307" t="s">
        <v>1344</v>
      </c>
      <c r="N51" s="2307" t="s">
        <v>1345</v>
      </c>
      <c r="O51" s="2307" t="s">
        <v>1346</v>
      </c>
    </row>
    <row r="52" spans="1:35" ht="24" customHeight="1">
      <c r="A52" s="2151" t="s">
        <v>1347</v>
      </c>
      <c r="B52" s="3274" t="s">
        <v>1348</v>
      </c>
      <c r="C52" s="3274"/>
      <c r="D52" s="1022">
        <f ca="1">ROUND(D45*'数据-取费表'!B41/(1+'数据-取费表'!C42),0)</f>
        <v>1516</v>
      </c>
      <c r="E52" s="1254" t="s">
        <v>1349</v>
      </c>
      <c r="F52" s="2336">
        <f>'数据-取费表'!B41</f>
        <v>5.6000000000000001E-2</v>
      </c>
      <c r="G52" s="2337"/>
      <c r="H52" s="2327"/>
      <c r="I52" s="1667"/>
      <c r="J52" s="2306">
        <v>1</v>
      </c>
      <c r="K52" s="3339" t="s">
        <v>1350</v>
      </c>
      <c r="L52" s="3339"/>
      <c r="M52" s="2308" t="b">
        <f>D48</f>
        <v>0</v>
      </c>
      <c r="N52" s="2306" t="str">
        <f>E48</f>
        <v>销售额×税（费）率</v>
      </c>
      <c r="O52" s="2309">
        <f>F48</f>
        <v>5.6000000000000001E-2</v>
      </c>
    </row>
    <row r="53" spans="1:35" ht="12" customHeight="1">
      <c r="A53" s="2151" t="s">
        <v>1351</v>
      </c>
      <c r="B53" s="3300" t="s">
        <v>2277</v>
      </c>
      <c r="C53" s="3301"/>
      <c r="D53" s="1022">
        <f ca="1">ROUND(D45*'数据-取费表'!B41/(1+'数据-取费表'!C42),0)</f>
        <v>1516</v>
      </c>
      <c r="E53" s="1254" t="s">
        <v>1349</v>
      </c>
      <c r="F53" s="2336">
        <f>'数据-取费表'!B41</f>
        <v>5.6000000000000001E-2</v>
      </c>
      <c r="G53" s="2337"/>
      <c r="H53" s="2327"/>
      <c r="I53" s="1667"/>
      <c r="J53" s="2306">
        <v>2</v>
      </c>
      <c r="K53" s="3339" t="s">
        <v>1352</v>
      </c>
      <c r="L53" s="3339"/>
      <c r="M53" s="2308">
        <f t="shared" ref="M53:O54" ca="1" si="0">D55</f>
        <v>14</v>
      </c>
      <c r="N53" s="2306" t="str">
        <f t="shared" si="0"/>
        <v>销售额×税（费）率</v>
      </c>
      <c r="O53" s="2309" t="str">
        <f t="shared" si="0"/>
        <v>免征</v>
      </c>
    </row>
    <row r="54" spans="1:35" ht="12" customHeight="1">
      <c r="A54" s="2151" t="s">
        <v>1353</v>
      </c>
      <c r="B54" s="3300" t="s">
        <v>2278</v>
      </c>
      <c r="C54" s="3301"/>
      <c r="D54" s="1022">
        <f ca="1">C68</f>
        <v>1516</v>
      </c>
      <c r="E54" s="319" t="s">
        <v>1354</v>
      </c>
      <c r="F54" s="2336">
        <f>'数据-取费表'!B41</f>
        <v>5.6000000000000001E-2</v>
      </c>
      <c r="G54" s="2337"/>
      <c r="H54" s="2338"/>
      <c r="I54" s="1667"/>
      <c r="J54" s="2306">
        <v>3</v>
      </c>
      <c r="K54" s="3339" t="s">
        <v>1355</v>
      </c>
      <c r="L54" s="3339"/>
      <c r="M54" s="2308">
        <f t="shared" ca="1" si="0"/>
        <v>16091</v>
      </c>
      <c r="N54" s="2306" t="str">
        <f t="shared" si="0"/>
        <v>增值额×税（费）率</v>
      </c>
      <c r="O54" s="2310" t="str">
        <f t="shared" si="0"/>
        <v>免征</v>
      </c>
    </row>
    <row r="55" spans="1:35" ht="24" customHeight="1">
      <c r="A55" s="3289" t="s">
        <v>1356</v>
      </c>
      <c r="B55" s="3290"/>
      <c r="C55" s="3290"/>
      <c r="D55" s="12">
        <f ca="1">IF(H55="个人住宅",0,ROUND(D45*I55,0))</f>
        <v>14</v>
      </c>
      <c r="E55" s="1254" t="s">
        <v>1357</v>
      </c>
      <c r="F55" s="2336" t="str">
        <f>IF(H55="正常",I55,"免征")</f>
        <v>免征</v>
      </c>
      <c r="G55" s="2337"/>
      <c r="H55" s="2333"/>
      <c r="I55" s="157">
        <f>'数据-取费表'!B49</f>
        <v>5.0000000000000001E-4</v>
      </c>
      <c r="J55" s="2306">
        <f>IF(H59="非个人房产","",4)</f>
        <v>4</v>
      </c>
      <c r="K55" s="3339" t="str">
        <f>IF(H59="非个人房产","——","个人所得税")</f>
        <v>个人所得税</v>
      </c>
      <c r="L55" s="3339"/>
      <c r="M55" s="2311">
        <f ca="1">D59</f>
        <v>271</v>
      </c>
      <c r="N55" s="1881" t="str">
        <f>E59</f>
        <v>差额计税</v>
      </c>
      <c r="O55" s="2312">
        <f>F59</f>
        <v>0.01</v>
      </c>
    </row>
    <row r="56" spans="1:35" ht="24.75">
      <c r="A56" s="3289" t="s">
        <v>1358</v>
      </c>
      <c r="B56" s="3290"/>
      <c r="C56" s="3290"/>
      <c r="D56" s="12">
        <f ca="1">IF(H56="个人住宅",D57,D58)</f>
        <v>16091</v>
      </c>
      <c r="E56" s="1254" t="s">
        <v>1359</v>
      </c>
      <c r="F56" s="2336" t="str">
        <f>IF(H56="正常",F58,"免征")</f>
        <v>免征</v>
      </c>
      <c r="G56" s="2339" t="s">
        <v>1360</v>
      </c>
      <c r="H56" s="2340"/>
      <c r="I56" s="1668"/>
      <c r="J56" s="2306" t="str">
        <f>IF(项目基本情况!K6="上海银行",IF(J55="",4,J55+1),"")</f>
        <v/>
      </c>
      <c r="K56" s="3362" t="str">
        <f>IF(项目基本情况!K6="上海银行","其他处置费用","")</f>
        <v/>
      </c>
      <c r="L56" s="3363"/>
      <c r="M56" s="2308" t="str">
        <f>IF(项目基本情况!K6="上海银行",M69,"")</f>
        <v/>
      </c>
      <c r="N56" s="3362" t="str">
        <f>IF(项目基本情况!K6="上海银行","包含处置中涉及的律师、诉讼、拍卖、评估等费用","")</f>
        <v/>
      </c>
      <c r="O56" s="3365"/>
    </row>
    <row r="57" spans="1:35" ht="12.75">
      <c r="A57" s="2151" t="s">
        <v>1336</v>
      </c>
      <c r="B57" s="3300" t="s">
        <v>1361</v>
      </c>
      <c r="C57" s="3301"/>
      <c r="D57" s="1476">
        <v>0</v>
      </c>
      <c r="E57" s="316" t="s">
        <v>1338</v>
      </c>
      <c r="F57" s="294"/>
      <c r="G57" s="2337"/>
      <c r="H57" s="2341"/>
      <c r="I57" s="1668"/>
      <c r="J57" s="3339">
        <f>IF(AND(J55="",J56=""),4,IF(项目基本情况!K6="上海银行",地下车库结果表!J56+1,地下车库结果表!J55+1))</f>
        <v>5</v>
      </c>
      <c r="K57" s="3339" t="s">
        <v>1362</v>
      </c>
      <c r="L57" s="2313" t="s">
        <v>1363</v>
      </c>
      <c r="M57" s="2314"/>
      <c r="N57" s="2315">
        <f ca="1">SUMIF(M52:M56,"&lt;9e307")</f>
        <v>16376</v>
      </c>
      <c r="O57" s="2316"/>
      <c r="P57" s="2461">
        <f ca="1">N57/M49</f>
        <v>0.57605177993527512</v>
      </c>
    </row>
    <row r="58" spans="1:35" ht="24.75">
      <c r="A58" s="2151" t="s">
        <v>1347</v>
      </c>
      <c r="B58" s="3300" t="s">
        <v>1364</v>
      </c>
      <c r="C58" s="3274"/>
      <c r="D58" s="12">
        <f ca="1">IF(H58="转让取得",C81,C97)</f>
        <v>16091</v>
      </c>
      <c r="E58" s="1254" t="s">
        <v>1359</v>
      </c>
      <c r="F58" s="294" t="s">
        <v>28</v>
      </c>
      <c r="G58" s="2337"/>
      <c r="H58" s="2340"/>
      <c r="I58" s="1668"/>
      <c r="J58" s="3339"/>
      <c r="K58" s="3339"/>
      <c r="L58" s="2313" t="s">
        <v>1365</v>
      </c>
      <c r="M58" s="2317"/>
      <c r="N58" s="2318" t="str">
        <f ca="1">NUMBERSTRING(INT(N57*10000),2)&amp;"元整"</f>
        <v>壹亿陆仟叁佰柒拾陆万元整</v>
      </c>
      <c r="O58" s="2319"/>
    </row>
    <row r="59" spans="1:35" ht="24.75" thickBot="1">
      <c r="A59" s="3342" t="s">
        <v>1366</v>
      </c>
      <c r="B59" s="3343"/>
      <c r="C59" s="3343"/>
      <c r="D59" s="2342">
        <f ca="1">IF(H59="非个人房产","——",IF(H59="个人住宅（满五唯一有凭证）",0,IF(H59="个人其他（无凭证）",ROUND(D45*F59,0),ROUND(C67*F59,0))))</f>
        <v>271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1360</v>
      </c>
      <c r="H59" s="2136"/>
      <c r="I59" s="2135" t="s">
        <v>2132</v>
      </c>
      <c r="J59" s="3340">
        <f>J57+1</f>
        <v>6</v>
      </c>
      <c r="K59" s="3339" t="s">
        <v>1367</v>
      </c>
      <c r="L59" s="2306" t="s">
        <v>1363</v>
      </c>
      <c r="M59" s="2320"/>
      <c r="N59" s="2321">
        <f ca="1">M49-N57</f>
        <v>12052</v>
      </c>
      <c r="O59" s="2322"/>
    </row>
    <row r="60" spans="1:35" ht="12" customHeight="1">
      <c r="A60" s="1669"/>
      <c r="B60" s="646"/>
      <c r="C60" s="646"/>
      <c r="D60" s="646"/>
      <c r="E60" s="1464"/>
      <c r="F60" s="1668"/>
      <c r="G60" s="1668"/>
      <c r="H60" s="151"/>
      <c r="I60" s="121"/>
      <c r="J60" s="3341"/>
      <c r="K60" s="3339"/>
      <c r="L60" s="2313" t="s">
        <v>1365</v>
      </c>
      <c r="M60" s="2317"/>
      <c r="N60" s="2318" t="str">
        <f ca="1">NUMBERSTRING(INT(N59*10000),2)&amp;"元整"</f>
        <v>壹亿贰仟零伍拾贰万元整</v>
      </c>
      <c r="O60" s="2319"/>
    </row>
    <row r="61" spans="1:35" ht="13.5" thickBot="1">
      <c r="A61" s="3287" t="s">
        <v>1368</v>
      </c>
      <c r="B61" s="3287"/>
      <c r="C61" s="3287"/>
      <c r="D61" s="3287"/>
      <c r="E61" s="3287"/>
      <c r="F61" s="1668"/>
      <c r="G61" s="1668"/>
      <c r="H61" s="151"/>
      <c r="I61" s="121"/>
      <c r="J61" s="2306">
        <f>J59+1</f>
        <v>7</v>
      </c>
      <c r="K61" s="3339" t="s">
        <v>1369</v>
      </c>
      <c r="L61" s="3339"/>
      <c r="M61" s="2323"/>
      <c r="N61" s="2324">
        <f ca="1">ROUND(N59*10000/'数据-汇总表'!E3,0)</f>
        <v>863</v>
      </c>
      <c r="O61" s="2325"/>
    </row>
    <row r="62" spans="1:35" ht="12.75">
      <c r="A62" s="3305" t="s">
        <v>1370</v>
      </c>
      <c r="B62" s="3306"/>
      <c r="C62" s="1863"/>
      <c r="D62" s="1863" t="s">
        <v>1371</v>
      </c>
      <c r="E62" s="158" t="s">
        <v>1372</v>
      </c>
      <c r="F62" s="1668"/>
      <c r="G62" s="1668"/>
      <c r="H62" s="151"/>
      <c r="I62" s="121"/>
    </row>
    <row r="63" spans="1:35" ht="12.75">
      <c r="A63" s="165" t="s">
        <v>330</v>
      </c>
      <c r="B63" s="159" t="s">
        <v>1373</v>
      </c>
      <c r="C63" s="2346">
        <f ca="1">ROUND((C64+C65)/(1+'数据-取费表'!C42),0)</f>
        <v>27074</v>
      </c>
      <c r="D63" s="159"/>
      <c r="E63" s="160"/>
      <c r="F63" s="1668"/>
      <c r="G63" s="1668"/>
      <c r="H63" s="151"/>
      <c r="I63" s="121"/>
      <c r="J63" s="3364" t="s">
        <v>1374</v>
      </c>
      <c r="K63" s="1243" t="s">
        <v>1375</v>
      </c>
      <c r="L63" s="1243">
        <f ca="1">IF(M49&gt;10000,M49*0.5%,IF(AND(M49&gt;1000,M49&lt;=10000),M49*1%,IF(AND(M49&gt;100,M49&lt;=1000),M49*3%,IF(AND(M49&gt;10,M49&lt;=100),M49*5%,M49*8%))))</f>
        <v>142.14000000000001</v>
      </c>
      <c r="M63" s="294">
        <f ca="1">ROUND(L63,1)</f>
        <v>142.1</v>
      </c>
      <c r="N63" s="2326"/>
      <c r="Z63" s="1621"/>
      <c r="AI63" s="1559"/>
    </row>
    <row r="64" spans="1:35" ht="14.25" customHeight="1">
      <c r="A64" s="161" t="s">
        <v>325</v>
      </c>
      <c r="B64" s="162" t="s">
        <v>1376</v>
      </c>
      <c r="C64" s="2347">
        <f ca="1">D45</f>
        <v>28428</v>
      </c>
      <c r="D64" s="162" t="s">
        <v>26</v>
      </c>
      <c r="E64" s="164"/>
      <c r="F64" s="1668"/>
      <c r="G64" s="1668"/>
      <c r="H64" s="151"/>
      <c r="I64" s="121"/>
      <c r="J64" s="3364"/>
      <c r="K64" s="1243" t="s">
        <v>1377</v>
      </c>
      <c r="L64" s="1243">
        <f ca="1">IF(M49&gt;2000,M49*0.5%,IF(AND(M49&gt;1000,M49&lt;=2000),M49*0.6%,IF(AND(M49&gt;500,M49&lt;=1000),M49*0.7%,IF(AND(M49&gt;200,M49&lt;=500),M49*0.8%,IF(AND(M49&gt;100,M49&lt;=200),M49*0.9%,IF(AND(M49&gt;50,M49&lt;=100),M49*1%,IF(AND(M49&gt;20,M49&lt;=50),M49*1.5%,IF(AND(M49&gt;10,M49&lt;=20),M49*2%,IF(AND(M49&gt;1,M49&lt;=10),M49*2.5%)))))))))</f>
        <v>142.14000000000001</v>
      </c>
      <c r="M64" s="294">
        <f t="shared" ref="M64:M65" ca="1" si="1">ROUND(L64,1)</f>
        <v>142.1</v>
      </c>
      <c r="N64" s="2327" t="s">
        <v>1378</v>
      </c>
      <c r="Z64" s="1621"/>
      <c r="AI64" s="1559"/>
    </row>
    <row r="65" spans="1:35" ht="14.25" customHeight="1">
      <c r="A65" s="161" t="s">
        <v>326</v>
      </c>
      <c r="B65" s="162" t="s">
        <v>1379</v>
      </c>
      <c r="C65" s="2348"/>
      <c r="D65" s="162"/>
      <c r="E65" s="164"/>
      <c r="F65" s="1668"/>
      <c r="G65" s="1668"/>
      <c r="H65" s="151"/>
      <c r="I65" s="121"/>
      <c r="J65" s="3364"/>
      <c r="K65" s="1243" t="s">
        <v>1380</v>
      </c>
      <c r="L65" s="1243">
        <f ca="1">IF(M49&gt;1000,M49*0.1%,IF(AND(M49&gt;500,M49&lt;=1000),M49*0.5%,IF(AND(M49&gt;50,M49&lt;=500),M49*1%,IF(AND(M49&gt;1,M49&lt;=50),M49*1.5%))))</f>
        <v>28.428000000000001</v>
      </c>
      <c r="M65" s="294">
        <f t="shared" ca="1" si="1"/>
        <v>28.4</v>
      </c>
      <c r="N65" s="2327" t="s">
        <v>1378</v>
      </c>
      <c r="Z65" s="1621"/>
      <c r="AI65" s="1559"/>
    </row>
    <row r="66" spans="1:35" ht="14.25" customHeight="1">
      <c r="A66" s="165" t="s">
        <v>327</v>
      </c>
      <c r="B66" s="166" t="s">
        <v>1381</v>
      </c>
      <c r="C66" s="2349"/>
      <c r="D66" s="166" t="s">
        <v>26</v>
      </c>
      <c r="E66" s="1249" t="s">
        <v>666</v>
      </c>
      <c r="F66" s="1668"/>
      <c r="G66" s="1668"/>
      <c r="H66" s="151"/>
      <c r="I66" s="121"/>
      <c r="J66" s="3364"/>
      <c r="K66" s="1243" t="s">
        <v>1382</v>
      </c>
      <c r="L66" s="1243">
        <f ca="1">M49*0.5%</f>
        <v>142.14000000000001</v>
      </c>
      <c r="M66" s="294">
        <f ca="1">IF(L66&gt;0.5,0.5,ROUND(L66,0))</f>
        <v>0.5</v>
      </c>
      <c r="N66" s="2327" t="s">
        <v>1383</v>
      </c>
      <c r="Z66" s="1621"/>
      <c r="AI66" s="1559"/>
    </row>
    <row r="67" spans="1:35" ht="14.25" customHeight="1">
      <c r="A67" s="165" t="s">
        <v>328</v>
      </c>
      <c r="B67" s="166" t="s">
        <v>1384</v>
      </c>
      <c r="C67" s="2350">
        <f ca="1">C63-C66</f>
        <v>27074</v>
      </c>
      <c r="D67" s="162" t="s">
        <v>26</v>
      </c>
      <c r="E67" s="164"/>
      <c r="F67" s="1668"/>
      <c r="G67" s="1668"/>
      <c r="H67" s="151"/>
      <c r="I67" s="121"/>
      <c r="J67" s="3364"/>
      <c r="K67" s="1243" t="s">
        <v>1385</v>
      </c>
      <c r="L67" s="1243">
        <f ca="1">IF(M49&gt;=10000,(8.25+(M49-10000)*0.01%),IF(AND(M49&gt;=8000,M49&lt;10000),(7.85+(M49-8000)*0.02%),IF(AND(M49&gt;=5000,M49&lt;8000),(6.65+(M49-5000)*0.04%),IF(AND(M49&gt;=2000,M49&lt;5000),(4.25+(PM49-2000)*0.08%),IF(AND(M49&gt;=1000,M49&lt;2000),(2.75+(M49-1000)*0.15%),IF(AND(M49&gt;=100,M49&lt;1000),(0.5+(M49-100)*0.25%),IF(AND(M49&gt;0,M49&lt;100),M49*0.5%)))))))</f>
        <v>10.0928</v>
      </c>
      <c r="M67" s="294">
        <f ca="1">ROUND(L67*0.9,1)</f>
        <v>9.1</v>
      </c>
      <c r="N67" s="2326"/>
      <c r="Z67" s="1621"/>
      <c r="AI67" s="1559"/>
    </row>
    <row r="68" spans="1:35" ht="14.25" customHeight="1" thickBot="1">
      <c r="A68" s="168" t="s">
        <v>329</v>
      </c>
      <c r="B68" s="169" t="s">
        <v>1386</v>
      </c>
      <c r="C68" s="2351">
        <f ca="1">IF(C67&lt;=0,0,ROUND(C67*D68,0))</f>
        <v>1516</v>
      </c>
      <c r="D68" s="2352">
        <f>'数据-取费表'!B41</f>
        <v>5.6000000000000001E-2</v>
      </c>
      <c r="E68" s="170"/>
      <c r="F68" s="1668"/>
      <c r="G68" s="1668"/>
      <c r="H68" s="151"/>
      <c r="I68" s="121"/>
      <c r="J68" s="3364"/>
      <c r="K68" s="1243" t="s">
        <v>1387</v>
      </c>
      <c r="L68" s="1243">
        <f ca="1">IF(M49&gt;10000,M49*0.5%,IF(AND(M49&gt;5000,M49&lt;=10000),M49*1%,IF(AND(M49&gt;1000,M49&lt;=5000),M49*2%,IF(AND(M49&gt;200,M49&lt;=1000),M49*3%,M49*5%))))</f>
        <v>142.14000000000001</v>
      </c>
      <c r="M68" s="294">
        <f ca="1">ROUND(L68,1)</f>
        <v>142.1</v>
      </c>
      <c r="N68" s="2326"/>
      <c r="Z68" s="1621"/>
      <c r="AI68" s="1559"/>
    </row>
    <row r="69" spans="1:35" ht="16.5" customHeight="1">
      <c r="A69" s="1670"/>
      <c r="B69" s="1671"/>
      <c r="C69" s="1672"/>
      <c r="D69" s="1673"/>
      <c r="E69" s="1674"/>
      <c r="F69" s="1464"/>
      <c r="G69" s="1464"/>
      <c r="H69" s="1465"/>
      <c r="I69" s="646"/>
      <c r="J69" s="3364"/>
      <c r="K69" s="1243" t="s">
        <v>1388</v>
      </c>
      <c r="L69" s="1243"/>
      <c r="M69" s="294">
        <f ca="1">ROUND(SUM(M63:M68),0)</f>
        <v>464</v>
      </c>
      <c r="N69" s="2328">
        <f ca="1">M69/M49</f>
        <v>1.632193611931898E-2</v>
      </c>
      <c r="Z69" s="1621"/>
      <c r="AI69" s="1559"/>
    </row>
    <row r="70" spans="1:35" s="642" customFormat="1" ht="15" thickBot="1">
      <c r="A70" s="3326" t="s">
        <v>1389</v>
      </c>
      <c r="B70" s="3327"/>
      <c r="C70" s="3327"/>
      <c r="D70" s="3327"/>
      <c r="E70" s="3327"/>
      <c r="F70" s="3327"/>
      <c r="G70" s="3327"/>
      <c r="H70" s="3327"/>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4.25">
      <c r="A71" s="3305" t="s">
        <v>1370</v>
      </c>
      <c r="B71" s="3306"/>
      <c r="C71" s="1863"/>
      <c r="D71" s="1863" t="s">
        <v>1371</v>
      </c>
      <c r="E71" s="171" t="s">
        <v>1372</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4.25">
      <c r="A72" s="165" t="s">
        <v>330</v>
      </c>
      <c r="B72" s="166" t="s">
        <v>1390</v>
      </c>
      <c r="C72" s="2350">
        <f ca="1">ROUND(D45/(1+'数据-取费表'!C42),0)</f>
        <v>27074</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4.25">
      <c r="A73" s="165" t="s">
        <v>327</v>
      </c>
      <c r="B73" s="155" t="s">
        <v>1391</v>
      </c>
      <c r="C73" s="2350">
        <f ca="1">C74+C78</f>
        <v>162</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1392</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14.25">
      <c r="A75" s="161" t="s">
        <v>331</v>
      </c>
      <c r="B75" s="162" t="s">
        <v>1393</v>
      </c>
      <c r="C75" s="2353"/>
      <c r="D75" s="162" t="s">
        <v>26</v>
      </c>
      <c r="E75" s="176" t="s">
        <v>1394</v>
      </c>
      <c r="F75" s="2354"/>
      <c r="G75" s="176" t="s">
        <v>1395</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1396</v>
      </c>
      <c r="C76" s="162">
        <f>IF(F75="购房发票",ROUND(C75*H75*D76,0),0)</f>
        <v>0</v>
      </c>
      <c r="D76" s="2356">
        <v>0.05</v>
      </c>
      <c r="E76" s="3300" t="s">
        <v>1397</v>
      </c>
      <c r="F76" s="3274"/>
      <c r="G76" s="3274"/>
      <c r="H76" s="3325"/>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1398</v>
      </c>
      <c r="C77" s="162">
        <f>ROUND(IF(G77="个人住宅",0,IF(G77="2016年5月1日前购买",C75*D77,C75*D77/(1+'数据-取费表'!C42))),0)</f>
        <v>0</v>
      </c>
      <c r="D77" s="2357">
        <f>'数据-取费表'!B48+'数据-取费表'!B49</f>
        <v>3.0499999999999999E-2</v>
      </c>
      <c r="E77" s="12" t="s">
        <v>1399</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1400</v>
      </c>
      <c r="C78" s="2358">
        <f ca="1">ROUND(D45*D78/(1+'数据-取费表'!C42),0)</f>
        <v>162</v>
      </c>
      <c r="D78" s="2359">
        <f>'数据-取费表'!B43</f>
        <v>6.000000000000001E-3</v>
      </c>
      <c r="E78" s="3284" t="s">
        <v>1401</v>
      </c>
      <c r="F78" s="3285"/>
      <c r="G78" s="3285"/>
      <c r="H78" s="3294"/>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4.25">
      <c r="A79" s="165" t="s">
        <v>328</v>
      </c>
      <c r="B79" s="166" t="s">
        <v>1402</v>
      </c>
      <c r="C79" s="2350">
        <f ca="1">C72-C73</f>
        <v>26912</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1403</v>
      </c>
      <c r="C80" s="2360">
        <f ca="1">IF(C79&lt;=0,0,C79/C73)</f>
        <v>166.12345679012347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75" thickBot="1">
      <c r="A81" s="168" t="s">
        <v>336</v>
      </c>
      <c r="B81" s="169" t="s">
        <v>1404</v>
      </c>
      <c r="C81" s="2361">
        <f ca="1">ROUND(IF(C79&lt;=0,0,IF(C80&gt;=200%,C79*60%-C73*35%,IF(C80&gt;=100%,C79*50%-C73*15%,IF(C80&gt;=50%,C79*40%-C73*5%,IF(C80&lt;50%,C79*30%,0))))),0)</f>
        <v>16091</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5" thickBot="1">
      <c r="A83" s="3326" t="s">
        <v>1405</v>
      </c>
      <c r="B83" s="3327"/>
      <c r="C83" s="3327"/>
      <c r="D83" s="3327"/>
      <c r="E83" s="3327"/>
      <c r="F83" s="3327"/>
      <c r="G83" s="3327"/>
      <c r="H83" s="3327"/>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4.25">
      <c r="A84" s="3305" t="s">
        <v>1370</v>
      </c>
      <c r="B84" s="3306"/>
      <c r="C84" s="1863"/>
      <c r="D84" s="1863" t="s">
        <v>1371</v>
      </c>
      <c r="E84" s="171" t="s">
        <v>1372</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4.25">
      <c r="A85" s="165" t="s">
        <v>330</v>
      </c>
      <c r="B85" s="166" t="s">
        <v>1390</v>
      </c>
      <c r="C85" s="2350">
        <f ca="1">ROUND(D45/(1+'数据-取费表'!C42),0)</f>
        <v>27074</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4.25">
      <c r="A86" s="165" t="s">
        <v>327</v>
      </c>
      <c r="B86" s="155" t="s">
        <v>1391</v>
      </c>
      <c r="C86" s="2350">
        <f ca="1">IF(H88="仅含出让金",C87+C90+C91+C92+C93+C94,C87+C91+C92+C93+C94)</f>
        <v>162</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4.25">
      <c r="A87" s="161" t="s">
        <v>325</v>
      </c>
      <c r="B87" s="162" t="s">
        <v>1406</v>
      </c>
      <c r="C87" s="2358">
        <f>C88+C89</f>
        <v>0</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25">
      <c r="A88" s="161" t="s">
        <v>331</v>
      </c>
      <c r="B88" s="162" t="s">
        <v>1407</v>
      </c>
      <c r="C88" s="2364"/>
      <c r="D88" s="2359"/>
      <c r="E88" s="185" t="s">
        <v>1408</v>
      </c>
      <c r="F88" s="2146"/>
      <c r="G88" s="186" t="s">
        <v>1409</v>
      </c>
      <c r="H88" s="1682"/>
      <c r="I88" s="1679"/>
      <c r="J88" s="2304" t="s">
        <v>2274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4.25">
      <c r="A89" s="161" t="s">
        <v>332</v>
      </c>
      <c r="B89" s="162" t="s">
        <v>1398</v>
      </c>
      <c r="C89" s="2358">
        <f>ROUND(C88*D89,0)</f>
        <v>0</v>
      </c>
      <c r="D89" s="2359">
        <f>'数据-取费表'!B48+'数据-取费表'!B49</f>
        <v>3.0499999999999999E-2</v>
      </c>
      <c r="E89" s="185" t="s">
        <v>1410</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25">
      <c r="A90" s="161" t="s">
        <v>326</v>
      </c>
      <c r="B90" s="162" t="s">
        <v>1411</v>
      </c>
      <c r="C90" s="2364"/>
      <c r="D90" s="2359"/>
      <c r="E90" s="185" t="str">
        <f>IF(H88="-","土地取得成本中已包含该笔费用"," ")</f>
        <v xml:space="preserve"> </v>
      </c>
      <c r="F90" s="2146"/>
      <c r="G90" s="3366" t="s">
        <v>2124</v>
      </c>
      <c r="H90" s="3367"/>
      <c r="I90" s="1679"/>
      <c r="J90" s="2304" t="s">
        <v>2275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1412</v>
      </c>
      <c r="B91" s="162" t="s">
        <v>1413</v>
      </c>
      <c r="C91" s="2358">
        <f>IF(H91="——",商业成本法!C33,I91)</f>
        <v>0</v>
      </c>
      <c r="D91" s="2359"/>
      <c r="E91" s="3284" t="s">
        <v>1414</v>
      </c>
      <c r="F91" s="3285"/>
      <c r="G91" s="3285"/>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1415</v>
      </c>
      <c r="B92" s="162" t="s">
        <v>1416</v>
      </c>
      <c r="C92" s="2358">
        <f>ROUND((C87+C90+C91)*D92,0)</f>
        <v>0</v>
      </c>
      <c r="D92" s="2365"/>
      <c r="E92" s="3284" t="s">
        <v>1417</v>
      </c>
      <c r="F92" s="3285"/>
      <c r="G92" s="3285"/>
      <c r="H92" s="3294"/>
      <c r="I92" s="1679"/>
      <c r="J92" s="2305" t="s">
        <v>2276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1418</v>
      </c>
      <c r="B93" s="162" t="s">
        <v>1400</v>
      </c>
      <c r="C93" s="2358">
        <f ca="1">ROUND(D45*D93/(1+'数据-取费表'!C42),0)</f>
        <v>162</v>
      </c>
      <c r="D93" s="2359">
        <f>'数据-取费表'!B43</f>
        <v>6.000000000000001E-3</v>
      </c>
      <c r="E93" s="3284" t="s">
        <v>1401</v>
      </c>
      <c r="F93" s="3285"/>
      <c r="G93" s="3285"/>
      <c r="H93" s="3294"/>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1419</v>
      </c>
      <c r="B94" s="162" t="s">
        <v>1420</v>
      </c>
      <c r="C94" s="2364">
        <f>ROUND((C87+C90+C91)*D94,0)</f>
        <v>0</v>
      </c>
      <c r="D94" s="2359">
        <v>0.2</v>
      </c>
      <c r="E94" s="3295" t="s">
        <v>1421</v>
      </c>
      <c r="F94" s="3296"/>
      <c r="G94" s="3296"/>
      <c r="H94" s="3297"/>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4.25">
      <c r="A95" s="165" t="s">
        <v>328</v>
      </c>
      <c r="B95" s="166" t="s">
        <v>1402</v>
      </c>
      <c r="C95" s="2350">
        <f ca="1">ROUND(C85-C86,0)</f>
        <v>26912</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1403</v>
      </c>
      <c r="C96" s="2360">
        <f ca="1">IF(C95&lt;=0,0,C95/C86)</f>
        <v>166.12345679012347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75" thickBot="1">
      <c r="A97" s="168" t="s">
        <v>336</v>
      </c>
      <c r="B97" s="169" t="s">
        <v>1404</v>
      </c>
      <c r="C97" s="2361">
        <f ca="1">ROUND(IF(C95&lt;=0,0,IF(C96&gt;=200%,C95*60%-C86*35%,IF(C96&gt;=100%,C95*50%-C86*15%,IF(C96&gt;=50%,C95*40%-C86*5%,IF(C96&lt;50%,C95*30%,0))))),0)</f>
        <v>16091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1422</v>
      </c>
      <c r="B99" s="646"/>
      <c r="C99" s="646"/>
      <c r="D99" s="646"/>
      <c r="E99" s="1464"/>
      <c r="F99" s="1464"/>
      <c r="G99" s="1464"/>
      <c r="H99" s="1465"/>
      <c r="I99" s="121"/>
    </row>
    <row r="100" spans="1:35" ht="18.75" customHeight="1">
      <c r="A100" s="3268" t="s">
        <v>1423</v>
      </c>
      <c r="B100" s="3269"/>
      <c r="C100" s="3269"/>
      <c r="D100" s="3286"/>
      <c r="E100" s="3269" t="s">
        <v>1424</v>
      </c>
      <c r="F100" s="3269"/>
      <c r="G100" s="3269"/>
      <c r="H100" s="3286"/>
      <c r="I100" s="121"/>
    </row>
    <row r="101" spans="1:35" ht="18.75" customHeight="1">
      <c r="A101" s="3347" t="s">
        <v>1425</v>
      </c>
      <c r="B101" s="3348"/>
      <c r="C101" s="2367" t="str">
        <f>C4</f>
        <v>地下车库成本法</v>
      </c>
      <c r="D101" s="2368" t="str">
        <f>D4</f>
        <v>地下车库收益法</v>
      </c>
      <c r="E101" s="3361" t="s">
        <v>1426</v>
      </c>
      <c r="F101" s="3318"/>
      <c r="G101" s="1685" t="s">
        <v>1427</v>
      </c>
      <c r="H101" s="2377">
        <f ca="1">H118</f>
        <v>28428</v>
      </c>
      <c r="I101" s="121"/>
    </row>
    <row r="102" spans="1:35" ht="18.75" customHeight="1">
      <c r="A102" s="3320" t="s">
        <v>1428</v>
      </c>
      <c r="B102" s="2366" t="s">
        <v>1427</v>
      </c>
      <c r="C102" s="2367">
        <f ca="1">IF(D32="楼面单价",ROUND(C19,0),C19)</f>
        <v>40108</v>
      </c>
      <c r="D102" s="2368">
        <f ca="1">IF(D32="楼面单价",ROUND(D19,0),D19)</f>
        <v>10908</v>
      </c>
      <c r="E102" s="3361"/>
      <c r="F102" s="3318"/>
      <c r="G102" s="1685" t="s">
        <v>1429</v>
      </c>
      <c r="H102" s="2337">
        <f ca="1">I118</f>
        <v>2036</v>
      </c>
      <c r="I102" s="121"/>
    </row>
    <row r="103" spans="1:35" ht="42.75" customHeight="1">
      <c r="A103" s="3320"/>
      <c r="B103" s="2366" t="s">
        <v>1429</v>
      </c>
      <c r="C103" s="2369">
        <f ca="1">C20</f>
        <v>16389</v>
      </c>
      <c r="D103" s="2370">
        <f ca="1">D20</f>
        <v>4457</v>
      </c>
      <c r="E103" s="3355" t="s">
        <v>1430</v>
      </c>
      <c r="F103" s="3356"/>
      <c r="G103" s="1686" t="s">
        <v>1431</v>
      </c>
      <c r="H103" s="2377">
        <f>IF(D36="正常操作",H104+H105+H106,H105+H106)</f>
        <v>0</v>
      </c>
      <c r="I103" s="121"/>
    </row>
    <row r="104" spans="1:35" ht="18.75" customHeight="1">
      <c r="A104" s="3320" t="s">
        <v>1432</v>
      </c>
      <c r="B104" s="2371" t="s">
        <v>1427</v>
      </c>
      <c r="C104" s="2372">
        <f ca="1">H118</f>
        <v>28428</v>
      </c>
      <c r="D104" s="2373"/>
      <c r="E104" s="1553" t="s">
        <v>1433</v>
      </c>
      <c r="F104" s="1546"/>
      <c r="G104" s="1686" t="s">
        <v>1431</v>
      </c>
      <c r="H104" s="2378">
        <f>IF(D36="同一抵押权人同一抵押物续贷",C36&amp;"（续贷，未扣减，详见特别提示）",C36)</f>
        <v>0</v>
      </c>
      <c r="I104" s="121"/>
    </row>
    <row r="105" spans="1:35" ht="18.75" customHeight="1" thickBot="1">
      <c r="A105" s="3321"/>
      <c r="B105" s="2374" t="s">
        <v>1429</v>
      </c>
      <c r="C105" s="2375">
        <f ca="1">I118</f>
        <v>2036</v>
      </c>
      <c r="D105" s="2376"/>
      <c r="E105" s="1553" t="s">
        <v>1434</v>
      </c>
      <c r="F105" s="1546"/>
      <c r="G105" s="1686" t="s">
        <v>1431</v>
      </c>
      <c r="H105" s="2379">
        <f>C37</f>
        <v>0</v>
      </c>
      <c r="I105" s="121"/>
    </row>
    <row r="106" spans="1:35" ht="18.75" customHeight="1">
      <c r="A106" s="646" t="s">
        <v>1435</v>
      </c>
      <c r="B106" s="646"/>
      <c r="C106" s="646"/>
      <c r="D106" s="646"/>
      <c r="E106" s="1687" t="s">
        <v>1436</v>
      </c>
      <c r="F106" s="1546"/>
      <c r="G106" s="1686" t="s">
        <v>1431</v>
      </c>
      <c r="H106" s="2379">
        <f>C38</f>
        <v>0</v>
      </c>
      <c r="I106" s="121"/>
    </row>
    <row r="107" spans="1:35" ht="18.75" customHeight="1">
      <c r="A107" s="121"/>
      <c r="B107" s="121"/>
      <c r="C107" s="121"/>
      <c r="D107" s="121"/>
      <c r="E107" s="3317" t="str">
        <f>IF(项目基本情况!E8="已注销","——","3.房地产抵押价值")</f>
        <v>3.房地产抵押价值</v>
      </c>
      <c r="F107" s="3318"/>
      <c r="G107" s="1685" t="s">
        <v>1427</v>
      </c>
      <c r="H107" s="2377">
        <f ca="1">IF(E107="——","——",H101-H103)</f>
        <v>28428</v>
      </c>
      <c r="I107" s="121"/>
    </row>
    <row r="108" spans="1:35" ht="18.75" customHeight="1">
      <c r="A108" s="121"/>
      <c r="B108" s="121"/>
      <c r="C108" s="121"/>
      <c r="D108" s="121"/>
      <c r="E108" s="3317"/>
      <c r="F108" s="3318"/>
      <c r="G108" s="1685" t="s">
        <v>1429</v>
      </c>
      <c r="H108" s="2337">
        <f ca="1">IF(H107=H101,H102,ROUND(H107*10000/'数据-汇总表'!E3,0))</f>
        <v>2036</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318"/>
      <c r="G109" s="1685" t="s">
        <v>1427</v>
      </c>
      <c r="H109" s="2380" t="str">
        <f>IF(E109="——","——",H101-H105-H106)</f>
        <v>——</v>
      </c>
      <c r="I109" s="121"/>
    </row>
    <row r="110" spans="1:35" ht="18.75" customHeight="1">
      <c r="A110" s="121"/>
      <c r="B110" s="121"/>
      <c r="C110" s="121"/>
      <c r="D110" s="121"/>
      <c r="E110" s="3317"/>
      <c r="F110" s="3318"/>
      <c r="G110" s="1685" t="s">
        <v>1429</v>
      </c>
      <c r="H110" s="2337" t="str">
        <f>IF(H109="——","——",ROUND(H109*10000/'数据-汇总表'!E3,0))</f>
        <v>——</v>
      </c>
      <c r="I110" s="121"/>
    </row>
    <row r="111" spans="1:35" ht="18.75" customHeight="1">
      <c r="A111" s="121"/>
      <c r="B111" s="121"/>
      <c r="C111" s="121"/>
      <c r="D111" s="121"/>
      <c r="E111" s="3349" t="str">
        <f>IF(项目基本情况!E9="抵押净值",IF(OR(项目基本情况!E8="已注销",项目基本情况!E8="房地产抵押价值"),"4.抵押净值","5.抵押净值"),"——")</f>
        <v>——</v>
      </c>
      <c r="F111" s="3319"/>
      <c r="G111" s="1685" t="s">
        <v>1427</v>
      </c>
      <c r="H111" s="2377" t="str">
        <f>IF(E111="——","——",N59)</f>
        <v>——</v>
      </c>
      <c r="I111" s="121"/>
    </row>
    <row r="112" spans="1:35" ht="18.75" customHeight="1" thickBot="1">
      <c r="A112" s="121"/>
      <c r="B112" s="121"/>
      <c r="C112" s="121"/>
      <c r="D112" s="121"/>
      <c r="E112" s="3350"/>
      <c r="F112" s="3351"/>
      <c r="G112" s="1688" t="s">
        <v>1429</v>
      </c>
      <c r="H112" s="2381" t="str">
        <f>IF(E111="——","——",N61)</f>
        <v>——</v>
      </c>
      <c r="I112" s="121"/>
    </row>
    <row r="113" spans="1:27" ht="18.75" customHeight="1">
      <c r="A113" s="121"/>
      <c r="B113" s="121"/>
      <c r="C113" s="121"/>
      <c r="D113" s="121"/>
      <c r="E113" s="3322" t="s">
        <v>1435</v>
      </c>
      <c r="F113" s="3322"/>
      <c r="G113" s="3322"/>
      <c r="H113" s="3322"/>
      <c r="I113" s="121"/>
    </row>
    <row r="114" spans="1:27" ht="3.75" customHeight="1">
      <c r="A114" s="646"/>
      <c r="B114" s="646"/>
      <c r="C114" s="646"/>
      <c r="D114" s="646"/>
      <c r="E114" s="1669"/>
      <c r="F114" s="1669"/>
      <c r="G114" s="1669"/>
      <c r="H114" s="1669"/>
      <c r="I114" s="646"/>
    </row>
    <row r="115" spans="1:27" ht="18.75" customHeight="1">
      <c r="A115" s="3332" t="s">
        <v>1437</v>
      </c>
      <c r="B115" s="3333"/>
      <c r="C115" s="3333"/>
      <c r="D115" s="3333"/>
      <c r="E115" s="3333"/>
      <c r="F115" s="3333"/>
      <c r="G115" s="3333"/>
      <c r="H115" s="3333"/>
      <c r="I115" s="3334"/>
    </row>
    <row r="116" spans="1:27" ht="27" customHeight="1">
      <c r="A116" s="3288" t="s">
        <v>1438</v>
      </c>
      <c r="B116" s="3323" t="s">
        <v>1439</v>
      </c>
      <c r="C116" s="3323" t="s">
        <v>1440</v>
      </c>
      <c r="D116" s="3336" t="s">
        <v>1441</v>
      </c>
      <c r="E116" s="3337"/>
      <c r="F116" s="3331" t="s">
        <v>1442</v>
      </c>
      <c r="G116" s="3331"/>
      <c r="H116" s="3288" t="s">
        <v>1443</v>
      </c>
      <c r="I116" s="3288"/>
    </row>
    <row r="117" spans="1:27" ht="18.75" customHeight="1">
      <c r="A117" s="3288"/>
      <c r="B117" s="3324"/>
      <c r="C117" s="3324"/>
      <c r="D117" s="2148" t="s">
        <v>1444</v>
      </c>
      <c r="E117" s="2148" t="s">
        <v>1445</v>
      </c>
      <c r="F117" s="2148" t="s">
        <v>1444</v>
      </c>
      <c r="G117" s="2148" t="s">
        <v>1446</v>
      </c>
      <c r="H117" s="2148" t="s">
        <v>1444</v>
      </c>
      <c r="I117" s="2148" t="s">
        <v>1446</v>
      </c>
    </row>
    <row r="118" spans="1:27" ht="24.75" customHeight="1">
      <c r="A118" s="2382" t="str">
        <f>项目基本情况!S2</f>
        <v>北京市房地产</v>
      </c>
      <c r="B118" s="2148">
        <f>M18</f>
        <v>139616.6</v>
      </c>
      <c r="C118" s="2148">
        <f>M19</f>
        <v>13767.47</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28428</v>
      </c>
      <c r="I118" s="2148">
        <f ca="1">ROUND(IF(D32="楼面单价",C32,H118*10000/B118),0)</f>
        <v>2036</v>
      </c>
    </row>
    <row r="119" spans="1:27" ht="18.75" customHeight="1">
      <c r="A119" s="3288" t="s">
        <v>1447</v>
      </c>
      <c r="B119" s="3288"/>
      <c r="C119" s="3288"/>
      <c r="D119" s="3328" t="e">
        <f ca="1">NUMBERSTRING(INT(D118*10000),2)&amp;"元整"</f>
        <v>#REF!</v>
      </c>
      <c r="E119" s="3330"/>
      <c r="F119" s="3328" t="e">
        <f ca="1">NUMBERSTRING(INT(F118*10000),2)&amp;"元整"</f>
        <v>#REF!</v>
      </c>
      <c r="G119" s="3330"/>
      <c r="H119" s="3328" t="str">
        <f ca="1">NUMBERSTRING(INT(H118*10000),2)&amp;"元整"</f>
        <v>贰亿捌仟肆佰贰拾捌万元整</v>
      </c>
      <c r="I119" s="3330"/>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8" t="s">
        <v>1447</v>
      </c>
      <c r="B121" s="3329"/>
      <c r="C121" s="3330"/>
      <c r="D121" s="3328" t="str">
        <f>IF(D120=0,"零元整",NUMBERSTRING(INT(D120*10000),2)&amp;"元整")</f>
        <v>零元整</v>
      </c>
      <c r="E121" s="3329"/>
      <c r="F121" s="3329"/>
      <c r="G121" s="3329"/>
      <c r="H121" s="3329"/>
      <c r="I121" s="3330"/>
      <c r="AA121" s="684"/>
    </row>
    <row r="122" spans="1:27" ht="18.75" customHeight="1">
      <c r="A122" s="3319" t="str">
        <f>IF(项目基本情况!B9="房地产市场价值","",MID(E107,3,LEN(E107)-2))</f>
        <v>房地产抵押价值</v>
      </c>
      <c r="B122" s="3319"/>
      <c r="C122" s="3319"/>
      <c r="D122" s="3352">
        <f ca="1">H107</f>
        <v>28428</v>
      </c>
      <c r="E122" s="3353"/>
      <c r="F122" s="3353"/>
      <c r="G122" s="3353"/>
      <c r="H122" s="3353"/>
      <c r="I122" s="3354"/>
      <c r="AA122" s="684"/>
    </row>
    <row r="123" spans="1:27" ht="18.75" customHeight="1">
      <c r="A123" s="3288" t="s">
        <v>1447</v>
      </c>
      <c r="B123" s="3288"/>
      <c r="C123" s="3288"/>
      <c r="D123" s="3328" t="str">
        <f ca="1">NUMBERSTRING(INT(D122*10000),2)&amp;"元整"</f>
        <v>贰亿捌仟肆佰贰拾捌万元整</v>
      </c>
      <c r="E123" s="3329"/>
      <c r="F123" s="3329"/>
      <c r="G123" s="3329"/>
      <c r="H123" s="3329"/>
      <c r="I123" s="3330"/>
      <c r="AA123" s="684"/>
    </row>
    <row r="124" spans="1:27" ht="18.75" customHeight="1">
      <c r="A124" s="3319" t="str">
        <f>IF(项目基本情况!B9="房地产市场价值","",MID(E109,3,LEN(E109)-2))</f>
        <v/>
      </c>
      <c r="B124" s="3319"/>
      <c r="C124" s="3319"/>
      <c r="D124" s="3352" t="str">
        <f>H109</f>
        <v>——</v>
      </c>
      <c r="E124" s="3353"/>
      <c r="F124" s="3353"/>
      <c r="G124" s="3353"/>
      <c r="H124" s="3353"/>
      <c r="I124" s="3354"/>
      <c r="AA124" s="684"/>
    </row>
    <row r="125" spans="1:27" ht="18.75" customHeight="1">
      <c r="A125" s="3288" t="s">
        <v>1447</v>
      </c>
      <c r="B125" s="3288"/>
      <c r="C125" s="3288"/>
      <c r="D125" s="3328" t="e">
        <f>NUMBERSTRING(INT(D124*10000),2)&amp;"元整"</f>
        <v>#VALUE!</v>
      </c>
      <c r="E125" s="3329"/>
      <c r="F125" s="3329"/>
      <c r="G125" s="3329"/>
      <c r="H125" s="3329"/>
      <c r="I125" s="3330"/>
      <c r="AA125" s="684"/>
    </row>
    <row r="126" spans="1:27" ht="18.75" customHeight="1">
      <c r="A126" s="3319" t="str">
        <f>IF(项目基本情况!B9="房地产市场价值","",MID(E111,3,LEN(E111)-2))</f>
        <v/>
      </c>
      <c r="B126" s="3319"/>
      <c r="C126" s="3319"/>
      <c r="D126" s="3352" t="str">
        <f>H111</f>
        <v>——</v>
      </c>
      <c r="E126" s="3353"/>
      <c r="F126" s="3353"/>
      <c r="G126" s="3353"/>
      <c r="H126" s="3353"/>
      <c r="I126" s="3354"/>
      <c r="AA126" s="684"/>
    </row>
    <row r="127" spans="1:27" ht="18.75" customHeight="1">
      <c r="A127" s="3288" t="s">
        <v>1447</v>
      </c>
      <c r="B127" s="3288"/>
      <c r="C127" s="3288"/>
      <c r="D127" s="3328" t="e">
        <f>NUMBERSTRING(INT(D126*10000),2)&amp;"元整"</f>
        <v>#VALUE!</v>
      </c>
      <c r="E127" s="3329"/>
      <c r="F127" s="3329"/>
      <c r="G127" s="3329"/>
      <c r="H127" s="3329"/>
      <c r="I127" s="3330"/>
      <c r="AA127" s="684"/>
    </row>
    <row r="128" spans="1:27" ht="21.75" customHeight="1">
      <c r="A128" s="3335" t="s">
        <v>1448</v>
      </c>
      <c r="B128" s="3335"/>
      <c r="C128" s="3335"/>
      <c r="D128" s="3335"/>
      <c r="E128" s="3335"/>
      <c r="F128" s="3335"/>
      <c r="G128" s="3335"/>
      <c r="H128" s="3335"/>
      <c r="I128" s="3335"/>
      <c r="AA128" s="684"/>
    </row>
    <row r="129" spans="1:35" ht="21.75" customHeight="1">
      <c r="A129" s="1689" t="s">
        <v>1449</v>
      </c>
      <c r="B129" s="1690"/>
      <c r="C129" s="1691" t="s">
        <v>1450</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1451</v>
      </c>
      <c r="G135" s="1704"/>
      <c r="H135" s="1704"/>
      <c r="I135" s="1705" t="s">
        <v>1452</v>
      </c>
    </row>
    <row r="136" spans="1:35" ht="21.75" customHeight="1">
      <c r="A136" s="684"/>
      <c r="B136" s="1706" t="s">
        <v>1453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1454</v>
      </c>
    </row>
    <row r="139" spans="1:35" ht="21.75" customHeight="1">
      <c r="A139" s="684"/>
      <c r="B139" s="1706" t="s">
        <v>1455</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1454</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xr:uid="{0DE139EC-CA2B-4369-A7F1-6350BE46C6A3}">
      <formula1>"0,5%,10%"</formula1>
    </dataValidation>
    <dataValidation type="list" allowBlank="1" showInputMessage="1" showErrorMessage="1" sqref="H59" xr:uid="{1F155D19-1213-449C-B82B-FE453D17197C}">
      <formula1>"非个人房产,个人住宅（满五唯一有凭证）,个人其他（有凭证）,个人其他（无凭证）"</formula1>
    </dataValidation>
    <dataValidation type="list" allowBlank="1" showInputMessage="1" showErrorMessage="1" sqref="E103" xr:uid="{AF820E2D-31EB-4C56-B9CB-11C0AF574511}">
      <formula1>"2.估价师知悉的法定优先受偿款,2.估价师知悉的除抵押担保权以外的法定优先受偿款"</formula1>
    </dataValidation>
    <dataValidation type="list" allowBlank="1" showInputMessage="1" showErrorMessage="1" sqref="G77" xr:uid="{9DD8F3CE-57EF-4DA3-8186-9C795CEC237A}">
      <formula1>"个人住宅,2016年5月1日前购买,2016年5月1日后购买"</formula1>
    </dataValidation>
    <dataValidation type="list" allowBlank="1" showInputMessage="1" showErrorMessage="1" sqref="C1" xr:uid="{D99F2B50-368A-4242-A1DE-C59AFE056F3B}">
      <formula1>项目类型</formula1>
    </dataValidation>
    <dataValidation type="list" allowBlank="1" showInputMessage="1" showErrorMessage="1" sqref="I1" xr:uid="{B16E850C-6106-4097-8DF7-15B068359C18}">
      <formula1>"项目局部,项目全部,——"</formula1>
    </dataValidation>
    <dataValidation type="list" showInputMessage="1" showErrorMessage="1" sqref="G1" xr:uid="{AD1F3F4B-83DF-413D-BAEB-B739A6ADF10C}">
      <formula1>"现房,在建,土地,-"</formula1>
    </dataValidation>
    <dataValidation type="list" allowBlank="1" showInputMessage="1" showErrorMessage="1" sqref="C129" xr:uid="{372D7CA8-798C-4F00-B145-20502A533C26}">
      <formula1>"无,有"</formula1>
    </dataValidation>
    <dataValidation type="list" allowBlank="1" showInputMessage="1" showErrorMessage="1" sqref="F116:G116" xr:uid="{F3A48124-EAAF-42CC-B65F-57EFF6A18870}">
      <formula1>"建筑物价值,在建建筑物价值,建筑物/在建建筑物价值"</formula1>
    </dataValidation>
    <dataValidation type="list" allowBlank="1" showInputMessage="1" showErrorMessage="1" sqref="D116:E116" xr:uid="{67173C64-5E9A-481A-86C9-8F6A33C7BE1A}">
      <formula1>"出让国有建设用地使用权价值,划拨国有建设用地使用权价值"</formula1>
    </dataValidation>
    <dataValidation type="list" allowBlank="1" showInputMessage="1" showErrorMessage="1" sqref="C116:C117" xr:uid="{CFFACE5E-AF71-4FC9-AA64-A63DF8D2995F}">
      <formula1>"土地面积,分摊土地面积,（分摊）土地面积"</formula1>
    </dataValidation>
    <dataValidation type="list" allowBlank="1" showInputMessage="1" showErrorMessage="1" sqref="B116:B117" xr:uid="{064BEAE6-C412-4774-91B0-61D0B46BCDFA}">
      <formula1>"建筑面积,规划建筑面积,（规划）建筑面积"</formula1>
    </dataValidation>
    <dataValidation type="list" allowBlank="1" showInputMessage="1" showErrorMessage="1" sqref="D36" xr:uid="{9E11B85C-7EDD-4BDC-8B16-75253F3B1F8E}">
      <formula1>"同一抵押权人同一抵押物续贷,注销后放款,正常操作"</formula1>
    </dataValidation>
    <dataValidation type="list" allowBlank="1" showInputMessage="1" showErrorMessage="1" sqref="F75" xr:uid="{C162F723-1C48-4C9B-B945-3350C327A382}">
      <formula1>"买卖合同,购房发票"</formula1>
    </dataValidation>
    <dataValidation type="list" allowBlank="1" showInputMessage="1" showErrorMessage="1" sqref="H88" xr:uid="{6CA4AB89-B055-418A-BFE9-3B65AD229863}">
      <formula1>"仅含出让金,出让金+开发费"</formula1>
    </dataValidation>
    <dataValidation type="list" allowBlank="1" showInputMessage="1" showErrorMessage="1" sqref="H91" xr:uid="{7586DEA8-5BE3-4954-B7CD-38EE9DC14039}">
      <formula1>"企业提供（在右侧录入）,——"</formula1>
    </dataValidation>
    <dataValidation type="list" allowBlank="1" showInputMessage="1" showErrorMessage="1" sqref="C33" xr:uid="{BA3E3D51-0D7A-406C-9F8C-917BF09D1CDF}">
      <formula1>"成本比率,收益比率,自定义"</formula1>
    </dataValidation>
    <dataValidation type="list" allowBlank="1" showInputMessage="1" showErrorMessage="1" sqref="F45" xr:uid="{9BA827B9-D08A-4782-ADF5-6B171DEEAEC0}">
      <formula1>"100%,70%,56%"</formula1>
    </dataValidation>
    <dataValidation type="list" allowBlank="1" showInputMessage="1" showErrorMessage="1" sqref="D32" xr:uid="{0174949C-C79A-409E-A095-4A53DCA54B93}">
      <formula1>"总价,楼面单价"</formula1>
    </dataValidation>
    <dataValidation type="list" allowBlank="1" showInputMessage="1" showErrorMessage="1" sqref="H58" xr:uid="{0E2B8463-74A4-4BDA-98B2-C56B95982F48}">
      <formula1>"转让取得,自行开发建设"</formula1>
    </dataValidation>
    <dataValidation type="list" allowBlank="1" showInputMessage="1" showErrorMessage="1" sqref="H48" xr:uid="{4BF2B2A2-414F-4AC0-97FC-6DAB3DC4517C}">
      <formula1>"情况1,情况2,情况3,情况4"</formula1>
    </dataValidation>
    <dataValidation type="list" allowBlank="1" showInputMessage="1" showErrorMessage="1" sqref="H55:H56" xr:uid="{0956AC3E-51D5-414E-81E7-D883169CD3AE}">
      <formula1>"个人住宅,正常"</formula1>
    </dataValidation>
    <dataValidation type="list" allowBlank="1" showInputMessage="1" showErrorMessage="1" sqref="C4:D4 D33" xr:uid="{1E07AA26-2E6D-4DD2-A7A7-6706E61E9EBC}">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B3A88-4AA8-48CB-B044-92DDA64D8E75}">
  <sheetPr>
    <tabColor rgb="FF7030A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2" t="s">
        <v>3428</v>
      </c>
      <c r="C1" s="190"/>
      <c r="D1" s="190"/>
      <c r="E1" s="190"/>
      <c r="F1" s="190"/>
      <c r="G1" s="1060">
        <f>MATCH(B1,'数据-取费表'!A6:A16,0)+5</f>
        <v>8</v>
      </c>
    </row>
    <row r="2" spans="1:9" s="192" customFormat="1" ht="18" customHeight="1">
      <c r="A2" s="193" t="s">
        <v>680</v>
      </c>
      <c r="B2" s="194">
        <f ca="1">IF(D2="——",C52,C52-E2)</f>
        <v>40108</v>
      </c>
      <c r="C2" s="191" t="s">
        <v>1458</v>
      </c>
      <c r="D2" s="1709" t="s">
        <v>43</v>
      </c>
      <c r="E2" s="1087" t="e">
        <f ca="1">SUMIF(INDIRECT("'"&amp;G2&amp;"'"&amp;"!A:A"),"承租人权益价值",INDIRECT("'"&amp;G2&amp;"'"&amp;"!c:c"))</f>
        <v>#REF!</v>
      </c>
      <c r="F2" s="1710" t="s">
        <v>1458</v>
      </c>
      <c r="G2" s="1711"/>
    </row>
    <row r="3" spans="1:9" s="192" customFormat="1" ht="18" customHeight="1" thickBot="1">
      <c r="A3" s="195" t="s">
        <v>681</v>
      </c>
      <c r="B3" s="196">
        <f ca="1">ROUND(B2*10000/(IF(B1="",'数据-汇总表'!E3,INDIRECT("'数据-取费表'!k"&amp;$G$1))),0)</f>
        <v>16389</v>
      </c>
      <c r="C3" s="191" t="s">
        <v>1460</v>
      </c>
      <c r="D3" s="191"/>
      <c r="E3" s="191"/>
      <c r="F3" s="191"/>
      <c r="G3" s="191"/>
    </row>
    <row r="4" spans="1:9" s="200" customFormat="1" ht="15.75">
      <c r="A4" s="197" t="s">
        <v>1461</v>
      </c>
      <c r="B4" s="198"/>
      <c r="C4" s="198"/>
      <c r="D4" s="198"/>
      <c r="E4" s="198"/>
      <c r="F4" s="198"/>
      <c r="G4" s="199"/>
    </row>
    <row r="5" spans="1:9" s="206" customFormat="1" ht="13.5" customHeight="1">
      <c r="A5" s="247" t="s">
        <v>337</v>
      </c>
      <c r="B5" s="202" t="s">
        <v>1463</v>
      </c>
      <c r="C5" s="203">
        <f ca="1">C6+C7+C8</f>
        <v>17183</v>
      </c>
      <c r="D5" s="203" t="s">
        <v>1464</v>
      </c>
      <c r="E5" s="204" t="s">
        <v>1465</v>
      </c>
      <c r="F5" s="204" t="s">
        <v>1466</v>
      </c>
      <c r="G5" s="205"/>
    </row>
    <row r="6" spans="1:9" s="206" customFormat="1" ht="13.5" customHeight="1">
      <c r="A6" s="730" t="s">
        <v>346</v>
      </c>
      <c r="B6" s="207" t="s">
        <v>1468</v>
      </c>
      <c r="C6" s="208">
        <f>'车库-基准地价修正'!B2</f>
        <v>16184</v>
      </c>
      <c r="D6" s="209"/>
      <c r="E6" s="210"/>
      <c r="F6" s="210"/>
      <c r="G6" s="211"/>
    </row>
    <row r="7" spans="1:9" s="206" customFormat="1" ht="13.5" customHeight="1">
      <c r="A7" s="730" t="s">
        <v>347</v>
      </c>
      <c r="B7" s="207" t="s">
        <v>1470</v>
      </c>
      <c r="C7" s="212">
        <f>ROUND(C6*F7,0)</f>
        <v>494</v>
      </c>
      <c r="D7" s="212"/>
      <c r="E7" s="210"/>
      <c r="F7" s="213">
        <f>IF(项目基本情况!B8="出让",0,'数据-取费表'!B48+'数据-取费表'!B49)</f>
        <v>3.0499999999999999E-2</v>
      </c>
      <c r="G7" s="211"/>
    </row>
    <row r="8" spans="1:9" s="215" customFormat="1">
      <c r="A8" s="730" t="s">
        <v>348</v>
      </c>
      <c r="B8" s="207" t="s">
        <v>1472</v>
      </c>
      <c r="C8" s="212">
        <f ca="1">IF(G8="已包含在土地购买价格中","0",IF(B1="",'数据-取费表'!B29,IF(G9="全部缴纳",C9+C10,H9)))</f>
        <v>505</v>
      </c>
      <c r="D8" s="214"/>
      <c r="E8" s="212"/>
      <c r="F8" s="213"/>
      <c r="G8" s="1712" t="s">
        <v>3437</v>
      </c>
    </row>
    <row r="9" spans="1:9" s="206" customFormat="1" ht="13.5" customHeight="1">
      <c r="A9" s="731" t="s">
        <v>355</v>
      </c>
      <c r="B9" s="216" t="s">
        <v>1473</v>
      </c>
      <c r="C9" s="217">
        <f ca="1">ROUND(D9*E9/10000,0)</f>
        <v>0</v>
      </c>
      <c r="D9" s="793">
        <f ca="1">IF(B1="",'数据-汇总表'!E5,IF(INDIRECT("'数据-取费表'!c"&amp;$G$1)="住宅",INDIRECT("'数据-取费表'!k"&amp;$G$1),0))</f>
        <v>0</v>
      </c>
      <c r="E9" s="217">
        <f>'数据-取费表'!B27</f>
        <v>160</v>
      </c>
      <c r="F9" s="213"/>
      <c r="G9" s="1713" t="s">
        <v>3438</v>
      </c>
      <c r="H9" s="1068"/>
      <c r="I9" s="1714" t="s">
        <v>1474</v>
      </c>
    </row>
    <row r="10" spans="1:9" s="206" customFormat="1" ht="13.5" customHeight="1">
      <c r="A10" s="731" t="s">
        <v>356</v>
      </c>
      <c r="B10" s="216" t="s">
        <v>1475</v>
      </c>
      <c r="C10" s="217">
        <f ca="1">ROUND(D10*E10/10000,0)</f>
        <v>505</v>
      </c>
      <c r="D10" s="793">
        <f ca="1">IF(B1="",'数据-汇总表'!E6,IF(INDIRECT("'数据-取费表'!c"&amp;$G$1)="住宅",INDIRECT("'数据-取费表'!s"&amp;$G$1),INDIRECT("'数据-取费表'!k"&amp;$G$1)+INDIRECT("'数据-取费表'!s"&amp;$G$1)))</f>
        <v>25245.62</v>
      </c>
      <c r="E10" s="217">
        <f>'数据-取费表'!B28</f>
        <v>200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1472</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1472</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f ca="1">D9+D10</f>
        <v>25245.62</v>
      </c>
      <c r="E19" s="203">
        <f>'数据-取费表'!B31</f>
        <v>200</v>
      </c>
      <c r="F19" s="223"/>
      <c r="G19" s="1712" t="s">
        <v>3439</v>
      </c>
    </row>
    <row r="20" spans="1:7" s="206" customFormat="1" ht="13.5" customHeight="1">
      <c r="A20" s="247" t="s">
        <v>1488</v>
      </c>
      <c r="B20" s="202" t="s">
        <v>1489</v>
      </c>
      <c r="C20" s="224">
        <f ca="1">ROUND((C5+C19)*F20,0)</f>
        <v>515</v>
      </c>
      <c r="D20" s="224"/>
      <c r="E20" s="224"/>
      <c r="F20" s="225">
        <f>'数据-取费表'!B37</f>
        <v>0.03</v>
      </c>
      <c r="G20" s="226" t="s">
        <v>1490</v>
      </c>
    </row>
    <row r="21" spans="1:7" s="206" customFormat="1" ht="13.5" customHeight="1">
      <c r="A21" s="247" t="s">
        <v>1491</v>
      </c>
      <c r="B21" s="202" t="s">
        <v>1492</v>
      </c>
      <c r="C21" s="227">
        <f>F21</f>
        <v>0.03</v>
      </c>
      <c r="D21" s="228" t="s">
        <v>1493</v>
      </c>
      <c r="E21" s="224"/>
      <c r="F21" s="225">
        <f>'数据-取费表'!B38</f>
        <v>0.03</v>
      </c>
      <c r="G21" s="226" t="s">
        <v>1494</v>
      </c>
    </row>
    <row r="22" spans="1:7" s="206" customFormat="1" ht="13.5" customHeight="1">
      <c r="A22" s="247" t="s">
        <v>1495</v>
      </c>
      <c r="B22" s="202" t="s">
        <v>1496</v>
      </c>
      <c r="C22" s="1039">
        <f ca="1">ROUND(SUM(C23:C25),0)</f>
        <v>1337</v>
      </c>
      <c r="D22" s="227">
        <f ca="1">C26</f>
        <v>1.1000000000000001E-3</v>
      </c>
      <c r="E22" s="228" t="s">
        <v>1493</v>
      </c>
      <c r="F22" s="229">
        <f ca="1">'数据-取费表'!B40</f>
        <v>0.03</v>
      </c>
      <c r="G22" s="226" t="str">
        <f>IF('数据-取费表'!B22&lt;=1,"单利计息","复利计息")</f>
        <v>复利计息</v>
      </c>
    </row>
    <row r="23" spans="1:7" s="206" customFormat="1" ht="13.5" customHeight="1">
      <c r="A23" s="732" t="s">
        <v>346</v>
      </c>
      <c r="B23" s="207" t="s">
        <v>1498</v>
      </c>
      <c r="C23" s="1040">
        <f ca="1">ROUND(IF('数据-取费表'!B22&lt;=1,C5*F22*'数据-取费表'!B23,C5*(POWER((1+F22),'数据-取费表'!B23)-1)),0)</f>
        <v>1318</v>
      </c>
      <c r="D23" s="230"/>
      <c r="E23" s="230"/>
      <c r="F23" s="231"/>
      <c r="G23" s="232" t="s">
        <v>1499</v>
      </c>
    </row>
    <row r="24" spans="1:7" s="206" customFormat="1" ht="13.5" customHeight="1">
      <c r="A24" s="732" t="s">
        <v>347</v>
      </c>
      <c r="B24" s="207" t="s">
        <v>1501</v>
      </c>
      <c r="C24" s="1040">
        <f ca="1">ROUND(IF('数据-取费表'!B22&lt;=1,C19*F22*('数据-取费表'!B19/2+'数据-取费表'!B21),C19*(POWER((1+F22),('数据-取费表'!B19/2+'数据-取费表'!B21))-1)),0)</f>
        <v>0</v>
      </c>
      <c r="D24" s="230"/>
      <c r="E24" s="230"/>
      <c r="F24" s="231"/>
      <c r="G24" s="232" t="s">
        <v>1502</v>
      </c>
    </row>
    <row r="25" spans="1:7" s="206" customFormat="1" ht="24">
      <c r="A25" s="732" t="s">
        <v>348</v>
      </c>
      <c r="B25" s="207" t="s">
        <v>1504</v>
      </c>
      <c r="C25" s="1040">
        <f ca="1">ROUND(IF('数据-取费表'!B22&lt;=1,C20*F22*'数据-取费表'!B23/2,C20*(POWER((1+F22),'数据-取费表'!B23/2)-1)),0)</f>
        <v>19</v>
      </c>
      <c r="D25" s="230"/>
      <c r="E25" s="233"/>
      <c r="F25" s="231"/>
      <c r="G25" s="234" t="s">
        <v>1505</v>
      </c>
    </row>
    <row r="26" spans="1:7" s="206" customFormat="1">
      <c r="A26" s="732" t="s">
        <v>350</v>
      </c>
      <c r="B26" s="207" t="s">
        <v>1506</v>
      </c>
      <c r="C26" s="230">
        <f ca="1">ROUND(IF('数据-取费表'!B22&lt;=1,F21*F22*'数据-取费表'!B23/2,F21*(POWER((1+F22),'数据-取费表'!B23/2)-1)),4)</f>
        <v>1.1000000000000001E-3</v>
      </c>
      <c r="D26" s="230"/>
      <c r="E26" s="233"/>
      <c r="F26" s="231"/>
      <c r="G26" s="235"/>
    </row>
    <row r="27" spans="1:7" s="206" customFormat="1" ht="24.75">
      <c r="A27" s="247" t="s">
        <v>1507</v>
      </c>
      <c r="B27" s="236" t="s">
        <v>1508</v>
      </c>
      <c r="C27" s="237">
        <f ca="1">C28</f>
        <v>1770</v>
      </c>
      <c r="D27" s="227">
        <f ca="1">C29</f>
        <v>3.0000000000000001E-3</v>
      </c>
      <c r="E27" s="228" t="s">
        <v>1493</v>
      </c>
      <c r="F27" s="238">
        <f ca="1">IF(B1="",'数据-取费表'!Q16,INDIRECT("'数据-取费表'!q"&amp;$G$1))</f>
        <v>0.1</v>
      </c>
      <c r="G27" s="239" t="s">
        <v>1510</v>
      </c>
    </row>
    <row r="28" spans="1:7" s="206" customFormat="1" ht="13.5" customHeight="1">
      <c r="A28" s="732" t="s">
        <v>346</v>
      </c>
      <c r="B28" s="240" t="s">
        <v>1511</v>
      </c>
      <c r="C28" s="241">
        <f ca="1">ROUND((C5+C19+C20)*F27*'数据-取费表'!B21/'数据-取费表'!B20,0)</f>
        <v>1770</v>
      </c>
      <c r="D28" s="227"/>
      <c r="E28" s="228"/>
      <c r="F28" s="238"/>
      <c r="G28" s="239"/>
    </row>
    <row r="29" spans="1:7" s="206" customFormat="1" ht="13.5" customHeight="1">
      <c r="A29" s="732" t="s">
        <v>347</v>
      </c>
      <c r="B29" s="240" t="s">
        <v>1512</v>
      </c>
      <c r="C29" s="230">
        <f ca="1">ROUND(C21*F27*'数据-取费表'!B21/'数据-取费表'!B20,4)</f>
        <v>3.0000000000000001E-3</v>
      </c>
      <c r="D29" s="227"/>
      <c r="E29" s="228"/>
      <c r="F29" s="238"/>
      <c r="G29" s="239"/>
    </row>
    <row r="30" spans="1:7" s="206" customFormat="1" ht="13.5" customHeight="1">
      <c r="A30" s="247" t="s">
        <v>1513</v>
      </c>
      <c r="B30" s="202" t="s">
        <v>1514</v>
      </c>
      <c r="C30" s="227">
        <f>ROUND(F30/(1+'数据-取费表'!C42),4)</f>
        <v>5.33E-2</v>
      </c>
      <c r="D30" s="228" t="s">
        <v>1493</v>
      </c>
      <c r="E30" s="233"/>
      <c r="F30" s="229">
        <f>'数据-取费表'!B41</f>
        <v>5.6000000000000001E-2</v>
      </c>
      <c r="G30" s="226" t="s">
        <v>1515</v>
      </c>
    </row>
    <row r="31" spans="1:7" ht="16.5" customHeight="1">
      <c r="A31" s="201">
        <v>1</v>
      </c>
      <c r="B31" s="202" t="s">
        <v>1516</v>
      </c>
      <c r="C31" s="203">
        <f ca="1">ROUND((C5+C19+C20+C22+C27)/(1-C21-D22-D27-C30),0)</f>
        <v>22798</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17622</v>
      </c>
      <c r="D33" s="224"/>
      <c r="E33" s="204"/>
      <c r="F33" s="233"/>
      <c r="G33" s="226"/>
    </row>
    <row r="34" spans="1:7" s="250" customFormat="1" ht="13.5" customHeight="1">
      <c r="A34" s="732" t="s">
        <v>346</v>
      </c>
      <c r="B34" s="207" t="s">
        <v>1520</v>
      </c>
      <c r="C34" s="212">
        <f ca="1">IF(B1="",IF(F34=100%,'数据-取费表'!M16,'数据-取费表'!O16),IF(F34=100%,INDIRECT("'数据-取费表'!m"&amp;$G$1)+INDIRECT("'数据-取费表'!t"&amp;$G$1),INDIRECT("'数据-取费表'!o"&amp;$G$1)+INDIRECT("'数据-取费表'!aq"&amp;$G$1)))</f>
        <v>15148</v>
      </c>
      <c r="D34" s="209"/>
      <c r="E34" s="212"/>
      <c r="F34" s="249">
        <f ca="1">IF('数据-取费表'!B24=0,1,IF(B1="",'数据-取费表'!N16,INDIRECT("'数据-取费表'!n"&amp;$G$1)))</f>
        <v>1</v>
      </c>
      <c r="G34" s="211" t="s">
        <v>1521</v>
      </c>
    </row>
    <row r="35" spans="1:7" ht="13.5" customHeight="1">
      <c r="A35" s="732" t="s">
        <v>351</v>
      </c>
      <c r="B35" s="207" t="s">
        <v>1522</v>
      </c>
      <c r="C35" s="212">
        <f ca="1">ROUND(C34*F35,0)</f>
        <v>1515</v>
      </c>
      <c r="D35" s="212"/>
      <c r="E35" s="212"/>
      <c r="F35" s="251">
        <f>'数据-取费表'!B33</f>
        <v>0.1</v>
      </c>
      <c r="G35" s="211" t="s">
        <v>1523</v>
      </c>
    </row>
    <row r="36" spans="1:7" ht="24">
      <c r="A36" s="732"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2" t="s">
        <v>353</v>
      </c>
      <c r="B37" s="207" t="s">
        <v>1526</v>
      </c>
      <c r="C37" s="241">
        <f ca="1">ROUND(E37*D37*F34/10000,0)</f>
        <v>505</v>
      </c>
      <c r="D37" s="209">
        <f ca="1">D19</f>
        <v>25245.62</v>
      </c>
      <c r="E37" s="241">
        <f>'数据-取费表'!B35</f>
        <v>200</v>
      </c>
      <c r="F37" s="251"/>
      <c r="G37" s="253" t="s">
        <v>1527</v>
      </c>
    </row>
    <row r="38" spans="1:7" ht="13.5" customHeight="1">
      <c r="A38" s="732" t="s">
        <v>354</v>
      </c>
      <c r="B38" s="207" t="s">
        <v>1528</v>
      </c>
      <c r="C38" s="212">
        <f ca="1">ROUND(C34*F38,0)</f>
        <v>454</v>
      </c>
      <c r="D38" s="212"/>
      <c r="E38" s="212"/>
      <c r="F38" s="251">
        <f>'数据-取费表'!B36</f>
        <v>0.03</v>
      </c>
      <c r="G38" s="211" t="s">
        <v>1523</v>
      </c>
    </row>
    <row r="39" spans="1:7" s="206" customFormat="1" ht="13.5" customHeight="1">
      <c r="A39" s="247" t="s">
        <v>1486</v>
      </c>
      <c r="B39" s="202" t="s">
        <v>1489</v>
      </c>
      <c r="C39" s="224">
        <f ca="1">ROUND(C33*F20,0)</f>
        <v>529</v>
      </c>
      <c r="D39" s="224"/>
      <c r="E39" s="224"/>
      <c r="F39" s="225">
        <f>F20</f>
        <v>0.03</v>
      </c>
      <c r="G39" s="226" t="s">
        <v>1531</v>
      </c>
    </row>
    <row r="40" spans="1:7" s="206" customFormat="1" ht="13.5" customHeight="1">
      <c r="A40" s="247" t="s">
        <v>1488</v>
      </c>
      <c r="B40" s="202" t="s">
        <v>1492</v>
      </c>
      <c r="C40" s="227">
        <f>F21</f>
        <v>0.03</v>
      </c>
      <c r="D40" s="228" t="s">
        <v>1534</v>
      </c>
      <c r="E40" s="224"/>
      <c r="F40" s="225">
        <f>F21</f>
        <v>0.03</v>
      </c>
      <c r="G40" s="226" t="s">
        <v>1535</v>
      </c>
    </row>
    <row r="41" spans="1:7" s="206" customFormat="1" ht="13.5" customHeight="1">
      <c r="A41" s="247" t="s">
        <v>1491</v>
      </c>
      <c r="B41" s="202" t="s">
        <v>1496</v>
      </c>
      <c r="C41" s="224">
        <f ca="1">ROUND(SUM(C42:C43),0)</f>
        <v>683</v>
      </c>
      <c r="D41" s="227">
        <f ca="1">C44</f>
        <v>1.1000000000000001E-3</v>
      </c>
      <c r="E41" s="228" t="s">
        <v>1534</v>
      </c>
      <c r="F41" s="229">
        <f ca="1">F22</f>
        <v>0.03</v>
      </c>
      <c r="G41" s="226" t="str">
        <f>IF('数据-取费表'!B22&lt;=1,"单利计息","复利计息")</f>
        <v>复利计息</v>
      </c>
    </row>
    <row r="42" spans="1:7" ht="13.5" customHeight="1">
      <c r="A42" s="732" t="s">
        <v>346</v>
      </c>
      <c r="B42" s="207" t="s">
        <v>1498</v>
      </c>
      <c r="C42" s="230">
        <f ca="1">ROUND(IF('数据-取费表'!B22&lt;=1,C33*F22*'数据-取费表'!B21/2,C33*(POWER((1+F22),'数据-取费表'!B21/2)-1)),0)</f>
        <v>663</v>
      </c>
      <c r="D42" s="230"/>
      <c r="E42" s="230"/>
      <c r="F42" s="231"/>
      <c r="G42" s="3368" t="s">
        <v>1539</v>
      </c>
    </row>
    <row r="43" spans="1:7" ht="13.5" customHeight="1">
      <c r="A43" s="732" t="s">
        <v>347</v>
      </c>
      <c r="B43" s="207" t="s">
        <v>1501</v>
      </c>
      <c r="C43" s="230">
        <f ca="1">ROUND(IF('数据-取费表'!B22&lt;=1,C39*F22*'数据-取费表'!B21/2,C39*(POWER((1+F22),'数据-取费表'!B21/2)-1)),0)</f>
        <v>20</v>
      </c>
      <c r="D43" s="230"/>
      <c r="E43" s="230"/>
      <c r="F43" s="231"/>
      <c r="G43" s="3369"/>
    </row>
    <row r="44" spans="1:7" ht="13.5" customHeight="1">
      <c r="A44" s="732" t="s">
        <v>348</v>
      </c>
      <c r="B44" s="207" t="s">
        <v>1504</v>
      </c>
      <c r="C44" s="230">
        <f ca="1">ROUND(IF('数据-取费表'!B22&lt;=1,C40*F22*'数据-取费表'!B21/2,C40*(POWER((1+F22),'数据-取费表'!B21/2)-1)),4)</f>
        <v>1.1000000000000001E-3</v>
      </c>
      <c r="D44" s="230"/>
      <c r="E44" s="230"/>
      <c r="F44" s="231"/>
      <c r="G44" s="3370"/>
    </row>
    <row r="45" spans="1:7" s="206" customFormat="1" ht="13.5" customHeight="1">
      <c r="A45" s="247" t="s">
        <v>1495</v>
      </c>
      <c r="B45" s="236" t="s">
        <v>1508</v>
      </c>
      <c r="C45" s="237">
        <f ca="1">C46</f>
        <v>1815</v>
      </c>
      <c r="D45" s="227">
        <f ca="1">C47</f>
        <v>3.0000000000000001E-3</v>
      </c>
      <c r="E45" s="228" t="s">
        <v>1534</v>
      </c>
      <c r="F45" s="238">
        <f ca="1">F27</f>
        <v>0.1</v>
      </c>
      <c r="G45" s="239" t="s">
        <v>1543</v>
      </c>
    </row>
    <row r="46" spans="1:7" s="206" customFormat="1" ht="13.5" customHeight="1">
      <c r="A46" s="732" t="s">
        <v>346</v>
      </c>
      <c r="B46" s="240" t="s">
        <v>1544</v>
      </c>
      <c r="C46" s="241">
        <f ca="1">ROUND((C33+C39)*F27,0)</f>
        <v>1815</v>
      </c>
      <c r="D46" s="255"/>
      <c r="E46" s="228"/>
      <c r="F46" s="238"/>
      <c r="G46" s="239"/>
    </row>
    <row r="47" spans="1:7" s="206" customFormat="1" ht="13.5" customHeight="1">
      <c r="A47" s="732" t="s">
        <v>347</v>
      </c>
      <c r="B47" s="240" t="s">
        <v>1545</v>
      </c>
      <c r="C47" s="230">
        <f ca="1">ROUND(C40*F27,4)</f>
        <v>3.0000000000000001E-3</v>
      </c>
      <c r="D47" s="255"/>
      <c r="E47" s="228"/>
      <c r="F47" s="238"/>
      <c r="G47" s="239"/>
    </row>
    <row r="48" spans="1:7" s="206" customFormat="1" ht="13.5" customHeight="1">
      <c r="A48" s="247" t="s">
        <v>1507</v>
      </c>
      <c r="B48" s="202" t="s">
        <v>1546</v>
      </c>
      <c r="C48" s="227">
        <f>ROUND(F30/(1+'数据-取费表'!C42),4)</f>
        <v>5.33E-2</v>
      </c>
      <c r="D48" s="228" t="s">
        <v>1534</v>
      </c>
      <c r="E48" s="224"/>
      <c r="F48" s="229">
        <f>F30</f>
        <v>5.6000000000000001E-2</v>
      </c>
      <c r="G48" s="226" t="s">
        <v>1547</v>
      </c>
    </row>
    <row r="49" spans="1:7" ht="16.5" customHeight="1">
      <c r="A49" s="247" t="s">
        <v>1513</v>
      </c>
      <c r="B49" s="202" t="s">
        <v>1548</v>
      </c>
      <c r="C49" s="224">
        <f ca="1">ROUND((C33+C39+C41+C45)/(1-C40-D41-D45-C48),0)</f>
        <v>22627</v>
      </c>
      <c r="D49" s="224"/>
      <c r="E49" s="224"/>
      <c r="F49" s="256"/>
      <c r="G49" s="226" t="s">
        <v>1549</v>
      </c>
    </row>
    <row r="50" spans="1:7" s="250" customFormat="1" ht="24">
      <c r="A50" s="247" t="s">
        <v>1550</v>
      </c>
      <c r="B50" s="202" t="s">
        <v>1551</v>
      </c>
      <c r="C50" s="224"/>
      <c r="D50" s="224"/>
      <c r="E50" s="224"/>
      <c r="F50" s="256">
        <f>IF('数据-取费表'!B24=0,'数据-取费表'!N16,1)</f>
        <v>0.76500000000000001</v>
      </c>
      <c r="G50" s="239" t="s">
        <v>1552</v>
      </c>
    </row>
    <row r="51" spans="1:7" ht="16.5" customHeight="1">
      <c r="A51" s="247" t="s">
        <v>1553</v>
      </c>
      <c r="B51" s="202" t="s">
        <v>1554</v>
      </c>
      <c r="C51" s="224">
        <f ca="1">ROUND(C49*F50,0)</f>
        <v>17310</v>
      </c>
      <c r="D51" s="224"/>
      <c r="E51" s="224"/>
      <c r="F51" s="256"/>
      <c r="G51" s="226" t="s">
        <v>1555</v>
      </c>
    </row>
    <row r="52" spans="1:7" s="200" customFormat="1" ht="16.5" thickBot="1">
      <c r="A52" s="257" t="s">
        <v>1556</v>
      </c>
      <c r="B52" s="258"/>
      <c r="C52" s="259">
        <f ca="1">C31+C51</f>
        <v>40108</v>
      </c>
      <c r="D52" s="258"/>
      <c r="E52" s="258"/>
      <c r="F52" s="258"/>
      <c r="G52" s="260"/>
    </row>
    <row r="55" spans="1:7" ht="15">
      <c r="B55" s="262" t="s">
        <v>1557</v>
      </c>
      <c r="C55" s="263"/>
    </row>
    <row r="56" spans="1:7">
      <c r="B56" s="265" t="s">
        <v>797</v>
      </c>
      <c r="C56" s="267">
        <f ca="1">1-C57</f>
        <v>0.56800000000000006</v>
      </c>
    </row>
    <row r="57" spans="1:7">
      <c r="B57" s="265" t="s">
        <v>798</v>
      </c>
      <c r="C57" s="266">
        <f ca="1">ROUND(C51/C52,3)</f>
        <v>0.432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4871D128-4BB4-4880-A3AB-C975501D1EA4}">
      <formula1>"已包含在土地购买价格中,未包含在土地购买价格中"</formula1>
    </dataValidation>
    <dataValidation type="list" allowBlank="1" showInputMessage="1" showErrorMessage="1" sqref="G19" xr:uid="{8EE02F30-EF71-44EB-9DFF-60136D3B59D6}">
      <formula1>"已包含在土地取得成本中,未包含在土地取得成本中"</formula1>
    </dataValidation>
    <dataValidation type="list" allowBlank="1" showInputMessage="1" showErrorMessage="1" sqref="B1" xr:uid="{5D8907B2-4069-4A30-B126-E00F4F7D0BFB}">
      <formula1>项目类型</formula1>
    </dataValidation>
    <dataValidation type="list" allowBlank="1" showInputMessage="1" showErrorMessage="1" sqref="G9" xr:uid="{1F84BB41-78E7-4F5F-BFDA-A843CCE7FD9F}">
      <formula1>"部分缴纳,全部缴纳"</formula1>
    </dataValidation>
    <dataValidation type="list" allowBlank="1" showInputMessage="1" showErrorMessage="1" sqref="G2" xr:uid="{172A501A-1852-4061-BA1A-22CB86BA1CA9}">
      <formula1>估价方法</formula1>
    </dataValidation>
    <dataValidation type="list" allowBlank="1" showInputMessage="1" showErrorMessage="1" sqref="D2" xr:uid="{56AC1AAA-6B51-400D-9A15-6EDD9DA1B245}">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E3B88-A750-44E5-9AF9-00A6689B0125}">
  <sheetPr>
    <tabColor rgb="FF7030A0"/>
  </sheetPr>
  <dimension ref="A1:AK83"/>
  <sheetViews>
    <sheetView view="pageBreakPreview" zoomScale="70" zoomScaleNormal="70" zoomScaleSheetLayoutView="70" workbookViewId="0">
      <selection activeCell="K26" sqref="K2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872</v>
      </c>
      <c r="B1" s="663"/>
      <c r="C1" s="1285" t="s">
        <v>3428</v>
      </c>
      <c r="D1" s="1269" t="s">
        <v>43</v>
      </c>
      <c r="E1" s="1270" t="s">
        <v>673</v>
      </c>
      <c r="F1" s="997">
        <f ca="1">J53</f>
        <v>29.27</v>
      </c>
      <c r="G1" s="1284">
        <f>MATCH(C1,'数据-取费表'!A6:A16,0)+5</f>
        <v>8</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799</v>
      </c>
      <c r="B2" s="1292">
        <f ca="1">C40+J29+L46</f>
        <v>10908</v>
      </c>
      <c r="C2" s="1287" t="s">
        <v>800</v>
      </c>
      <c r="D2" s="1287"/>
      <c r="E2" s="1293"/>
      <c r="F2" s="1294"/>
      <c r="G2" s="2475"/>
      <c r="H2" s="2465"/>
      <c r="I2" s="2465"/>
      <c r="J2" s="2465"/>
      <c r="K2" s="2466"/>
      <c r="L2" s="2465"/>
      <c r="M2" s="2465"/>
    </row>
    <row r="3" spans="1:37" ht="18" customHeight="1" thickBot="1">
      <c r="A3" s="1295" t="s">
        <v>801</v>
      </c>
      <c r="B3" s="1296">
        <f ca="1">IF(ISERROR(B2*10000/F43),0,ROUND(B2*10000/F43,0))</f>
        <v>4457</v>
      </c>
      <c r="C3" s="1287" t="s">
        <v>802</v>
      </c>
      <c r="D3" s="1287"/>
      <c r="E3" s="1293"/>
      <c r="F3" s="1294"/>
      <c r="G3" s="2475"/>
      <c r="H3" s="649" t="s">
        <v>871</v>
      </c>
      <c r="I3" s="1288"/>
      <c r="J3" s="1288"/>
      <c r="K3" s="1289"/>
      <c r="L3" s="1288"/>
      <c r="M3" s="1288"/>
    </row>
    <row r="4" spans="1:37" ht="18" customHeight="1">
      <c r="A4" s="287" t="s">
        <v>682</v>
      </c>
      <c r="B4" s="288" t="s">
        <v>683</v>
      </c>
      <c r="C4" s="288" t="s">
        <v>684</v>
      </c>
      <c r="D4" s="288" t="s">
        <v>685</v>
      </c>
      <c r="E4" s="289" t="s">
        <v>686</v>
      </c>
      <c r="F4" s="290"/>
      <c r="G4" s="1290"/>
      <c r="H4" s="287" t="s">
        <v>682</v>
      </c>
      <c r="I4" s="288" t="s">
        <v>683</v>
      </c>
      <c r="J4" s="288" t="s">
        <v>684</v>
      </c>
      <c r="K4" s="288" t="s">
        <v>685</v>
      </c>
      <c r="L4" s="289" t="s">
        <v>686</v>
      </c>
      <c r="M4" s="290"/>
    </row>
    <row r="5" spans="1:37" ht="18" customHeight="1">
      <c r="A5" s="291">
        <v>1</v>
      </c>
      <c r="B5" s="292" t="s">
        <v>687</v>
      </c>
      <c r="C5" s="1005">
        <f ca="1">C6+C10+C12</f>
        <v>804</v>
      </c>
      <c r="D5" s="1271" t="s">
        <v>688</v>
      </c>
      <c r="E5" s="1006"/>
      <c r="F5" s="1007"/>
      <c r="G5" s="1290"/>
      <c r="H5" s="291">
        <v>1</v>
      </c>
      <c r="I5" s="292" t="s">
        <v>687</v>
      </c>
      <c r="J5" s="1005">
        <f ca="1">J6+J10+J12</f>
        <v>0</v>
      </c>
      <c r="K5" s="1271" t="s">
        <v>688</v>
      </c>
      <c r="L5" s="1006"/>
      <c r="M5" s="1007"/>
    </row>
    <row r="6" spans="1:37" ht="18" customHeight="1">
      <c r="A6" s="1004" t="s">
        <v>398</v>
      </c>
      <c r="B6" s="3371" t="s">
        <v>689</v>
      </c>
      <c r="C6" s="1009">
        <f ca="1">ROUND(F6*F8*F7*(1-F9)/10000,0)</f>
        <v>804</v>
      </c>
      <c r="D6" s="147" t="s">
        <v>2104</v>
      </c>
      <c r="E6" s="294" t="s">
        <v>691</v>
      </c>
      <c r="F6" s="295">
        <f ca="1">INDIRECT("'数据-取费表'!u"&amp;$G$1)</f>
        <v>1500</v>
      </c>
      <c r="G6" s="1290"/>
      <c r="H6" s="1004" t="s">
        <v>398</v>
      </c>
      <c r="I6" s="3371" t="s">
        <v>689</v>
      </c>
      <c r="J6" s="293">
        <f ca="1">ROUND(M6*M8*M7*(1-M9)/10000,0)</f>
        <v>0</v>
      </c>
      <c r="K6" s="147" t="s">
        <v>2103</v>
      </c>
      <c r="L6" s="294" t="s">
        <v>691</v>
      </c>
      <c r="M6" s="295">
        <f ca="1">INDIRECT("'数据-取费表'!z"&amp;$G$1)</f>
        <v>0</v>
      </c>
    </row>
    <row r="7" spans="1:37" ht="18" customHeight="1">
      <c r="A7" s="1008"/>
      <c r="B7" s="3372"/>
      <c r="C7" s="1010"/>
      <c r="D7" s="299"/>
      <c r="E7" s="1011" t="s">
        <v>692</v>
      </c>
      <c r="F7" s="295">
        <f ca="1">IF(INDIRECT("'数据-取费表'!ah"&amp;$G$1)="",INDIRECT("'数据-取费表'!k"&amp;$G$1),INDIRECT("'数据-取费表'!ah"&amp;$G$1))</f>
        <v>496</v>
      </c>
      <c r="G7" s="1290"/>
      <c r="H7" s="296"/>
      <c r="I7" s="3372"/>
      <c r="J7" s="298"/>
      <c r="K7" s="299"/>
      <c r="L7" s="294" t="s">
        <v>692</v>
      </c>
      <c r="M7" s="295">
        <f ca="1">F7</f>
        <v>496</v>
      </c>
    </row>
    <row r="8" spans="1:37" ht="18" customHeight="1">
      <c r="A8" s="296"/>
      <c r="B8" s="3372"/>
      <c r="C8" s="298"/>
      <c r="D8" s="299"/>
      <c r="E8" s="294" t="s">
        <v>693</v>
      </c>
      <c r="F8" s="295">
        <f ca="1">INDIRECT("'数据-取费表'!ai"&amp;$G$1)</f>
        <v>12</v>
      </c>
      <c r="G8" s="1290"/>
      <c r="H8" s="296"/>
      <c r="I8" s="3372"/>
      <c r="J8" s="298"/>
      <c r="K8" s="299"/>
      <c r="L8" s="294" t="s">
        <v>693</v>
      </c>
      <c r="M8" s="295">
        <f ca="1">INDIRECT("'数据-取费表'!ai"&amp;$G$1)</f>
        <v>12</v>
      </c>
    </row>
    <row r="9" spans="1:37" ht="18" customHeight="1">
      <c r="A9" s="296"/>
      <c r="B9" s="3373"/>
      <c r="C9" s="298"/>
      <c r="D9" s="299"/>
      <c r="E9" s="294" t="s">
        <v>694</v>
      </c>
      <c r="F9" s="304">
        <f ca="1">INDIRECT("'数据-取费表'!w"&amp;$G$1)</f>
        <v>0.1</v>
      </c>
      <c r="G9" s="1290"/>
      <c r="H9" s="296"/>
      <c r="I9" s="3373"/>
      <c r="J9" s="298"/>
      <c r="K9" s="299"/>
      <c r="L9" s="305" t="s">
        <v>694</v>
      </c>
      <c r="M9" s="306">
        <f ca="1">INDIRECT("'数据-取费表'!ab"&amp;$G$1)</f>
        <v>0</v>
      </c>
    </row>
    <row r="10" spans="1:37" ht="18" customHeight="1">
      <c r="A10" s="1004" t="s">
        <v>402</v>
      </c>
      <c r="B10" s="1272" t="s">
        <v>695</v>
      </c>
      <c r="C10" s="308">
        <f ca="1">ROUND(IF(F10="押一",C6/12*F11,IF(F10="押二",C6/12*2*F11,IF(F10="押三",C6/12*3*F11,C11*F11))),0)</f>
        <v>0</v>
      </c>
      <c r="D10" s="150" t="s">
        <v>2111</v>
      </c>
      <c r="E10" s="305" t="s">
        <v>696</v>
      </c>
      <c r="F10" s="1051"/>
      <c r="G10" s="1290"/>
      <c r="H10" s="1004" t="s">
        <v>402</v>
      </c>
      <c r="I10" s="1272" t="s">
        <v>695</v>
      </c>
      <c r="J10" s="293">
        <f ca="1">ROUND(IF(M10="押一",J6/12*M11,IF(M10="押二",J6/12*2*M11,IF(M10="押三",J6/12*3*M11,J11*M11))),0)</f>
        <v>0</v>
      </c>
      <c r="K10" s="150" t="s">
        <v>2111</v>
      </c>
      <c r="L10" s="305" t="s">
        <v>696</v>
      </c>
      <c r="M10" s="1051"/>
    </row>
    <row r="11" spans="1:37" ht="18" customHeight="1">
      <c r="A11" s="300"/>
      <c r="B11" s="1273" t="s">
        <v>674</v>
      </c>
      <c r="C11" s="903"/>
      <c r="D11" s="1274"/>
      <c r="E11" s="305" t="s">
        <v>697</v>
      </c>
      <c r="F11" s="306">
        <f ca="1">'数据-取费表'!B39</f>
        <v>1.4999999999999999E-2</v>
      </c>
      <c r="G11" s="1290"/>
      <c r="H11" s="1012"/>
      <c r="I11" s="1273" t="s">
        <v>674</v>
      </c>
      <c r="J11" s="903"/>
      <c r="K11" s="646"/>
      <c r="L11" s="305" t="s">
        <v>697</v>
      </c>
      <c r="M11" s="807">
        <f ca="1">'数据-取费表'!B39</f>
        <v>1.4999999999999999E-2</v>
      </c>
    </row>
    <row r="12" spans="1:37" ht="18" customHeight="1" thickBot="1">
      <c r="A12" s="1018" t="s">
        <v>437</v>
      </c>
      <c r="B12" s="1275" t="s">
        <v>698</v>
      </c>
      <c r="C12" s="1019"/>
      <c r="D12" s="1020"/>
      <c r="E12" s="1025"/>
      <c r="F12" s="1021"/>
      <c r="G12" s="1290"/>
      <c r="H12" s="1018" t="s">
        <v>437</v>
      </c>
      <c r="I12" s="1275" t="s">
        <v>698</v>
      </c>
      <c r="J12" s="1019"/>
      <c r="K12" s="1033"/>
      <c r="L12" s="1025"/>
      <c r="M12" s="1034"/>
    </row>
    <row r="13" spans="1:37" ht="18" customHeight="1" thickTop="1">
      <c r="A13" s="1014">
        <v>2</v>
      </c>
      <c r="B13" s="1015" t="s">
        <v>699</v>
      </c>
      <c r="C13" s="302">
        <f ca="1">ROUND(C29*F13,0)</f>
        <v>17310</v>
      </c>
      <c r="D13" s="1016" t="s">
        <v>700</v>
      </c>
      <c r="E13" s="1016" t="s">
        <v>701</v>
      </c>
      <c r="F13" s="1017">
        <f ca="1">INDIRECT("'数据-取费表'!y"&amp;$G$1)</f>
        <v>0.76500000000000001</v>
      </c>
      <c r="G13" s="1290"/>
      <c r="H13" s="1014">
        <v>2</v>
      </c>
      <c r="I13" s="1015" t="s">
        <v>699</v>
      </c>
      <c r="J13" s="1003">
        <f ca="1">ROUND(J14*J15,0)</f>
        <v>0</v>
      </c>
      <c r="K13" s="1022" t="s">
        <v>700</v>
      </c>
      <c r="L13" s="1297"/>
      <c r="M13" s="1298"/>
    </row>
    <row r="14" spans="1:37" ht="18" customHeight="1">
      <c r="A14" s="926" t="s">
        <v>397</v>
      </c>
      <c r="B14" s="294" t="s">
        <v>702</v>
      </c>
      <c r="C14" s="310">
        <f ca="1">INDIRECT("'数据-取费表'!m"&amp;$G$1)+INDIRECT("'数据-取费表'!t"&amp;$G$1)</f>
        <v>15148</v>
      </c>
      <c r="D14" s="1255" t="s">
        <v>703</v>
      </c>
      <c r="E14" s="1253"/>
      <c r="F14" s="311"/>
      <c r="G14" s="1290"/>
      <c r="H14" s="926" t="s">
        <v>398</v>
      </c>
      <c r="I14" s="294" t="s">
        <v>704</v>
      </c>
      <c r="J14" s="21">
        <f ca="1">C29</f>
        <v>22627</v>
      </c>
      <c r="K14" s="12"/>
      <c r="L14" s="757"/>
      <c r="M14" s="758"/>
    </row>
    <row r="15" spans="1:37" s="1302" customFormat="1" ht="18" customHeight="1" thickBot="1">
      <c r="A15" s="926" t="s">
        <v>399</v>
      </c>
      <c r="B15" s="294" t="s">
        <v>705</v>
      </c>
      <c r="C15" s="21">
        <f ca="1">ROUND(C14*F15,0)</f>
        <v>1515</v>
      </c>
      <c r="D15" s="312" t="s">
        <v>706</v>
      </c>
      <c r="E15" s="312" t="s">
        <v>707</v>
      </c>
      <c r="F15" s="313">
        <f>'数据-取费表'!B33</f>
        <v>0.1</v>
      </c>
      <c r="G15" s="1301"/>
      <c r="H15" s="1024" t="s">
        <v>402</v>
      </c>
      <c r="I15" s="1025" t="s">
        <v>701</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675</v>
      </c>
      <c r="B16" s="294" t="s">
        <v>708</v>
      </c>
      <c r="C16" s="21">
        <f ca="1">ROUND(INDIRECT("'数据-取费表'!m"&amp;$G$1)*F16,0)</f>
        <v>0</v>
      </c>
      <c r="D16" s="294" t="s">
        <v>706</v>
      </c>
      <c r="E16" s="294" t="s">
        <v>707</v>
      </c>
      <c r="F16" s="314">
        <f ca="1">IF(INDIRECT("'数据-取费表'!c"&amp;$G$1)="住宅",'数据-取费表'!B34,0)</f>
        <v>0</v>
      </c>
      <c r="G16" s="1290"/>
      <c r="H16" s="1014" t="s">
        <v>393</v>
      </c>
      <c r="I16" s="1015" t="s">
        <v>709</v>
      </c>
      <c r="J16" s="302">
        <f ca="1">ROUND(J17+J22+J23+J24,0)</f>
        <v>121</v>
      </c>
      <c r="K16" s="1022" t="s">
        <v>710</v>
      </c>
      <c r="L16" s="1023"/>
      <c r="M16" s="1007"/>
    </row>
    <row r="17" spans="1:37" s="1302" customFormat="1" ht="18" customHeight="1">
      <c r="A17" s="926" t="s">
        <v>676</v>
      </c>
      <c r="B17" s="294" t="s">
        <v>711</v>
      </c>
      <c r="C17" s="21">
        <f ca="1">ROUND(F17*(F43+INDIRECT("'数据-取费表'!S"&amp;$G$1))/10000,0)</f>
        <v>505</v>
      </c>
      <c r="D17" s="294" t="s">
        <v>712</v>
      </c>
      <c r="E17" s="294" t="s">
        <v>713</v>
      </c>
      <c r="F17" s="23">
        <f>'数据-取费表'!B35</f>
        <v>200</v>
      </c>
      <c r="G17" s="1301"/>
      <c r="H17" s="926" t="s">
        <v>398</v>
      </c>
      <c r="I17" s="294" t="s">
        <v>714</v>
      </c>
      <c r="J17" s="2138">
        <f ca="1">ROUND(IF(AND(项目基本情况!B11="自然人",项目基本情况!B10="北京市"),J6*M17/(1+'数据-取费表'!C42),J18+J19+J20),2)</f>
        <v>7.47</v>
      </c>
      <c r="K17" s="1255" t="s">
        <v>715</v>
      </c>
      <c r="L17" s="1254" t="s">
        <v>716</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677</v>
      </c>
      <c r="B18" s="294" t="s">
        <v>717</v>
      </c>
      <c r="C18" s="21">
        <f ca="1">ROUND(C14*F18,0)</f>
        <v>454</v>
      </c>
      <c r="D18" s="294" t="s">
        <v>706</v>
      </c>
      <c r="E18" s="294" t="s">
        <v>707</v>
      </c>
      <c r="F18" s="314">
        <f>'数据-取费表'!B36</f>
        <v>0.03</v>
      </c>
      <c r="G18" s="1301"/>
      <c r="H18" s="926" t="s">
        <v>397</v>
      </c>
      <c r="I18" s="294" t="s">
        <v>718</v>
      </c>
      <c r="J18" s="21">
        <f ca="1">ROUND(J6*M18/(1+'数据-取费表'!C42),2)</f>
        <v>0</v>
      </c>
      <c r="K18" s="1254" t="s">
        <v>719</v>
      </c>
      <c r="L18" s="294" t="s">
        <v>707</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720</v>
      </c>
      <c r="C19" s="21">
        <f ca="1">SUM(C14:C18)</f>
        <v>17622</v>
      </c>
      <c r="D19" s="123" t="s">
        <v>721</v>
      </c>
      <c r="E19" s="1267"/>
      <c r="F19" s="23"/>
      <c r="G19" s="1290"/>
      <c r="H19" s="926" t="s">
        <v>399</v>
      </c>
      <c r="I19" s="294" t="s">
        <v>722</v>
      </c>
      <c r="J19" s="21">
        <f ca="1">IF(K19="按租金收入计税",ROUND(J6*M19/(1+'数据-取费表'!C42),2),ROUND(C29*M19*0.7,2))</f>
        <v>0</v>
      </c>
      <c r="K19" s="1276" t="s">
        <v>3322</v>
      </c>
      <c r="L19" s="294" t="s">
        <v>707</v>
      </c>
      <c r="M19" s="314">
        <f>IF(K19="按租金收入计税",'数据-取费表'!B51,'数据-取费表'!B50)</f>
        <v>0.12</v>
      </c>
    </row>
    <row r="20" spans="1:37" s="1302" customFormat="1" ht="18" customHeight="1">
      <c r="A20" s="926" t="s">
        <v>402</v>
      </c>
      <c r="B20" s="294" t="s">
        <v>723</v>
      </c>
      <c r="C20" s="21">
        <f ca="1">ROUND(C19*F20,0)</f>
        <v>529</v>
      </c>
      <c r="D20" s="315" t="s">
        <v>724</v>
      </c>
      <c r="E20" s="294" t="s">
        <v>707</v>
      </c>
      <c r="F20" s="314">
        <f>'数据-取费表'!B37</f>
        <v>0.03</v>
      </c>
      <c r="G20" s="1301"/>
      <c r="H20" s="926" t="s">
        <v>675</v>
      </c>
      <c r="I20" s="147" t="s">
        <v>725</v>
      </c>
      <c r="J20" s="22">
        <f ca="1">ROUND(M20*M21/10000,2)</f>
        <v>7.47</v>
      </c>
      <c r="K20" s="316" t="s">
        <v>726</v>
      </c>
      <c r="L20" s="294" t="s">
        <v>727</v>
      </c>
      <c r="M20" s="317">
        <f>'数据-取费表'!B52</f>
        <v>30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728</v>
      </c>
      <c r="C21" s="21" t="s">
        <v>0</v>
      </c>
      <c r="D21" s="315" t="s">
        <v>729</v>
      </c>
      <c r="E21" s="294" t="s">
        <v>730</v>
      </c>
      <c r="F21" s="314">
        <f>'数据-取费表'!B38</f>
        <v>0.03</v>
      </c>
      <c r="G21" s="1301"/>
      <c r="H21" s="318"/>
      <c r="I21" s="303"/>
      <c r="J21" s="26"/>
      <c r="K21" s="319"/>
      <c r="L21" s="294" t="s">
        <v>731</v>
      </c>
      <c r="M21" s="295">
        <f ca="1">INDIRECT("'数据-取费表'!r"&amp;$G$1)</f>
        <v>2489.4500000000003</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678</v>
      </c>
      <c r="B22" s="294" t="s">
        <v>732</v>
      </c>
      <c r="C22" s="21"/>
      <c r="D22" s="123" t="str">
        <f>IF(F23&lt;=1,"单利计息。","复利计息。")&amp;"建造成本、管理费用、销售费用产生的利息。"</f>
        <v>复利计息。建造成本、管理费用、销售费用产生的利息。</v>
      </c>
      <c r="E22" s="1267"/>
      <c r="F22" s="23"/>
      <c r="G22" s="1290"/>
      <c r="H22" s="926" t="s">
        <v>402</v>
      </c>
      <c r="I22" s="294" t="s">
        <v>733</v>
      </c>
      <c r="J22" s="21">
        <f ca="1">ROUND(J14*M22,2)</f>
        <v>113.14</v>
      </c>
      <c r="K22" s="1254" t="s">
        <v>734</v>
      </c>
      <c r="L22" s="294" t="s">
        <v>707</v>
      </c>
      <c r="M22" s="320">
        <f ca="1">INDIRECT("'数据-取费表'!Ak"&amp;$G$1)</f>
        <v>5.0000000000000001E-3</v>
      </c>
    </row>
    <row r="23" spans="1:37" s="1302" customFormat="1" ht="18" customHeight="1">
      <c r="A23" s="926" t="s">
        <v>397</v>
      </c>
      <c r="B23" s="294" t="s">
        <v>735</v>
      </c>
      <c r="C23" s="21">
        <f ca="1">IF('数据-取费表'!B22&lt;=1,ROUND(C19*F24*F23/2,0)+ROUND(C20*F24*F23/2,0),ROUND(C19*(POWER((1+F24),F23/2)-1),0)+ROUND(C20*(POWER((1+F24),F23/2)-1),0))</f>
        <v>683</v>
      </c>
      <c r="D23" s="138" t="str">
        <f>IF(F23&lt;=1,"(建造成本+管理费用)×利率×(建设周期÷2)","(建造成本+管理费用)×((1+利率)^(建设周期÷2)-1)")</f>
        <v>(建造成本+管理费用)×((1+利率)^(建设周期÷2)-1)</v>
      </c>
      <c r="E23" s="294" t="s">
        <v>736</v>
      </c>
      <c r="F23" s="317">
        <f>'数据-取费表'!B20</f>
        <v>2.5</v>
      </c>
      <c r="G23" s="1301"/>
      <c r="H23" s="926" t="s">
        <v>437</v>
      </c>
      <c r="I23" s="294" t="s">
        <v>737</v>
      </c>
      <c r="J23" s="21">
        <f ca="1">ROUND(J13*M23,2)</f>
        <v>0</v>
      </c>
      <c r="K23" s="1254" t="s">
        <v>738</v>
      </c>
      <c r="L23" s="294" t="s">
        <v>707</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741</v>
      </c>
      <c r="C24" s="21">
        <f ca="1">ROUND(IF('数据-取费表'!B22&lt;=1,F21*F24*F23/2,F21*(POWER((1+F24),F23/2)-1)),4)</f>
        <v>1.1000000000000001E-3</v>
      </c>
      <c r="D24" s="138" t="str">
        <f>IF(F23&lt;=1,"销售费用×利率×(建设周期÷2)","销售费用×((1+利率)^(建设周期÷2)-1)")</f>
        <v>销售费用×((1+利率)^(建设周期÷2)-1)</v>
      </c>
      <c r="E24" s="294" t="s">
        <v>742</v>
      </c>
      <c r="F24" s="322">
        <f ca="1">'数据-取费表'!B40</f>
        <v>0.03</v>
      </c>
      <c r="G24" s="1301"/>
      <c r="H24" s="1024" t="s">
        <v>678</v>
      </c>
      <c r="I24" s="1025" t="s">
        <v>723</v>
      </c>
      <c r="J24" s="1026">
        <f ca="1">ROUND(J5*M24,2)</f>
        <v>0</v>
      </c>
      <c r="K24" s="1027" t="s">
        <v>743</v>
      </c>
      <c r="L24" s="1025" t="s">
        <v>707</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744</v>
      </c>
      <c r="B25" s="294" t="s">
        <v>745</v>
      </c>
      <c r="C25" s="21"/>
      <c r="D25" s="123" t="s">
        <v>746</v>
      </c>
      <c r="E25" s="1267"/>
      <c r="F25" s="23"/>
      <c r="G25" s="1290"/>
      <c r="H25" s="1014" t="s">
        <v>394</v>
      </c>
      <c r="I25" s="1029" t="s">
        <v>747</v>
      </c>
      <c r="J25" s="302">
        <f ca="1">J5-J16</f>
        <v>-121</v>
      </c>
      <c r="K25" s="1030" t="s">
        <v>748</v>
      </c>
      <c r="L25" s="1031"/>
      <c r="M25" s="1032"/>
    </row>
    <row r="26" spans="1:37">
      <c r="A26" s="926" t="s">
        <v>397</v>
      </c>
      <c r="B26" s="294" t="s">
        <v>749</v>
      </c>
      <c r="C26" s="21">
        <f ca="1">ROUND((C19+C20)*F26,0)</f>
        <v>1815</v>
      </c>
      <c r="D26" s="315" t="s">
        <v>750</v>
      </c>
      <c r="E26" s="305" t="s">
        <v>751</v>
      </c>
      <c r="F26" s="304">
        <f ca="1">INDIRECT("'数据-取费表'!q"&amp;$G$1)</f>
        <v>0.1</v>
      </c>
      <c r="G26" s="1290"/>
      <c r="H26" s="291" t="s">
        <v>395</v>
      </c>
      <c r="I26" s="292" t="s">
        <v>752</v>
      </c>
      <c r="J26" s="293">
        <f ca="1">IF(J5&lt;&gt;0,ROUND(J25*(1-((1+M28)/(1+M26))^M27)/(M26-M28),0),0)</f>
        <v>0</v>
      </c>
      <c r="K26" s="316" t="s">
        <v>753</v>
      </c>
      <c r="L26" s="294" t="s">
        <v>754</v>
      </c>
      <c r="M26" s="304">
        <f ca="1">INDIRECT("'数据-取费表'!I"&amp;$G$1)</f>
        <v>0.05</v>
      </c>
    </row>
    <row r="27" spans="1:37" ht="18" customHeight="1">
      <c r="A27" s="926" t="s">
        <v>399</v>
      </c>
      <c r="B27" s="294" t="s">
        <v>755</v>
      </c>
      <c r="C27" s="21">
        <f ca="1">ROUND(F21*F26,4)</f>
        <v>3.0000000000000001E-3</v>
      </c>
      <c r="D27" s="315" t="s">
        <v>756</v>
      </c>
      <c r="E27" s="312"/>
      <c r="F27" s="313"/>
      <c r="G27" s="1290"/>
      <c r="H27" s="296"/>
      <c r="I27" s="297"/>
      <c r="J27" s="298"/>
      <c r="K27" s="323" t="s">
        <v>757</v>
      </c>
      <c r="L27" s="294" t="s">
        <v>758</v>
      </c>
      <c r="M27" s="324">
        <f ca="1">INDIRECT("'数据-取费表'!ag"&amp;$G$1)</f>
        <v>0</v>
      </c>
    </row>
    <row r="28" spans="1:37" s="1302" customFormat="1" ht="18" customHeight="1">
      <c r="A28" s="926" t="s">
        <v>400</v>
      </c>
      <c r="B28" s="294" t="s">
        <v>759</v>
      </c>
      <c r="C28" s="21">
        <f>ROUND(F28/(1+'数据-取费表'!C42),4)</f>
        <v>5.33E-2</v>
      </c>
      <c r="D28" s="315" t="s">
        <v>760</v>
      </c>
      <c r="E28" s="294" t="s">
        <v>707</v>
      </c>
      <c r="F28" s="314">
        <f>'数据-取费表'!B41</f>
        <v>5.6000000000000001E-2</v>
      </c>
      <c r="G28" s="1301"/>
      <c r="H28" s="300"/>
      <c r="I28" s="301"/>
      <c r="J28" s="302"/>
      <c r="K28" s="319"/>
      <c r="L28" s="294" t="s">
        <v>761</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762</v>
      </c>
      <c r="C29" s="1026">
        <f ca="1">ROUND((C19+C20+C23+C26)/(1-F21-C24-C27-C28),0)</f>
        <v>22627</v>
      </c>
      <c r="D29" s="1027"/>
      <c r="E29" s="1025"/>
      <c r="F29" s="1028"/>
      <c r="G29" s="1301"/>
      <c r="H29" s="325" t="s">
        <v>396</v>
      </c>
      <c r="I29" s="326" t="s">
        <v>763</v>
      </c>
      <c r="J29" s="327">
        <f ca="1">ROUND(J26/(1+F40)^F41,0)</f>
        <v>0</v>
      </c>
      <c r="K29" s="328" t="s">
        <v>764</v>
      </c>
      <c r="L29" s="329"/>
      <c r="M29" s="330">
        <f ca="1">INDIRECT("'数据-取费表'!k"&amp;$G$1)</f>
        <v>24473</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709</v>
      </c>
      <c r="C30" s="302">
        <f ca="1">ROUND(C31+C36+C37+C38,0)</f>
        <v>289</v>
      </c>
      <c r="D30" s="1022" t="s">
        <v>710</v>
      </c>
      <c r="E30" s="1023"/>
      <c r="F30" s="1007"/>
      <c r="G30" s="1290"/>
      <c r="H30" s="2467"/>
      <c r="I30" s="1303"/>
      <c r="J30" s="1304"/>
      <c r="K30" s="121"/>
      <c r="L30" s="2468"/>
      <c r="M30" s="2469"/>
    </row>
    <row r="31" spans="1:37" ht="18" customHeight="1">
      <c r="A31" s="926" t="s">
        <v>398</v>
      </c>
      <c r="B31" s="294" t="s">
        <v>714</v>
      </c>
      <c r="C31" s="2138">
        <f ca="1">ROUND(IF(AND(项目基本情况!B11="自然人",项目基本情况!B10="北京市"),C6*F31/(1+'数据-取费表'!C42),C32+C33+C34),2)</f>
        <v>142.24</v>
      </c>
      <c r="D31" s="1255" t="s">
        <v>715</v>
      </c>
      <c r="E31" s="1254" t="s">
        <v>765</v>
      </c>
      <c r="F31" s="2137" t="str">
        <f>IF(项目基本情况!B11="企业","——",IF(M47="住宅",IF(F6*F7*F8/12/(1+'数据-取费表'!F30)&gt;100000,4%,2.5%),IF(F6*F7*F8/12/(1+'数据-取费表'!F30)&gt;100000,12%,7%)))</f>
        <v>——</v>
      </c>
      <c r="G31" s="1290"/>
      <c r="H31" s="2566" t="s">
        <v>2292</v>
      </c>
      <c r="I31" s="1303"/>
      <c r="J31" s="1304"/>
      <c r="K31" s="121"/>
      <c r="L31" s="2468"/>
      <c r="M31" s="2469"/>
    </row>
    <row r="32" spans="1:37" ht="18" customHeight="1">
      <c r="A32" s="926" t="s">
        <v>397</v>
      </c>
      <c r="B32" s="294" t="s">
        <v>718</v>
      </c>
      <c r="C32" s="21">
        <f ca="1">IF(项目基本情况!B11="自然人","——",ROUND(C6*F32/(1+'数据-取费表'!C42),2))</f>
        <v>42.88</v>
      </c>
      <c r="D32" s="1254" t="s">
        <v>719</v>
      </c>
      <c r="E32" s="294" t="s">
        <v>707</v>
      </c>
      <c r="F32" s="322">
        <f>'数据-取费表'!B41</f>
        <v>5.6000000000000001E-2</v>
      </c>
      <c r="G32" s="1290"/>
      <c r="H32" s="2467"/>
      <c r="I32" s="1303"/>
      <c r="J32" s="1304"/>
      <c r="K32" s="121"/>
      <c r="L32" s="2468"/>
      <c r="M32" s="2469"/>
    </row>
    <row r="33" spans="1:18" ht="18" customHeight="1">
      <c r="A33" s="926" t="s">
        <v>399</v>
      </c>
      <c r="B33" s="294" t="s">
        <v>722</v>
      </c>
      <c r="C33" s="21">
        <f ca="1">IF(项目基本情况!B11="自然人","——",IF(D33="按租金收入计税",ROUND(C6*F33/(1+'数据-取费表'!C42),2),IF(D33="按房产原值计税",ROUND(C29*F33*0.7,2),INDIRECT("'数据-取费表'!Aj"&amp;$G$1))))</f>
        <v>91.89</v>
      </c>
      <c r="D33" s="1276" t="s">
        <v>3322</v>
      </c>
      <c r="E33" s="294" t="s">
        <v>707</v>
      </c>
      <c r="F33" s="314">
        <f>IF(D33="按票据","——",IF(D33="按租金收入计税",'数据-取费表'!B51,'数据-取费表'!B50))</f>
        <v>0.12</v>
      </c>
      <c r="G33" s="1290"/>
      <c r="H33" s="2470"/>
      <c r="I33" s="1303"/>
      <c r="J33" s="1304"/>
      <c r="K33" s="2471"/>
      <c r="L33" s="2470"/>
      <c r="M33" s="2470"/>
    </row>
    <row r="34" spans="1:18" ht="18" customHeight="1">
      <c r="A34" s="1004" t="s">
        <v>675</v>
      </c>
      <c r="B34" s="147" t="s">
        <v>725</v>
      </c>
      <c r="C34" s="22">
        <f ca="1">IF(项目基本情况!B11="自然人","——",ROUND(F34*F35/10000,2))</f>
        <v>7.47</v>
      </c>
      <c r="D34" s="316" t="s">
        <v>726</v>
      </c>
      <c r="E34" s="294" t="s">
        <v>727</v>
      </c>
      <c r="F34" s="317">
        <f>'数据-取费表'!B52</f>
        <v>30</v>
      </c>
      <c r="G34" s="1290"/>
      <c r="H34" s="2467"/>
      <c r="I34" s="1303"/>
      <c r="J34" s="1304"/>
      <c r="K34" s="2472"/>
      <c r="L34" s="2473"/>
      <c r="M34" s="2473"/>
    </row>
    <row r="35" spans="1:18" ht="18" customHeight="1">
      <c r="A35" s="1038"/>
      <c r="B35" s="1036"/>
      <c r="C35" s="26"/>
      <c r="D35" s="319"/>
      <c r="E35" s="294" t="s">
        <v>731</v>
      </c>
      <c r="F35" s="295">
        <f ca="1">INDIRECT("'数据-取费表'!r"&amp;$G$1)</f>
        <v>2489.4500000000003</v>
      </c>
      <c r="G35" s="1290"/>
      <c r="H35" s="2467"/>
      <c r="I35" s="1303"/>
      <c r="J35" s="1304"/>
      <c r="K35" s="2471"/>
      <c r="L35" s="2470"/>
      <c r="M35" s="2470"/>
    </row>
    <row r="36" spans="1:18" ht="18" customHeight="1">
      <c r="A36" s="1037" t="s">
        <v>402</v>
      </c>
      <c r="B36" s="294" t="s">
        <v>733</v>
      </c>
      <c r="C36" s="21">
        <f ca="1">ROUND(C29*F36,2)</f>
        <v>113.14</v>
      </c>
      <c r="D36" s="1254" t="s">
        <v>766</v>
      </c>
      <c r="E36" s="294" t="s">
        <v>707</v>
      </c>
      <c r="F36" s="320">
        <f ca="1">INDIRECT("'数据-取费表'!Ak"&amp;$G$1)</f>
        <v>5.0000000000000001E-3</v>
      </c>
      <c r="G36" s="1290"/>
      <c r="H36" s="2470"/>
      <c r="I36" s="1303"/>
      <c r="J36" s="1304"/>
      <c r="K36" s="2327"/>
      <c r="L36" s="2470"/>
      <c r="M36" s="2470"/>
    </row>
    <row r="37" spans="1:18" ht="18" customHeight="1">
      <c r="A37" s="926" t="s">
        <v>437</v>
      </c>
      <c r="B37" s="294" t="s">
        <v>737</v>
      </c>
      <c r="C37" s="21">
        <f ca="1">ROUND(C13*F37,2)</f>
        <v>17.309999999999999</v>
      </c>
      <c r="D37" s="1254" t="s">
        <v>738</v>
      </c>
      <c r="E37" s="294" t="s">
        <v>707</v>
      </c>
      <c r="F37" s="321">
        <f ca="1">INDIRECT("'数据-取费表'!Al"&amp;$G$1)</f>
        <v>1E-3</v>
      </c>
      <c r="G37" s="1290"/>
      <c r="H37" s="2470"/>
      <c r="I37" s="1303"/>
      <c r="J37" s="1304"/>
      <c r="K37" s="2327"/>
      <c r="L37" s="2470"/>
      <c r="M37" s="2470"/>
    </row>
    <row r="38" spans="1:18" ht="18" customHeight="1" thickBot="1">
      <c r="A38" s="1024" t="s">
        <v>678</v>
      </c>
      <c r="B38" s="1025" t="s">
        <v>723</v>
      </c>
      <c r="C38" s="1026">
        <f ca="1">ROUND(C5*F38,2)</f>
        <v>16.079999999999998</v>
      </c>
      <c r="D38" s="1027" t="s">
        <v>743</v>
      </c>
      <c r="E38" s="1025" t="s">
        <v>707</v>
      </c>
      <c r="F38" s="1021">
        <f ca="1">INDIRECT("'数据-取费表'!Am"&amp;$G$1)</f>
        <v>0.02</v>
      </c>
      <c r="G38" s="1290"/>
      <c r="H38" s="2470"/>
      <c r="I38" s="1303"/>
      <c r="J38" s="1304"/>
      <c r="K38" s="2468"/>
      <c r="L38" s="2470"/>
      <c r="M38" s="2470"/>
    </row>
    <row r="39" spans="1:18" ht="24.6" customHeight="1" thickTop="1">
      <c r="A39" s="1014" t="s">
        <v>394</v>
      </c>
      <c r="B39" s="1029" t="s">
        <v>747</v>
      </c>
      <c r="C39" s="302">
        <f ca="1">C5-C30</f>
        <v>515</v>
      </c>
      <c r="D39" s="1030" t="s">
        <v>748</v>
      </c>
      <c r="E39" s="1031"/>
      <c r="F39" s="1032"/>
      <c r="G39" s="1290"/>
      <c r="H39" s="2470"/>
      <c r="I39" s="1303"/>
      <c r="J39" s="1304"/>
      <c r="K39" s="2468"/>
      <c r="L39" s="2470"/>
      <c r="M39" s="2470"/>
    </row>
    <row r="40" spans="1:18" ht="18" customHeight="1">
      <c r="A40" s="291" t="s">
        <v>395</v>
      </c>
      <c r="B40" s="292" t="s">
        <v>769</v>
      </c>
      <c r="C40" s="293">
        <f ca="1">ROUND(C39*(1-((1+F42)/(1+F40))^F41)/(F40-F42),0)</f>
        <v>9818</v>
      </c>
      <c r="D40" s="316" t="s">
        <v>753</v>
      </c>
      <c r="E40" s="294" t="s">
        <v>754</v>
      </c>
      <c r="F40" s="304">
        <f ca="1">INDIRECT("'数据-取费表'!I"&amp;$G$1)</f>
        <v>0.05</v>
      </c>
      <c r="G40" s="1290"/>
      <c r="H40" s="1364"/>
      <c r="I40" s="1303"/>
      <c r="J40" s="1304"/>
      <c r="K40" s="2468"/>
      <c r="L40" s="1364"/>
      <c r="M40" s="1364"/>
    </row>
    <row r="41" spans="1:18" ht="18" customHeight="1">
      <c r="A41" s="296"/>
      <c r="B41" s="297"/>
      <c r="C41" s="298"/>
      <c r="D41" s="323" t="s">
        <v>770</v>
      </c>
      <c r="E41" s="294" t="s">
        <v>758</v>
      </c>
      <c r="F41" s="324">
        <f ca="1">IF(INDIRECT("'数据-取费表'!af"&amp;$G$1)=0,INDIRECT("'数据-取费表'!ae"&amp;$G$1),INDIRECT("'数据-取费表'!af"&amp;$G$1))</f>
        <v>29.27</v>
      </c>
      <c r="G41" s="1290"/>
      <c r="H41" s="121"/>
      <c r="I41" s="1303"/>
      <c r="J41" s="1304"/>
      <c r="K41" s="2327"/>
      <c r="L41" s="121"/>
      <c r="M41" s="121"/>
    </row>
    <row r="42" spans="1:18" ht="18" customHeight="1">
      <c r="A42" s="300"/>
      <c r="B42" s="301"/>
      <c r="C42" s="302"/>
      <c r="D42" s="319"/>
      <c r="E42" s="294" t="s">
        <v>761</v>
      </c>
      <c r="F42" s="304">
        <f ca="1">INDIRECT("'数据-取费表'!v"&amp;$G$1)</f>
        <v>0.02</v>
      </c>
      <c r="G42" s="1290"/>
      <c r="H42" s="121"/>
      <c r="I42" s="1303"/>
      <c r="J42" s="1304"/>
      <c r="K42" s="2327"/>
      <c r="L42" s="121"/>
      <c r="M42" s="121"/>
    </row>
    <row r="43" spans="1:18" ht="18" customHeight="1" thickBot="1">
      <c r="A43" s="325" t="s">
        <v>396</v>
      </c>
      <c r="B43" s="326" t="s">
        <v>771</v>
      </c>
      <c r="C43" s="327">
        <f ca="1">ROUND(C40*10000/F43,0)</f>
        <v>4012</v>
      </c>
      <c r="D43" s="328" t="s">
        <v>772</v>
      </c>
      <c r="E43" s="329" t="s">
        <v>773</v>
      </c>
      <c r="F43" s="330">
        <f ca="1">INDIRECT("'数据-取费表'!k"&amp;$G$1)</f>
        <v>24473</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803</v>
      </c>
      <c r="P45" s="1364"/>
      <c r="Q45" s="1364"/>
      <c r="R45" s="1364"/>
    </row>
    <row r="46" spans="1:18" s="1290" customFormat="1" ht="13.5" thickBot="1">
      <c r="A46" s="1309" t="s">
        <v>804</v>
      </c>
      <c r="C46" s="1310">
        <f ca="1">C68-C40</f>
        <v>-11901</v>
      </c>
      <c r="D46" s="1311" t="str">
        <f>C2</f>
        <v>万元</v>
      </c>
      <c r="E46" s="1305"/>
      <c r="F46" s="1305"/>
      <c r="I46" s="1312" t="s">
        <v>805</v>
      </c>
      <c r="J46" s="1313"/>
      <c r="K46" s="1314"/>
      <c r="L46" s="1315">
        <f ca="1">IF(M47="住宅",0,IF(L48&gt;J51,L60,J60))</f>
        <v>1090</v>
      </c>
      <c r="O46" s="1316" t="s">
        <v>806</v>
      </c>
      <c r="P46" s="1317" t="s">
        <v>807</v>
      </c>
      <c r="Q46" s="1318" t="s">
        <v>808</v>
      </c>
      <c r="R46" s="1318" t="s">
        <v>809</v>
      </c>
    </row>
    <row r="47" spans="1:18" s="1290" customFormat="1" ht="13.5" thickBot="1">
      <c r="A47" s="890" t="s">
        <v>682</v>
      </c>
      <c r="B47" s="922" t="s">
        <v>683</v>
      </c>
      <c r="C47" s="1052" t="s">
        <v>684</v>
      </c>
      <c r="D47" s="922" t="s">
        <v>685</v>
      </c>
      <c r="E47" s="993" t="s">
        <v>686</v>
      </c>
      <c r="F47" s="994"/>
      <c r="G47" s="681"/>
      <c r="I47" s="1319" t="s">
        <v>810</v>
      </c>
      <c r="J47" s="1320" t="s">
        <v>3461</v>
      </c>
      <c r="K47" s="1321" t="s">
        <v>811</v>
      </c>
      <c r="L47" s="1322">
        <f ca="1">INDIRECT("'数据-取费表'!d"&amp;$G$1)</f>
        <v>50</v>
      </c>
      <c r="M47" s="1286" t="str">
        <f>IF(ISNUMBER(FIND("住宅",C1)),"住宅","非住宅")</f>
        <v>非住宅</v>
      </c>
      <c r="O47" s="1323" t="s">
        <v>403</v>
      </c>
      <c r="P47" s="1324" t="s">
        <v>812</v>
      </c>
      <c r="Q47" s="1325">
        <f ca="1">C40+J29</f>
        <v>9818</v>
      </c>
      <c r="R47" s="1325" t="s">
        <v>813</v>
      </c>
    </row>
    <row r="48" spans="1:18" s="1290" customFormat="1" ht="28.5" thickBot="1">
      <c r="A48" s="1045" t="s">
        <v>438</v>
      </c>
      <c r="B48" s="292" t="s">
        <v>687</v>
      </c>
      <c r="C48" s="1266">
        <f ca="1">C49+C53+C55</f>
        <v>0</v>
      </c>
      <c r="D48" s="1047"/>
      <c r="E48" s="1048"/>
      <c r="F48" s="906"/>
      <c r="G48" s="681"/>
      <c r="H48" s="682"/>
      <c r="I48" s="1326" t="s">
        <v>814</v>
      </c>
      <c r="J48" s="1327" t="s">
        <v>3462</v>
      </c>
      <c r="K48" s="1328" t="s">
        <v>815</v>
      </c>
      <c r="L48" s="1329">
        <f ca="1">INDIRECT("'数据-取费表'!f"&amp;$G$1)</f>
        <v>29.27</v>
      </c>
      <c r="O48" s="1323" t="s">
        <v>404</v>
      </c>
      <c r="P48" s="1324" t="s">
        <v>816</v>
      </c>
      <c r="Q48" s="1325">
        <f ca="1">J60</f>
        <v>1090</v>
      </c>
      <c r="R48" s="1325" t="s">
        <v>817</v>
      </c>
    </row>
    <row r="49" spans="1:18" s="1290" customFormat="1" ht="13.5" thickBot="1">
      <c r="A49" s="919" t="s">
        <v>439</v>
      </c>
      <c r="B49" s="1277" t="s">
        <v>774</v>
      </c>
      <c r="C49" s="1049">
        <f ca="1">ROUND(F49*F51*F50*(1-F52)/10000,0)</f>
        <v>0</v>
      </c>
      <c r="D49" s="990" t="s">
        <v>2103</v>
      </c>
      <c r="E49" s="1278" t="s">
        <v>775</v>
      </c>
      <c r="F49" s="995"/>
      <c r="H49" s="682"/>
      <c r="I49" s="1326" t="s">
        <v>818</v>
      </c>
      <c r="J49" s="1330">
        <v>2009</v>
      </c>
      <c r="K49" s="1328" t="s">
        <v>819</v>
      </c>
      <c r="L49" s="1331"/>
      <c r="O49" s="1332" t="s">
        <v>405</v>
      </c>
      <c r="P49" s="1324" t="s">
        <v>820</v>
      </c>
      <c r="Q49" s="1325">
        <f ca="1">C29</f>
        <v>22627</v>
      </c>
      <c r="R49" s="1325" t="s">
        <v>813</v>
      </c>
    </row>
    <row r="50" spans="1:18" s="1290" customFormat="1" ht="13.5" thickBot="1">
      <c r="A50" s="920"/>
      <c r="B50" s="923"/>
      <c r="C50" s="1053"/>
      <c r="D50" s="897"/>
      <c r="E50" s="991" t="s">
        <v>692</v>
      </c>
      <c r="F50" s="992">
        <f ca="1">F7</f>
        <v>496</v>
      </c>
      <c r="H50" s="682"/>
      <c r="I50" s="1326" t="s">
        <v>821</v>
      </c>
      <c r="J50" s="1333">
        <f>SUMPRODUCT((I63:I65=J47)*(J62:L62=J48)*(J63:L65))</f>
        <v>60</v>
      </c>
      <c r="K50" s="1328" t="s">
        <v>822</v>
      </c>
      <c r="L50" s="1331"/>
      <c r="M50" s="1334"/>
      <c r="O50" s="1332" t="s">
        <v>406</v>
      </c>
      <c r="P50" s="1324" t="s">
        <v>823</v>
      </c>
      <c r="Q50" s="1335">
        <f ca="1">J58</f>
        <v>0.4</v>
      </c>
      <c r="R50" s="1325"/>
    </row>
    <row r="51" spans="1:18" s="1290" customFormat="1" ht="13.5" thickBot="1">
      <c r="A51" s="921"/>
      <c r="B51" s="923"/>
      <c r="C51" s="924"/>
      <c r="D51" s="897"/>
      <c r="E51" s="925" t="s">
        <v>693</v>
      </c>
      <c r="F51" s="295">
        <f ca="1">F8</f>
        <v>12</v>
      </c>
      <c r="I51" s="1336" t="s">
        <v>824</v>
      </c>
      <c r="J51" s="1329">
        <f>IF(J49="",J50,J49+J50-YEAR('数据-取费表'!B2))</f>
        <v>44</v>
      </c>
      <c r="K51" s="1337" t="s">
        <v>825</v>
      </c>
      <c r="L51" s="1338">
        <f ca="1">ROUND(-PV(INDIRECT("'数据-取费表'!h"&amp;$G$1),J51,(C39-C13*C76),0),0)</f>
        <v>-13250</v>
      </c>
      <c r="M51" s="1339"/>
      <c r="O51" s="1332" t="s">
        <v>407</v>
      </c>
      <c r="P51" s="1324" t="s">
        <v>826</v>
      </c>
      <c r="Q51" s="1335">
        <f>J52</f>
        <v>7.4999999999999997E-2</v>
      </c>
      <c r="R51" s="1325"/>
    </row>
    <row r="52" spans="1:18" s="1290" customFormat="1" ht="13.5" thickBot="1">
      <c r="A52" s="921"/>
      <c r="B52" s="923"/>
      <c r="C52" s="924"/>
      <c r="D52" s="897"/>
      <c r="E52" s="925" t="s">
        <v>694</v>
      </c>
      <c r="F52" s="989"/>
      <c r="I52" s="1340" t="s">
        <v>827</v>
      </c>
      <c r="J52" s="1341">
        <v>7.4999999999999997E-2</v>
      </c>
      <c r="K52" s="1340" t="s">
        <v>828</v>
      </c>
      <c r="L52" s="1341"/>
      <c r="O52" s="1332" t="s">
        <v>408</v>
      </c>
      <c r="P52" s="1324" t="s">
        <v>829</v>
      </c>
      <c r="Q52" s="1325">
        <f ca="1">J53</f>
        <v>29.27</v>
      </c>
      <c r="R52" s="1325" t="s">
        <v>830</v>
      </c>
    </row>
    <row r="53" spans="1:18" s="1290" customFormat="1" ht="24.75" thickBot="1">
      <c r="A53" s="1077" t="s">
        <v>440</v>
      </c>
      <c r="B53" s="1279" t="s">
        <v>695</v>
      </c>
      <c r="C53" s="308">
        <f ca="1">ROUND(IF(F53="押一",C49/12*F11,IF(F53="押二",C49/12*2*F11,IF(F53="押三",C49/12*3*F11,C54*F11))),0)</f>
        <v>0</v>
      </c>
      <c r="D53" s="150" t="s">
        <v>2111</v>
      </c>
      <c r="E53" s="305" t="s">
        <v>696</v>
      </c>
      <c r="F53" s="1051"/>
      <c r="I53" s="1342" t="s">
        <v>831</v>
      </c>
      <c r="J53" s="2004">
        <f ca="1">IF(M47="住宅",IF(D1="——",MAX(J51,L48),MAX(J51,L48-'数据-取费表'!B24)),IF(D1="——",MIN(J51,L48),MIN(J51,L48-'数据-取费表'!B24)))</f>
        <v>29.27</v>
      </c>
      <c r="K53" s="3374" t="s">
        <v>832</v>
      </c>
      <c r="L53" s="3375"/>
      <c r="O53" s="1323" t="s">
        <v>409</v>
      </c>
      <c r="P53" s="1324" t="s">
        <v>833</v>
      </c>
      <c r="Q53" s="1325">
        <f ca="1">Q47+Q48</f>
        <v>10908</v>
      </c>
      <c r="R53" s="1325" t="s">
        <v>410</v>
      </c>
    </row>
    <row r="54" spans="1:18" s="1290" customFormat="1" ht="13.5" thickBot="1">
      <c r="A54" s="1078"/>
      <c r="B54" s="1273" t="s">
        <v>674</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834</v>
      </c>
      <c r="P54" s="1287"/>
      <c r="Q54" s="1287"/>
      <c r="R54" s="1287"/>
    </row>
    <row r="55" spans="1:18" s="1290" customFormat="1" ht="13.5" thickBot="1">
      <c r="A55" s="1018" t="s">
        <v>437</v>
      </c>
      <c r="B55" s="1275" t="s">
        <v>698</v>
      </c>
      <c r="C55" s="1019"/>
      <c r="D55" s="150"/>
      <c r="E55" s="1280"/>
      <c r="F55" s="1343"/>
      <c r="I55" s="1346" t="s">
        <v>835</v>
      </c>
      <c r="J55" s="1347">
        <f ca="1">ROUND(IF(J47="钢混",J57/J50,1-(1-2%)*(J50-J57)/J50),3)</f>
        <v>0.246</v>
      </c>
      <c r="K55" s="1348" t="s">
        <v>836</v>
      </c>
      <c r="L55" s="1349"/>
      <c r="O55" s="1316" t="s">
        <v>806</v>
      </c>
      <c r="P55" s="1317" t="s">
        <v>807</v>
      </c>
      <c r="Q55" s="1318" t="s">
        <v>808</v>
      </c>
      <c r="R55" s="1318" t="s">
        <v>809</v>
      </c>
    </row>
    <row r="56" spans="1:18" s="1290" customFormat="1" ht="25.5" thickTop="1" thickBot="1">
      <c r="A56" s="901">
        <v>2</v>
      </c>
      <c r="B56" s="902" t="s">
        <v>699</v>
      </c>
      <c r="C56" s="224">
        <f ca="1">C13</f>
        <v>17310</v>
      </c>
      <c r="D56" s="1350"/>
      <c r="E56" s="1351"/>
      <c r="F56" s="1343"/>
      <c r="I56" s="1352" t="s">
        <v>837</v>
      </c>
      <c r="J56" s="1353" t="s">
        <v>3463</v>
      </c>
      <c r="K56" s="1326" t="s">
        <v>838</v>
      </c>
      <c r="L56" s="1329" t="str">
        <f ca="1">IF(L48&lt;J51,"——",L48-J53)</f>
        <v>——</v>
      </c>
      <c r="O56" s="1323" t="s">
        <v>403</v>
      </c>
      <c r="P56" s="1324" t="s">
        <v>812</v>
      </c>
      <c r="Q56" s="1325">
        <f ca="1">C40+J29</f>
        <v>9818</v>
      </c>
      <c r="R56" s="1325" t="s">
        <v>813</v>
      </c>
    </row>
    <row r="57" spans="1:18" s="1290" customFormat="1" ht="24.75" thickBot="1">
      <c r="A57" s="1354"/>
      <c r="B57" s="894" t="s">
        <v>762</v>
      </c>
      <c r="C57" s="230">
        <f ca="1">C29</f>
        <v>22627</v>
      </c>
      <c r="D57" s="1355"/>
      <c r="E57" s="1356"/>
      <c r="F57" s="1357"/>
      <c r="I57" s="1358" t="s">
        <v>839</v>
      </c>
      <c r="J57" s="1359">
        <f ca="1">IF(OR(M47="住宅",J51&lt;L48,J56="是"),"——",J51-L48)</f>
        <v>14.73</v>
      </c>
      <c r="K57" s="1326" t="s">
        <v>840</v>
      </c>
      <c r="L57" s="1329" t="str">
        <f ca="1">IF(L48&lt;J51,"——",IF(L55="比较法",L49,IF(L55="基准地价",L50,L51)))</f>
        <v>——</v>
      </c>
      <c r="O57" s="1323" t="s">
        <v>404</v>
      </c>
      <c r="P57" s="1324" t="s">
        <v>841</v>
      </c>
      <c r="Q57" s="1325">
        <f ca="1">L60</f>
        <v>0</v>
      </c>
      <c r="R57" s="1325" t="s">
        <v>842</v>
      </c>
    </row>
    <row r="58" spans="1:18" s="1290" customFormat="1" ht="24.75" thickBot="1">
      <c r="A58" s="307" t="s">
        <v>393</v>
      </c>
      <c r="B58" s="902" t="s">
        <v>709</v>
      </c>
      <c r="C58" s="308">
        <f ca="1">ROUND(C59+C64+C65+C66,0)</f>
        <v>137</v>
      </c>
      <c r="D58" s="904" t="s">
        <v>710</v>
      </c>
      <c r="E58" s="905"/>
      <c r="F58" s="906"/>
      <c r="I58" s="1358" t="s">
        <v>843</v>
      </c>
      <c r="J58" s="1360">
        <f ca="1">IF(J55&lt;0.4,0.4,J55)</f>
        <v>0.4</v>
      </c>
      <c r="K58" s="1337" t="s">
        <v>844</v>
      </c>
      <c r="L58" s="1329" t="e">
        <f ca="1">ROUND(POWER(1+L52,L47-L48)*(POWER(1+L52,L48)-1)/(POWER(1+L52,L47)-1),4)</f>
        <v>#DIV/0!</v>
      </c>
      <c r="O58" s="1332" t="s">
        <v>405</v>
      </c>
      <c r="P58" s="1324" t="s">
        <v>845</v>
      </c>
      <c r="Q58" s="1325">
        <f>IF(L55="比较法",L49,IF(L55="基准地价",L50,0))</f>
        <v>0</v>
      </c>
      <c r="R58" s="1325" t="s">
        <v>813</v>
      </c>
    </row>
    <row r="59" spans="1:18" s="1290" customFormat="1" ht="24.75" thickBot="1">
      <c r="A59" s="926" t="s">
        <v>398</v>
      </c>
      <c r="B59" s="894" t="s">
        <v>714</v>
      </c>
      <c r="C59" s="2138">
        <f ca="1">ROUND(IF(AND(项目基本情况!B11="自然人",项目基本情况!B10="北京市"),C49*F59/(1+'数据-取费表'!C42),C60+C61+C62),0)</f>
        <v>7</v>
      </c>
      <c r="D59" s="907" t="s">
        <v>715</v>
      </c>
      <c r="E59" s="908" t="s">
        <v>716</v>
      </c>
      <c r="F59" s="2137" t="str">
        <f>IF(项目基本情况!B11="企业","——",IF('数据-取费表'!B10="住宅",IF(F49*F50*F51/12/(1+'数据-取费表'!F30)&gt;100000,4%,2.5%),IF(F49*F50*F51/12/(1+'数据-取费表'!F30)&gt;100000,12%,7%)))</f>
        <v>——</v>
      </c>
      <c r="I59" s="1358" t="s">
        <v>846</v>
      </c>
      <c r="J59" s="1359">
        <f ca="1">IF(OR(M47="住宅",J51&lt;L48,J56="是"),"——",ROUND(C29*J58,0))</f>
        <v>9051</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847</v>
      </c>
      <c r="Q59" s="1335">
        <f>L52</f>
        <v>0</v>
      </c>
      <c r="R59" s="1325"/>
    </row>
    <row r="60" spans="1:18" s="1290" customFormat="1" ht="16.5" thickBot="1">
      <c r="A60" s="926" t="s">
        <v>397</v>
      </c>
      <c r="B60" s="894" t="s">
        <v>718</v>
      </c>
      <c r="C60" s="21">
        <f ca="1">IF(项目基本情况!B11="自然人","——",ROUND(C48*F60/(1+'数据-取费表'!C42),2))</f>
        <v>0</v>
      </c>
      <c r="D60" s="908" t="s">
        <v>719</v>
      </c>
      <c r="E60" s="894" t="s">
        <v>707</v>
      </c>
      <c r="F60" s="322">
        <f t="shared" ref="F60:F66" si="0">F32</f>
        <v>5.6000000000000001E-2</v>
      </c>
      <c r="I60" s="1361" t="s">
        <v>848</v>
      </c>
      <c r="J60" s="1362">
        <f ca="1">IF(OR(M47="住宅",J51&lt;L48,J56="是"),"0",ROUND(J59/(1+J52)^J53,0))</f>
        <v>1090</v>
      </c>
      <c r="K60" s="1363" t="s">
        <v>849</v>
      </c>
      <c r="L60" s="1362">
        <f ca="1">IF(OR(M47="住宅",L48&lt;J51),0,ROUND(L57*(L58/L59-1),0))</f>
        <v>0</v>
      </c>
      <c r="O60" s="1332" t="s">
        <v>407</v>
      </c>
      <c r="P60" s="1324" t="s">
        <v>850</v>
      </c>
      <c r="Q60" s="1325" t="e">
        <f ca="1">L58</f>
        <v>#DIV/0!</v>
      </c>
      <c r="R60" s="1325" t="s">
        <v>851</v>
      </c>
    </row>
    <row r="61" spans="1:18" s="1290" customFormat="1" ht="13.5" thickBot="1">
      <c r="A61" s="926" t="s">
        <v>776</v>
      </c>
      <c r="B61" s="894" t="s">
        <v>722</v>
      </c>
      <c r="C61" s="21">
        <f ca="1">IF(项目基本情况!B11="自然人","——",IF(D61="按租金收入计税",ROUND(C49*F61/(1+'数据-取费表'!C42),2),IF(D61="按房产原值计税",ROUND(C57*F61*0.7,2),INDIRECT("'数据-取费表'!Aj"&amp;$G$1))))</f>
        <v>0</v>
      </c>
      <c r="D61" s="1276" t="s">
        <v>3322</v>
      </c>
      <c r="E61" s="894" t="s">
        <v>707</v>
      </c>
      <c r="F61" s="314">
        <f t="shared" si="0"/>
        <v>0.12</v>
      </c>
      <c r="I61" s="1364"/>
      <c r="J61" s="1364"/>
      <c r="K61" s="1364"/>
      <c r="L61" s="1364"/>
      <c r="O61" s="1332" t="s">
        <v>408</v>
      </c>
      <c r="P61" s="1324" t="str">
        <f>K59</f>
        <v>建筑物剩余耐用年限下的土地年期修正系数Kn</v>
      </c>
      <c r="Q61" s="1325" t="e">
        <f ca="1">L59</f>
        <v>#DIV/0!</v>
      </c>
      <c r="R61" s="1325" t="s">
        <v>852</v>
      </c>
    </row>
    <row r="62" spans="1:18" s="1290" customFormat="1" ht="13.5" thickBot="1">
      <c r="A62" s="926" t="s">
        <v>779</v>
      </c>
      <c r="B62" s="893" t="s">
        <v>725</v>
      </c>
      <c r="C62" s="22">
        <f ca="1">IF(项目基本情况!B11="自然人","——",ROUND(F62*F63/10000,2))</f>
        <v>7.47</v>
      </c>
      <c r="D62" s="909" t="s">
        <v>726</v>
      </c>
      <c r="E62" s="894" t="s">
        <v>727</v>
      </c>
      <c r="F62" s="317">
        <f t="shared" si="0"/>
        <v>30</v>
      </c>
      <c r="I62" s="1365" t="s">
        <v>853</v>
      </c>
      <c r="J62" s="610" t="s">
        <v>854</v>
      </c>
      <c r="K62" s="610" t="s">
        <v>855</v>
      </c>
      <c r="L62" s="610" t="s">
        <v>856</v>
      </c>
      <c r="M62" s="1366" t="s">
        <v>857</v>
      </c>
      <c r="O62" s="1323" t="s">
        <v>409</v>
      </c>
      <c r="P62" s="1324" t="s">
        <v>833</v>
      </c>
      <c r="Q62" s="1325">
        <f ca="1">Q56+Q57</f>
        <v>9818</v>
      </c>
      <c r="R62" s="1325" t="s">
        <v>410</v>
      </c>
    </row>
    <row r="63" spans="1:18" s="1290" customFormat="1" ht="13.5" thickBot="1">
      <c r="A63" s="318"/>
      <c r="B63" s="900"/>
      <c r="C63" s="26"/>
      <c r="D63" s="910"/>
      <c r="E63" s="894" t="s">
        <v>731</v>
      </c>
      <c r="F63" s="295">
        <f t="shared" ca="1" si="0"/>
        <v>2489.4500000000003</v>
      </c>
      <c r="I63" s="1365" t="s">
        <v>859</v>
      </c>
      <c r="J63" s="610">
        <v>70</v>
      </c>
      <c r="K63" s="610">
        <v>50</v>
      </c>
      <c r="L63" s="610">
        <v>80</v>
      </c>
      <c r="M63" s="1367">
        <v>0.02</v>
      </c>
      <c r="O63" s="1308" t="s">
        <v>860</v>
      </c>
      <c r="P63" s="1287"/>
      <c r="Q63" s="1287"/>
      <c r="R63" s="1287"/>
    </row>
    <row r="64" spans="1:18" s="1290" customFormat="1" ht="13.5" thickBot="1">
      <c r="A64" s="926" t="s">
        <v>402</v>
      </c>
      <c r="B64" s="894" t="s">
        <v>733</v>
      </c>
      <c r="C64" s="21">
        <f ca="1">ROUND(C57*F64,2)</f>
        <v>113.14</v>
      </c>
      <c r="D64" s="908" t="s">
        <v>766</v>
      </c>
      <c r="E64" s="894" t="s">
        <v>707</v>
      </c>
      <c r="F64" s="320">
        <f t="shared" ca="1" si="0"/>
        <v>5.0000000000000001E-3</v>
      </c>
      <c r="I64" s="1365" t="s">
        <v>861</v>
      </c>
      <c r="J64" s="610">
        <v>50</v>
      </c>
      <c r="K64" s="610">
        <v>35</v>
      </c>
      <c r="L64" s="610">
        <v>60</v>
      </c>
      <c r="M64" s="1366">
        <v>0</v>
      </c>
      <c r="O64" s="1316" t="s">
        <v>806</v>
      </c>
      <c r="P64" s="1317" t="s">
        <v>807</v>
      </c>
      <c r="Q64" s="1318" t="s">
        <v>808</v>
      </c>
      <c r="R64" s="1318" t="s">
        <v>809</v>
      </c>
    </row>
    <row r="65" spans="1:18" s="1290" customFormat="1" ht="13.5" thickBot="1">
      <c r="A65" s="926" t="s">
        <v>787</v>
      </c>
      <c r="B65" s="894" t="s">
        <v>737</v>
      </c>
      <c r="C65" s="21">
        <f ca="1">ROUND(C56*F65,2)</f>
        <v>17.309999999999999</v>
      </c>
      <c r="D65" s="908" t="s">
        <v>738</v>
      </c>
      <c r="E65" s="894" t="s">
        <v>707</v>
      </c>
      <c r="F65" s="321">
        <f t="shared" ca="1" si="0"/>
        <v>1E-3</v>
      </c>
      <c r="I65" s="1365" t="s">
        <v>862</v>
      </c>
      <c r="J65" s="610">
        <v>40</v>
      </c>
      <c r="K65" s="610">
        <v>30</v>
      </c>
      <c r="L65" s="610">
        <v>50</v>
      </c>
      <c r="M65" s="1367">
        <v>0.02</v>
      </c>
      <c r="O65" s="1323" t="s">
        <v>403</v>
      </c>
      <c r="P65" s="1324" t="s">
        <v>812</v>
      </c>
      <c r="Q65" s="1325">
        <f ca="1">C40+J29</f>
        <v>9818</v>
      </c>
      <c r="R65" s="1325" t="s">
        <v>813</v>
      </c>
    </row>
    <row r="66" spans="1:18" s="1290" customFormat="1" ht="16.5" thickBot="1">
      <c r="A66" s="926" t="s">
        <v>788</v>
      </c>
      <c r="B66" s="894" t="s">
        <v>723</v>
      </c>
      <c r="C66" s="21">
        <f ca="1">ROUND(C48*F66,2)</f>
        <v>0</v>
      </c>
      <c r="D66" s="908" t="s">
        <v>743</v>
      </c>
      <c r="E66" s="894" t="s">
        <v>707</v>
      </c>
      <c r="F66" s="304">
        <f t="shared" ca="1" si="0"/>
        <v>0.02</v>
      </c>
      <c r="O66" s="1323" t="s">
        <v>404</v>
      </c>
      <c r="P66" s="1324" t="s">
        <v>841</v>
      </c>
      <c r="Q66" s="1325">
        <f ca="1">L60</f>
        <v>0</v>
      </c>
      <c r="R66" s="1325" t="s">
        <v>864</v>
      </c>
    </row>
    <row r="67" spans="1:18" s="1290" customFormat="1" ht="16.5" thickBot="1">
      <c r="A67" s="901" t="s">
        <v>394</v>
      </c>
      <c r="B67" s="911" t="s">
        <v>747</v>
      </c>
      <c r="C67" s="308">
        <f ca="1">C48-C58</f>
        <v>-137</v>
      </c>
      <c r="D67" s="907" t="s">
        <v>748</v>
      </c>
      <c r="E67" s="912"/>
      <c r="F67" s="913"/>
      <c r="O67" s="1332" t="s">
        <v>405</v>
      </c>
      <c r="P67" s="1324" t="s">
        <v>845</v>
      </c>
      <c r="Q67" s="1368">
        <f ca="1">L51</f>
        <v>-13250</v>
      </c>
      <c r="R67" s="1325" t="s">
        <v>865</v>
      </c>
    </row>
    <row r="68" spans="1:18" s="1290" customFormat="1" ht="16.5" thickBot="1">
      <c r="A68" s="891" t="s">
        <v>395</v>
      </c>
      <c r="B68" s="892" t="s">
        <v>769</v>
      </c>
      <c r="C68" s="293">
        <f ca="1">ROUND(C67*(1-((1+F70)/(1+F68))^F69)/(F68-F70),0)</f>
        <v>-2083</v>
      </c>
      <c r="D68" s="909" t="s">
        <v>753</v>
      </c>
      <c r="E68" s="894" t="s">
        <v>754</v>
      </c>
      <c r="F68" s="304">
        <f ca="1">F40</f>
        <v>0.05</v>
      </c>
      <c r="O68" s="1332" t="s">
        <v>406</v>
      </c>
      <c r="P68" s="1369" t="s">
        <v>866</v>
      </c>
      <c r="Q68" s="1325">
        <f ca="1">ROUND(Q69-Q70*Q71,0)</f>
        <v>-697</v>
      </c>
      <c r="R68" s="1325" t="s">
        <v>414</v>
      </c>
    </row>
    <row r="69" spans="1:18" s="1290" customFormat="1" ht="13.5" thickBot="1">
      <c r="A69" s="895"/>
      <c r="B69" s="896"/>
      <c r="C69" s="298"/>
      <c r="D69" s="914" t="s">
        <v>757</v>
      </c>
      <c r="E69" s="894" t="s">
        <v>758</v>
      </c>
      <c r="F69" s="324">
        <f ca="1">F41</f>
        <v>29.27</v>
      </c>
      <c r="O69" s="1332" t="s">
        <v>411</v>
      </c>
      <c r="P69" s="1369" t="s">
        <v>867</v>
      </c>
      <c r="Q69" s="1325">
        <f ca="1">C39</f>
        <v>515</v>
      </c>
      <c r="R69" s="1325" t="s">
        <v>813</v>
      </c>
    </row>
    <row r="70" spans="1:18" s="1290" customFormat="1" ht="13.5" thickBot="1">
      <c r="A70" s="898"/>
      <c r="B70" s="899"/>
      <c r="C70" s="302"/>
      <c r="D70" s="910"/>
      <c r="E70" s="894" t="s">
        <v>761</v>
      </c>
      <c r="F70" s="989"/>
      <c r="O70" s="1332" t="s">
        <v>412</v>
      </c>
      <c r="P70" s="1369" t="s">
        <v>868</v>
      </c>
      <c r="Q70" s="1325">
        <f ca="1">C13</f>
        <v>17310</v>
      </c>
      <c r="R70" s="1325" t="s">
        <v>813</v>
      </c>
    </row>
    <row r="71" spans="1:18" s="1290" customFormat="1" ht="13.5" thickBot="1">
      <c r="A71" s="915" t="s">
        <v>396</v>
      </c>
      <c r="B71" s="916" t="s">
        <v>771</v>
      </c>
      <c r="C71" s="327">
        <f ca="1">ROUND(C68*10000/F71,0)</f>
        <v>-851</v>
      </c>
      <c r="D71" s="917" t="s">
        <v>772</v>
      </c>
      <c r="E71" s="918" t="s">
        <v>773</v>
      </c>
      <c r="F71" s="330">
        <f ca="1">F43</f>
        <v>24473</v>
      </c>
      <c r="O71" s="1332" t="s">
        <v>413</v>
      </c>
      <c r="P71" s="1369" t="s">
        <v>869</v>
      </c>
      <c r="Q71" s="1335">
        <f ca="1">C76</f>
        <v>7.0000000000000007E-2</v>
      </c>
      <c r="R71" s="1325"/>
    </row>
    <row r="72" spans="1:18" s="1290" customFormat="1" ht="13.5" thickBot="1">
      <c r="B72" s="685"/>
      <c r="C72" s="685"/>
      <c r="O72" s="1332" t="s">
        <v>407</v>
      </c>
      <c r="P72" s="1324" t="s">
        <v>847</v>
      </c>
      <c r="Q72" s="1335">
        <f>L52</f>
        <v>0</v>
      </c>
      <c r="R72" s="1325"/>
    </row>
    <row r="73" spans="1:18" ht="16.5" thickBot="1">
      <c r="A73" s="1290"/>
      <c r="B73" s="685"/>
      <c r="C73" s="685"/>
      <c r="D73" s="1290"/>
      <c r="E73" s="1290"/>
      <c r="F73" s="1290"/>
      <c r="O73" s="1332" t="s">
        <v>408</v>
      </c>
      <c r="P73" s="1324" t="s">
        <v>850</v>
      </c>
      <c r="Q73" s="1325" t="e">
        <f ca="1">L58</f>
        <v>#DIV/0!</v>
      </c>
      <c r="R73" s="1325" t="s">
        <v>851</v>
      </c>
    </row>
    <row r="74" spans="1:18" ht="13.5" thickBot="1">
      <c r="A74" s="1290"/>
      <c r="B74" s="265" t="s">
        <v>870</v>
      </c>
      <c r="C74" s="1371"/>
      <c r="D74" s="1290"/>
      <c r="E74" s="1290"/>
      <c r="F74" s="1290"/>
      <c r="O74" s="1332" t="s">
        <v>415</v>
      </c>
      <c r="P74" s="1324" t="str">
        <f>K59</f>
        <v>建筑物剩余耐用年限下的土地年期修正系数Kn</v>
      </c>
      <c r="Q74" s="1325" t="e">
        <f ca="1">L59</f>
        <v>#DIV/0!</v>
      </c>
      <c r="R74" s="1325" t="s">
        <v>852</v>
      </c>
    </row>
    <row r="75" spans="1:18" ht="13.5" thickBot="1">
      <c r="A75" s="1290"/>
      <c r="B75" s="331" t="s">
        <v>790</v>
      </c>
      <c r="C75" s="332">
        <f ca="1">ROUND(C13*C76,0)</f>
        <v>1212</v>
      </c>
      <c r="D75" s="1290"/>
      <c r="E75" s="1290"/>
      <c r="F75" s="1290"/>
      <c r="K75" s="1307"/>
      <c r="L75" s="1290"/>
      <c r="O75" s="1323" t="s">
        <v>409</v>
      </c>
      <c r="P75" s="1324" t="s">
        <v>833</v>
      </c>
      <c r="Q75" s="1325">
        <f ca="1">Q65+Q66</f>
        <v>9818</v>
      </c>
      <c r="R75" s="1325" t="s">
        <v>410</v>
      </c>
    </row>
    <row r="76" spans="1:18">
      <c r="B76" s="333" t="s">
        <v>791</v>
      </c>
      <c r="C76" s="334">
        <f ca="1">INDIRECT("'数据-取费表'!j"&amp;$G$1)</f>
        <v>7.0000000000000007E-2</v>
      </c>
      <c r="I76" s="1290"/>
      <c r="J76" s="1290"/>
      <c r="K76" s="1307"/>
      <c r="L76" s="1290"/>
    </row>
    <row r="77" spans="1:18">
      <c r="B77" s="335" t="s">
        <v>792</v>
      </c>
      <c r="C77" s="336"/>
      <c r="I77" s="1290"/>
      <c r="J77" s="1290"/>
      <c r="K77" s="1307"/>
      <c r="L77" s="1290"/>
    </row>
    <row r="78" spans="1:18">
      <c r="B78" s="262" t="s">
        <v>793</v>
      </c>
      <c r="C78" s="337"/>
    </row>
    <row r="79" spans="1:18">
      <c r="B79" s="331" t="s">
        <v>794</v>
      </c>
      <c r="C79" s="266">
        <f ca="1">1-C80</f>
        <v>-1.3530000000000002</v>
      </c>
    </row>
    <row r="80" spans="1:18">
      <c r="B80" s="331" t="s">
        <v>795</v>
      </c>
      <c r="C80" s="266">
        <f ca="1">ROUND(C75/C39,3)</f>
        <v>2.3530000000000002</v>
      </c>
    </row>
    <row r="81" spans="2:3">
      <c r="B81" s="262" t="s">
        <v>796</v>
      </c>
      <c r="C81" s="230"/>
    </row>
    <row r="82" spans="2:3">
      <c r="B82" s="265" t="s">
        <v>797</v>
      </c>
      <c r="C82" s="267">
        <f ca="1">1-C83</f>
        <v>-0.7629999999999999</v>
      </c>
    </row>
    <row r="83" spans="2:3">
      <c r="B83" s="265" t="s">
        <v>798</v>
      </c>
      <c r="C83" s="266">
        <f ca="1">ROUND(C13/C40,3)</f>
        <v>1.7629999999999999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disablePrompts="1" count="9">
    <dataValidation type="list" allowBlank="1" showInputMessage="1" showErrorMessage="1" sqref="K19" xr:uid="{AF157810-62D5-484D-A6FD-3FE307435E9C}">
      <formula1>"按租金收入计税,按房产原值计税"</formula1>
    </dataValidation>
    <dataValidation type="list" allowBlank="1" showInputMessage="1" showErrorMessage="1" sqref="D33 D61" xr:uid="{81498010-3A83-4662-8255-B2B7B33E0E0F}">
      <formula1>"按租金收入计税,按房产原值计税,按票据"</formula1>
    </dataValidation>
    <dataValidation type="list" allowBlank="1" showInputMessage="1" showErrorMessage="1" sqref="C1" xr:uid="{4C36B052-45FF-465D-8094-31EDE5768F1E}">
      <formula1>项目类型</formula1>
    </dataValidation>
    <dataValidation type="list" allowBlank="1" showInputMessage="1" showErrorMessage="1" sqref="J47" xr:uid="{EFF5D46B-0CFE-45C0-A9C3-7869F2B7B564}">
      <formula1>"钢,钢混,砖混"</formula1>
    </dataValidation>
    <dataValidation type="list" allowBlank="1" showInputMessage="1" showErrorMessage="1" sqref="J48" xr:uid="{868CE555-AD7B-4402-8E03-0D9361A48BA7}">
      <formula1>"非生产用房,生产用房,受腐蚀的生产用房"</formula1>
    </dataValidation>
    <dataValidation type="list" allowBlank="1" showInputMessage="1" showErrorMessage="1" sqref="J56" xr:uid="{43A986C3-74DC-461E-88B9-AB85E34327D1}">
      <formula1>估价范围判定</formula1>
    </dataValidation>
    <dataValidation type="list" allowBlank="1" showInputMessage="1" showErrorMessage="1" sqref="L55" xr:uid="{2CCF1F82-0E4F-4899-9F5B-4430B3B6CBB4}">
      <formula1>"比较法,基准地价,收益还原"</formula1>
    </dataValidation>
    <dataValidation type="list" allowBlank="1" showInputMessage="1" showErrorMessage="1" sqref="M10 F10 F53" xr:uid="{9768F9C4-948E-483E-8369-981477600E20}">
      <formula1>"押一,押二,押三,自定义"</formula1>
    </dataValidation>
    <dataValidation type="list" allowBlank="1" showInputMessage="1" showErrorMessage="1" sqref="D1" xr:uid="{5F61CCD2-9D31-4FCD-A966-1D5B677A74D9}">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33237-7B5C-4F59-93B0-469813D6532D}">
  <sheetPr>
    <tabColor rgb="FF92D050"/>
  </sheetPr>
  <dimension ref="A1:AK122"/>
  <sheetViews>
    <sheetView view="pageBreakPreview" zoomScale="85" zoomScaleNormal="80" zoomScaleSheetLayoutView="85" workbookViewId="0">
      <selection activeCell="C12" sqref="C12"/>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1921</v>
      </c>
      <c r="B1" s="189"/>
      <c r="C1" s="193" t="s">
        <v>1922</v>
      </c>
      <c r="D1" s="333">
        <f>SUM(D33:D34,D37:D42)</f>
        <v>24473</v>
      </c>
      <c r="E1" s="1840"/>
      <c r="F1" s="1840"/>
      <c r="G1" s="1840"/>
      <c r="H1" s="1840"/>
      <c r="I1" s="1840"/>
      <c r="J1" s="1840"/>
      <c r="K1" s="1054"/>
      <c r="L1" s="1841" t="s">
        <v>1923</v>
      </c>
      <c r="M1" s="808">
        <f>SUMPRODUCT((区片价!B5:B9=I2)*(区片价!C3:G3=E2)*(区片价!C5:G9))</f>
        <v>36850</v>
      </c>
      <c r="N1" s="811">
        <f>SUMPRODUCT((因素修正幅度!B5:B9=I2)*(因素修正幅度!C3:G3=E2)*(因素修正幅度!C5:G9))</f>
        <v>9.8000000000000004E-2</v>
      </c>
      <c r="O1" s="1842"/>
      <c r="P1" s="1842"/>
      <c r="Q1" s="1054"/>
      <c r="R1" s="1127" t="s">
        <v>1924</v>
      </c>
      <c r="S1" s="1127" t="s">
        <v>1925</v>
      </c>
      <c r="T1" s="1127" t="s">
        <v>1926</v>
      </c>
      <c r="U1" s="1127" t="s">
        <v>1927</v>
      </c>
      <c r="V1" s="1127" t="s">
        <v>1928</v>
      </c>
      <c r="W1" s="1131"/>
      <c r="X1" s="1131"/>
      <c r="Y1" s="1131"/>
      <c r="Z1" s="1131"/>
      <c r="AA1" s="1131"/>
      <c r="AB1" s="1131"/>
      <c r="AC1" s="1132"/>
      <c r="AD1" s="1133"/>
      <c r="AE1" s="1133"/>
      <c r="AF1" s="1133"/>
      <c r="AG1" s="1133"/>
      <c r="AH1" s="1133"/>
      <c r="AI1" s="1133"/>
      <c r="AJ1" s="1134"/>
    </row>
    <row r="2" spans="1:36" ht="15.75">
      <c r="A2" s="193" t="s">
        <v>1929</v>
      </c>
      <c r="B2" s="196">
        <f>C30</f>
        <v>16184</v>
      </c>
      <c r="C2" s="1844" t="s">
        <v>1930</v>
      </c>
      <c r="D2" s="162" t="s">
        <v>1931</v>
      </c>
      <c r="E2" s="3117" t="s">
        <v>21</v>
      </c>
      <c r="F2" s="162" t="s">
        <v>1932</v>
      </c>
      <c r="G2" s="163" t="str">
        <f>IF(E2="商业",项目基本情况!B37,IF(E2="办公",项目基本情况!C37,IF(E2="住宅",项目基本情况!D37,IF(E2="工业",项目基本情况!E37,项目基本情况!F37))))</f>
        <v>一级</v>
      </c>
      <c r="H2" s="162" t="s">
        <v>1933</v>
      </c>
      <c r="I2" s="163" t="str">
        <f>IF(E2="商业",项目基本情况!B38,IF(E2="办公",项目基本情况!C38,IF(E2="住宅",项目基本情况!D38,IF(E2="工业",项目基本情况!E38,项目基本情况!F38))))</f>
        <v>Ⅰ—02</v>
      </c>
      <c r="J2" s="1840"/>
      <c r="K2" s="1054"/>
      <c r="L2" s="1845" t="s">
        <v>1934</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1.5206</v>
      </c>
      <c r="T2" s="3060">
        <f t="shared" ref="T2:T16" si="0">ROUND($C$5*$C$22*$C$23*$C$24*S2*$C$28,0)</f>
        <v>50281</v>
      </c>
      <c r="U2" s="1128"/>
      <c r="V2" s="3060">
        <f>ROUND(T2*U2/10000,0)</f>
        <v>0</v>
      </c>
      <c r="W2" s="1131"/>
      <c r="X2" s="1131"/>
      <c r="Y2" s="1131"/>
      <c r="Z2" s="1131"/>
      <c r="AA2" s="1131"/>
      <c r="AB2" s="1131"/>
      <c r="AC2" s="1132"/>
      <c r="AD2" s="1133"/>
      <c r="AE2" s="1133"/>
      <c r="AF2" s="1133"/>
      <c r="AG2" s="1133"/>
      <c r="AH2" s="1133"/>
      <c r="AI2" s="1133"/>
      <c r="AJ2" s="1134"/>
    </row>
    <row r="3" spans="1:36" ht="15.75">
      <c r="A3" s="195" t="s">
        <v>1935</v>
      </c>
      <c r="B3" s="196">
        <f>ROUND(B2*10000/D1,0)</f>
        <v>6613</v>
      </c>
      <c r="C3" s="1844" t="s">
        <v>1936</v>
      </c>
      <c r="D3" s="162" t="s">
        <v>1937</v>
      </c>
      <c r="E3" s="3115" t="s">
        <v>3436</v>
      </c>
      <c r="F3" s="1846" t="s">
        <v>3431</v>
      </c>
      <c r="G3" s="706">
        <f>IF(F3="宗地容积率",'数据-汇总表'!I4,IF(F3="估价对象容积率",'数据-汇总表'!I6,'数据-汇总表'!I7))</f>
        <v>7.67</v>
      </c>
      <c r="H3" s="162" t="s">
        <v>1938</v>
      </c>
      <c r="I3" s="727"/>
      <c r="J3" s="1840" t="s">
        <v>1939</v>
      </c>
      <c r="K3" s="1054"/>
      <c r="L3" s="1845" t="s">
        <v>1940</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1.2072000000000001</v>
      </c>
      <c r="T3" s="3060">
        <f t="shared" si="0"/>
        <v>39918</v>
      </c>
      <c r="U3" s="1128"/>
      <c r="V3" s="3060">
        <f t="shared" ref="V3:V16" si="1">ROUND(T3*U3/10000,0)</f>
        <v>0</v>
      </c>
      <c r="W3" s="1131"/>
      <c r="X3" s="1131"/>
      <c r="Y3" s="1131"/>
      <c r="Z3" s="1131"/>
      <c r="AA3" s="1131"/>
      <c r="AB3" s="1131"/>
      <c r="AC3" s="1132"/>
      <c r="AD3" s="1133"/>
      <c r="AE3" s="1133"/>
      <c r="AF3" s="1133"/>
      <c r="AG3" s="1133"/>
      <c r="AH3" s="1133"/>
      <c r="AI3" s="1133"/>
      <c r="AJ3" s="1134"/>
    </row>
    <row r="4" spans="1:36" ht="15.75">
      <c r="A4" s="3479"/>
      <c r="B4" s="3480"/>
      <c r="C4" s="3480"/>
      <c r="D4" s="3481"/>
      <c r="E4" s="3481"/>
      <c r="F4" s="3481"/>
      <c r="G4" s="3481"/>
      <c r="H4" s="3481"/>
      <c r="I4" s="3481"/>
      <c r="J4" s="3482"/>
      <c r="K4" s="1054"/>
      <c r="L4" s="1845" t="s">
        <v>1941</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1.0430999999999999</v>
      </c>
      <c r="T4" s="3060">
        <f t="shared" si="0"/>
        <v>34492</v>
      </c>
      <c r="U4" s="1128"/>
      <c r="V4" s="3060">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1942</v>
      </c>
      <c r="C5" s="707">
        <f>ROUND(IF(E2="商业",C6*C7*C17+C20,(IF(E2="住宅",C6*C13*C17+C20,IF(E2="办公",C6*C12*C17+C20,C6+C20)))),0)</f>
        <v>36850</v>
      </c>
      <c r="D5" s="1250">
        <f>ROUND(C6*C17+C20,0)</f>
        <v>36850</v>
      </c>
      <c r="E5" s="1250"/>
      <c r="F5" s="1849"/>
      <c r="G5" s="1850"/>
      <c r="H5" s="1850"/>
      <c r="I5" s="1850"/>
      <c r="J5" s="1851"/>
      <c r="K5" s="1852"/>
      <c r="L5" s="1845" t="s">
        <v>1943</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0.94389999999999996</v>
      </c>
      <c r="T5" s="3060">
        <f t="shared" si="0"/>
        <v>31212</v>
      </c>
      <c r="U5" s="1128"/>
      <c r="V5" s="3060">
        <f t="shared" si="1"/>
        <v>0</v>
      </c>
      <c r="W5" s="1131"/>
      <c r="X5" s="1131"/>
      <c r="Y5" s="1131"/>
      <c r="Z5" s="1131"/>
      <c r="AA5" s="1131"/>
      <c r="AB5" s="1131"/>
      <c r="AC5" s="1853"/>
      <c r="AD5" s="1854"/>
      <c r="AE5" s="1854"/>
      <c r="AF5" s="1854"/>
      <c r="AG5" s="1854"/>
      <c r="AH5" s="1854"/>
      <c r="AI5" s="1854"/>
      <c r="AJ5" s="1855"/>
    </row>
    <row r="6" spans="1:36" ht="15.75" thickBot="1">
      <c r="A6" s="1857" t="s">
        <v>1944</v>
      </c>
      <c r="B6" s="1858" t="s">
        <v>1945</v>
      </c>
      <c r="C6" s="708">
        <f>SUMIF(L1:L12,G2,M1:M12)</f>
        <v>36850</v>
      </c>
      <c r="D6" s="1859"/>
      <c r="E6" s="1860"/>
      <c r="F6" s="1860"/>
      <c r="G6" s="1861"/>
      <c r="H6" s="1861"/>
      <c r="I6" s="1861"/>
      <c r="J6" s="1862"/>
      <c r="K6" s="1290"/>
      <c r="L6" s="1845" t="s">
        <v>1946</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0.89959999999999996</v>
      </c>
      <c r="T6" s="3060">
        <f t="shared" si="0"/>
        <v>29747</v>
      </c>
      <c r="U6" s="1128"/>
      <c r="V6" s="3060">
        <f t="shared" si="1"/>
        <v>0</v>
      </c>
      <c r="W6" s="1131"/>
      <c r="X6" s="1131"/>
      <c r="Y6" s="1131"/>
      <c r="Z6" s="1131"/>
      <c r="AA6" s="1131"/>
      <c r="AB6" s="1131"/>
      <c r="AC6" s="1853"/>
      <c r="AD6" s="1854"/>
      <c r="AE6" s="1854"/>
      <c r="AF6" s="1854"/>
      <c r="AG6" s="1854"/>
      <c r="AH6" s="1854"/>
      <c r="AI6" s="1854"/>
      <c r="AJ6" s="1855"/>
    </row>
    <row r="7" spans="1:36" ht="24.75" thickBot="1">
      <c r="A7" s="3009" t="s">
        <v>3223</v>
      </c>
      <c r="B7" s="1863" t="s">
        <v>1947</v>
      </c>
      <c r="C7" s="709" t="e">
        <f>IF(C8="不临65条商业街",1,ROUND(1+(1.6*E8+1.2*E9+0.8*E10+0.4*E11)*C9,4))</f>
        <v>#DIV/0!</v>
      </c>
      <c r="D7" s="1864" t="s">
        <v>1948</v>
      </c>
      <c r="E7" s="728"/>
      <c r="F7" s="1865"/>
      <c r="G7" s="1866"/>
      <c r="H7" s="1866"/>
      <c r="I7" s="1866"/>
      <c r="J7" s="1867"/>
      <c r="K7" s="1290"/>
      <c r="L7" s="1845" t="s">
        <v>1949</v>
      </c>
      <c r="M7" s="809">
        <f>SUMPRODUCT((区片价!B190:B233=I2)*(区片价!C3:G3=E2)*(区片价!C190:G233))</f>
        <v>0</v>
      </c>
      <c r="N7" s="811">
        <f>SUMPRODUCT((因素修正幅度!B190:B233=I2)*(因素修正幅度!C3:G3=E2)*(因素修正幅度!C190:G233))</f>
        <v>0</v>
      </c>
      <c r="O7" s="1054"/>
      <c r="P7" s="1054"/>
      <c r="Q7" s="1054"/>
      <c r="R7" s="1127">
        <v>6</v>
      </c>
      <c r="S7" s="3114"/>
      <c r="T7" s="3060">
        <f t="shared" si="0"/>
        <v>0</v>
      </c>
      <c r="U7" s="1128"/>
      <c r="V7" s="3060">
        <f t="shared" si="1"/>
        <v>0</v>
      </c>
      <c r="W7" s="1265" t="s">
        <v>1950</v>
      </c>
      <c r="X7" s="1129" t="str">
        <f>G2</f>
        <v>一级</v>
      </c>
      <c r="Y7" s="1129" t="s">
        <v>1951</v>
      </c>
      <c r="Z7" s="1130">
        <f>G3</f>
        <v>7.67</v>
      </c>
      <c r="AA7" s="1131"/>
      <c r="AB7" s="1131"/>
      <c r="AC7" s="1132"/>
      <c r="AD7" s="1133"/>
      <c r="AE7" s="1133"/>
      <c r="AF7" s="1133"/>
      <c r="AG7" s="1133"/>
      <c r="AH7" s="1133"/>
      <c r="AI7" s="1133"/>
      <c r="AJ7" s="1134"/>
    </row>
    <row r="8" spans="1:36" ht="15">
      <c r="A8" s="3006"/>
      <c r="B8" s="162" t="s">
        <v>1952</v>
      </c>
      <c r="C8" s="1868"/>
      <c r="D8" s="710" t="s">
        <v>112</v>
      </c>
      <c r="E8" s="711" t="e">
        <f>ROUND(C11/E7,4)</f>
        <v>#DIV/0!</v>
      </c>
      <c r="F8" s="1869" t="s">
        <v>1953</v>
      </c>
      <c r="G8" s="1870"/>
      <c r="H8" s="1870"/>
      <c r="I8" s="1870"/>
      <c r="J8" s="1871"/>
      <c r="K8" s="1054"/>
      <c r="L8" s="1845" t="s">
        <v>1954</v>
      </c>
      <c r="M8" s="809">
        <f>SUMPRODUCT((区片价!B234:B276=I2)*(区片价!C3:G3=E2)*(区片价!C234:G276))</f>
        <v>0</v>
      </c>
      <c r="N8" s="811">
        <f>SUMPRODUCT((因素修正幅度!B234:B276=I2)*(因素修正幅度!C3:G3=E2)*(因素修正幅度!C234:G276))</f>
        <v>0</v>
      </c>
      <c r="O8" s="1054"/>
      <c r="P8" s="1054"/>
      <c r="Q8" s="1054"/>
      <c r="R8" s="1127">
        <v>7</v>
      </c>
      <c r="S8" s="1128"/>
      <c r="T8" s="3060">
        <f t="shared" si="0"/>
        <v>0</v>
      </c>
      <c r="U8" s="1128"/>
      <c r="V8" s="3060">
        <f t="shared" si="1"/>
        <v>0</v>
      </c>
      <c r="W8" s="3476" t="s">
        <v>1955</v>
      </c>
      <c r="X8" s="3477"/>
      <c r="Y8" s="1135" t="s">
        <v>1956</v>
      </c>
      <c r="Z8" s="1135" t="s">
        <v>1957</v>
      </c>
      <c r="AA8" s="1135" t="s">
        <v>1958</v>
      </c>
      <c r="AB8" s="1135" t="s">
        <v>1959</v>
      </c>
      <c r="AC8" s="1135" t="s">
        <v>1960</v>
      </c>
      <c r="AD8" s="1135" t="s">
        <v>1961</v>
      </c>
      <c r="AE8" s="1135" t="s">
        <v>1962</v>
      </c>
      <c r="AF8" s="1135" t="s">
        <v>1963</v>
      </c>
      <c r="AG8" s="1135" t="s">
        <v>1964</v>
      </c>
      <c r="AH8" s="1135" t="s">
        <v>1965</v>
      </c>
      <c r="AI8" s="1135" t="s">
        <v>1966</v>
      </c>
      <c r="AJ8" s="1135" t="s">
        <v>1967</v>
      </c>
    </row>
    <row r="9" spans="1:36" ht="15">
      <c r="A9" s="3006"/>
      <c r="B9" s="162" t="s">
        <v>1968</v>
      </c>
      <c r="C9" s="712">
        <f>SUMIF(修正!C71:C138,C8,修正!E71:E138)</f>
        <v>0</v>
      </c>
      <c r="D9" s="163" t="s">
        <v>113</v>
      </c>
      <c r="E9" s="163" t="e">
        <f>ROUND(C11/E7,4)</f>
        <v>#DIV/0!</v>
      </c>
      <c r="F9" s="1869" t="s">
        <v>1969</v>
      </c>
      <c r="G9" s="1870"/>
      <c r="H9" s="1870"/>
      <c r="I9" s="1870"/>
      <c r="J9" s="1871"/>
      <c r="K9" s="1054"/>
      <c r="L9" s="1845" t="s">
        <v>1970</v>
      </c>
      <c r="M9" s="809">
        <f>SUMPRODUCT((区片价!B277:B326=I2)*(区片价!C3:G3=E2)*(区片价!C277:G326))</f>
        <v>0</v>
      </c>
      <c r="N9" s="811">
        <f>SUMPRODUCT((因素修正幅度!B277:B326=I2)*(因素修正幅度!C3:G3=E2)*(因素修正幅度!C277:G326))</f>
        <v>0</v>
      </c>
      <c r="O9" s="1054"/>
      <c r="P9" s="1054"/>
      <c r="Q9" s="1054"/>
      <c r="R9" s="1127">
        <v>8</v>
      </c>
      <c r="S9" s="1128"/>
      <c r="T9" s="3060">
        <f t="shared" si="0"/>
        <v>0</v>
      </c>
      <c r="U9" s="1128"/>
      <c r="V9" s="3060">
        <f t="shared" si="1"/>
        <v>0</v>
      </c>
      <c r="W9" s="3478"/>
      <c r="X9" s="3061" t="s">
        <v>3254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1971</v>
      </c>
      <c r="C10" s="163">
        <f>SUMIF(修正!C71:C138,C8,修正!F71:F138)</f>
        <v>0</v>
      </c>
      <c r="D10" s="163" t="s">
        <v>114</v>
      </c>
      <c r="E10" s="163" t="e">
        <f>ROUND(C11/E7,4)</f>
        <v>#DIV/0!</v>
      </c>
      <c r="F10" s="1869" t="s">
        <v>1972</v>
      </c>
      <c r="G10" s="1870"/>
      <c r="H10" s="1870"/>
      <c r="I10" s="1870"/>
      <c r="J10" s="1871"/>
      <c r="K10" s="1054"/>
      <c r="L10" s="1845" t="s">
        <v>1973</v>
      </c>
      <c r="M10" s="809">
        <f>SUMPRODUCT((区片价!B327:B357=I2)*(区片价!C3:G3=E2)*(区片价!C327:G357))</f>
        <v>0</v>
      </c>
      <c r="N10" s="811">
        <f>SUMPRODUCT((因素修正幅度!B327:B357=I2)*(因素修正幅度!C3:G3=E2)*(因素修正幅度!C327:G357))</f>
        <v>0</v>
      </c>
      <c r="O10" s="1054"/>
      <c r="P10" s="1054"/>
      <c r="Q10" s="1054"/>
      <c r="R10" s="1127">
        <v>9</v>
      </c>
      <c r="S10" s="1128"/>
      <c r="T10" s="3060">
        <f t="shared" si="0"/>
        <v>0</v>
      </c>
      <c r="U10" s="1128"/>
      <c r="V10" s="3060">
        <f t="shared" si="1"/>
        <v>0</v>
      </c>
      <c r="W10" s="347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2" t="s">
        <v>1974</v>
      </c>
      <c r="C11" s="713">
        <f>C10/4</f>
        <v>0</v>
      </c>
      <c r="D11" s="713" t="s">
        <v>115</v>
      </c>
      <c r="E11" s="713" t="e">
        <f>ROUND(C11/E7,4)</f>
        <v>#DIV/0!</v>
      </c>
      <c r="F11" s="1873" t="s">
        <v>1975</v>
      </c>
      <c r="G11" s="1874"/>
      <c r="H11" s="1874"/>
      <c r="I11" s="1874"/>
      <c r="J11" s="1875"/>
      <c r="K11" s="1054"/>
      <c r="L11" s="1845" t="s">
        <v>1976</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f t="shared" si="0"/>
        <v>0</v>
      </c>
      <c r="U11" s="1128"/>
      <c r="V11" s="3060">
        <f t="shared" si="1"/>
        <v>0</v>
      </c>
      <c r="W11" s="1131"/>
      <c r="X11" s="1131"/>
      <c r="Y11" s="1131"/>
      <c r="Z11" s="1131"/>
      <c r="AA11" s="1131"/>
      <c r="AB11" s="1131"/>
      <c r="AC11" s="1132"/>
      <c r="AD11" s="2550"/>
      <c r="AE11" s="2550"/>
      <c r="AF11" s="2550"/>
      <c r="AG11" s="2550"/>
      <c r="AH11" s="2550"/>
      <c r="AI11" s="2550"/>
      <c r="AJ11" s="2551"/>
    </row>
    <row r="12" spans="1:36" ht="25.5" thickBot="1">
      <c r="A12" s="3009" t="s">
        <v>3224</v>
      </c>
      <c r="B12" s="3010" t="s">
        <v>3225</v>
      </c>
      <c r="C12" s="3011">
        <v>1</v>
      </c>
      <c r="D12" s="3012" t="s">
        <v>3226</v>
      </c>
      <c r="E12" s="3013" t="s">
        <v>3227</v>
      </c>
      <c r="F12" s="3014"/>
      <c r="G12" s="3015"/>
      <c r="H12" s="3015"/>
      <c r="I12" s="3015"/>
      <c r="J12" s="3016"/>
      <c r="K12" s="1054"/>
      <c r="L12" s="1794" t="s">
        <v>1979</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f t="shared" si="0"/>
        <v>0</v>
      </c>
      <c r="U12" s="1128"/>
      <c r="V12" s="3060">
        <f t="shared" si="1"/>
        <v>0</v>
      </c>
      <c r="W12" s="1131"/>
      <c r="X12" s="1131"/>
      <c r="Y12" s="1131"/>
      <c r="Z12" s="1131"/>
      <c r="AA12" s="1131"/>
      <c r="AB12" s="1131"/>
      <c r="AC12" s="1132"/>
      <c r="AD12" s="2550"/>
      <c r="AE12" s="2550"/>
      <c r="AF12" s="2550"/>
      <c r="AG12" s="2550"/>
      <c r="AH12" s="2550"/>
      <c r="AI12" s="2550"/>
      <c r="AJ12" s="2551"/>
    </row>
    <row r="13" spans="1:36" ht="15.75" thickBot="1">
      <c r="A13" s="3009" t="s">
        <v>3228</v>
      </c>
      <c r="B13" s="1876" t="s">
        <v>1977</v>
      </c>
      <c r="C13" s="709">
        <f>ROUND(C16*D16*E16*F16*G16*H16*I16*J16,4)</f>
        <v>0</v>
      </c>
      <c r="D13" s="1877" t="s">
        <v>1978</v>
      </c>
      <c r="E13" s="1878"/>
      <c r="F13" s="1878"/>
      <c r="G13" s="1879"/>
      <c r="H13" s="1879"/>
      <c r="I13" s="1879"/>
      <c r="J13" s="1880"/>
      <c r="K13" s="1054"/>
      <c r="L13" s="3"/>
      <c r="M13" s="4"/>
      <c r="N13" s="3007"/>
      <c r="O13" s="1054"/>
      <c r="P13" s="1054"/>
      <c r="Q13" s="1054"/>
      <c r="R13" s="1127">
        <v>12</v>
      </c>
      <c r="S13" s="1128"/>
      <c r="T13" s="3060">
        <f t="shared" si="0"/>
        <v>0</v>
      </c>
      <c r="U13" s="1128"/>
      <c r="V13" s="3060">
        <f t="shared" si="1"/>
        <v>0</v>
      </c>
      <c r="W13" s="1131"/>
      <c r="X13" s="1131"/>
      <c r="Y13" s="1131"/>
      <c r="Z13" s="1131"/>
      <c r="AA13" s="1131"/>
      <c r="AB13" s="1131"/>
      <c r="AC13" s="1132"/>
      <c r="AD13" s="2550"/>
      <c r="AE13" s="2550"/>
      <c r="AF13" s="2550"/>
      <c r="AG13" s="2550"/>
      <c r="AH13" s="2550"/>
      <c r="AI13" s="2550"/>
      <c r="AJ13" s="2551"/>
    </row>
    <row r="14" spans="1:36" ht="15">
      <c r="A14" s="3005"/>
      <c r="B14" s="1881" t="s">
        <v>1980</v>
      </c>
      <c r="C14" s="1882" t="s">
        <v>1981</v>
      </c>
      <c r="D14" s="1259" t="s">
        <v>1982</v>
      </c>
      <c r="E14" s="27" t="s">
        <v>1983</v>
      </c>
      <c r="F14" s="3017" t="s">
        <v>3229</v>
      </c>
      <c r="G14" s="3017" t="s">
        <v>3229</v>
      </c>
      <c r="H14" s="3017" t="s">
        <v>3229</v>
      </c>
      <c r="I14" s="3017" t="s">
        <v>3229</v>
      </c>
      <c r="J14" s="3017" t="s">
        <v>3229</v>
      </c>
      <c r="K14" s="1054"/>
      <c r="L14" s="1054"/>
      <c r="M14" s="1054"/>
      <c r="N14" s="1054"/>
      <c r="O14" s="1054"/>
      <c r="P14" s="1054"/>
      <c r="Q14" s="1054"/>
      <c r="R14" s="1127">
        <v>13</v>
      </c>
      <c r="S14" s="1128"/>
      <c r="T14" s="3060">
        <f t="shared" si="0"/>
        <v>0</v>
      </c>
      <c r="U14" s="1128"/>
      <c r="V14" s="3060">
        <f t="shared" si="1"/>
        <v>0</v>
      </c>
      <c r="W14" s="1131"/>
      <c r="X14" s="1131"/>
      <c r="Y14" s="1131"/>
      <c r="Z14" s="1131"/>
      <c r="AA14" s="1131"/>
      <c r="AB14" s="1131"/>
      <c r="AC14" s="1132"/>
      <c r="AD14" s="2550"/>
      <c r="AE14" s="2550"/>
      <c r="AF14" s="2550"/>
      <c r="AG14" s="2550"/>
      <c r="AH14" s="2550"/>
      <c r="AI14" s="2550"/>
      <c r="AJ14" s="2551"/>
    </row>
    <row r="15" spans="1:36" ht="15">
      <c r="A15" s="3005"/>
      <c r="B15" s="1883"/>
      <c r="C15" s="1884"/>
      <c r="D15" s="1885"/>
      <c r="E15" s="1886"/>
      <c r="F15" s="1468" t="s">
        <v>3230</v>
      </c>
      <c r="G15" s="1926"/>
      <c r="H15" s="3018"/>
      <c r="I15" s="3019"/>
      <c r="J15" s="3020"/>
      <c r="K15" s="1054"/>
      <c r="L15" s="1054"/>
      <c r="M15" s="1054"/>
      <c r="N15" s="1054"/>
      <c r="O15" s="1054"/>
      <c r="P15" s="1054"/>
      <c r="Q15" s="1054"/>
      <c r="R15" s="1127">
        <v>14</v>
      </c>
      <c r="S15" s="1128"/>
      <c r="T15" s="3060">
        <f t="shared" si="0"/>
        <v>0</v>
      </c>
      <c r="U15" s="1128"/>
      <c r="V15" s="3060">
        <f t="shared" si="1"/>
        <v>0</v>
      </c>
      <c r="W15" s="1131"/>
      <c r="X15" s="1131"/>
      <c r="Y15" s="1131"/>
      <c r="Z15" s="1131"/>
      <c r="AA15" s="1131"/>
      <c r="AB15" s="1131"/>
      <c r="AC15" s="1132"/>
      <c r="AD15" s="2550"/>
      <c r="AE15" s="2550"/>
      <c r="AF15" s="2550"/>
      <c r="AG15" s="2550"/>
      <c r="AH15" s="2550"/>
      <c r="AI15" s="2550"/>
      <c r="AJ15" s="2551"/>
    </row>
    <row r="16" spans="1:36" ht="15.75" thickBot="1">
      <c r="A16" s="3005"/>
      <c r="B16" s="3023" t="s">
        <v>1984</v>
      </c>
      <c r="C16" s="3021"/>
      <c r="D16" s="3021"/>
      <c r="E16" s="3021"/>
      <c r="F16" s="3021">
        <v>1</v>
      </c>
      <c r="G16" s="3021">
        <v>1</v>
      </c>
      <c r="H16" s="3021">
        <v>1</v>
      </c>
      <c r="I16" s="3021">
        <v>1</v>
      </c>
      <c r="J16" s="3022">
        <v>1</v>
      </c>
      <c r="K16" s="1054"/>
      <c r="L16" s="1842"/>
      <c r="M16" s="1842"/>
      <c r="N16" s="1842"/>
      <c r="O16" s="1842"/>
      <c r="P16" s="1842"/>
      <c r="Q16" s="1054"/>
      <c r="R16" s="1127">
        <v>15</v>
      </c>
      <c r="S16" s="1128"/>
      <c r="T16" s="3060">
        <f t="shared" si="0"/>
        <v>0</v>
      </c>
      <c r="U16" s="1128"/>
      <c r="V16" s="3060">
        <f t="shared" si="1"/>
        <v>0</v>
      </c>
      <c r="W16" s="1131"/>
      <c r="X16" s="1131"/>
      <c r="Y16" s="1131"/>
      <c r="Z16" s="1131"/>
      <c r="AA16" s="1131"/>
      <c r="AB16" s="1131"/>
      <c r="AC16" s="1132"/>
      <c r="AD16" s="2550"/>
      <c r="AE16" s="2550"/>
      <c r="AF16" s="2550"/>
      <c r="AG16" s="2550"/>
      <c r="AH16" s="2550"/>
      <c r="AI16" s="2550"/>
      <c r="AJ16" s="2551"/>
    </row>
    <row r="17" spans="1:37">
      <c r="A17" s="3032" t="s">
        <v>3231</v>
      </c>
      <c r="B17" s="3024" t="s">
        <v>3232</v>
      </c>
      <c r="C17" s="3033">
        <f>ROUND(IF(OR(E2="工业",E2="公共服务"),1,IF(AND(E18=0,E19=0),1,IF(AND(E18=J24,E19=G19),0.8,IF(E19=0,1+E17*(-0.2),1+E17*G17*(-0.2))))),4)</f>
        <v>1</v>
      </c>
      <c r="D17" s="3025" t="s">
        <v>3233</v>
      </c>
      <c r="E17" s="3033">
        <f>ROUND(G18/I18,2)</f>
        <v>0</v>
      </c>
      <c r="F17" s="3025" t="s">
        <v>3236</v>
      </c>
      <c r="G17" s="3033" t="e">
        <f>ROUND(E19/G19,2)</f>
        <v>#DIV/0!</v>
      </c>
      <c r="H17" s="3033"/>
      <c r="I17" s="3033"/>
      <c r="J17" s="3034"/>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5"/>
      <c r="B18" s="2306"/>
      <c r="C18" s="3031"/>
      <c r="D18" s="3026" t="s">
        <v>3234</v>
      </c>
      <c r="E18" s="2353"/>
      <c r="F18" s="3027" t="s">
        <v>3237</v>
      </c>
      <c r="G18" s="3031">
        <f>ROUND(1-(1/(POWER(1+G24,E18))),4)</f>
        <v>0</v>
      </c>
      <c r="H18" s="3027" t="s">
        <v>3239</v>
      </c>
      <c r="I18" s="3031">
        <f>ROUND(1-(1/(POWER(1+G24,J24))),4)</f>
        <v>0.93120000000000003</v>
      </c>
      <c r="J18" s="3036"/>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9"/>
    </row>
    <row r="19" spans="1:37" s="1856" customFormat="1" ht="15" thickBot="1">
      <c r="A19" s="3037"/>
      <c r="B19" s="3038"/>
      <c r="C19" s="3039"/>
      <c r="D19" s="3039" t="s">
        <v>3235</v>
      </c>
      <c r="E19" s="3040"/>
      <c r="F19" s="3041" t="s">
        <v>3238</v>
      </c>
      <c r="G19" s="3040"/>
      <c r="H19" s="3039"/>
      <c r="I19" s="3039"/>
      <c r="J19" s="3042"/>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2"/>
      <c r="AH19" s="1978"/>
      <c r="AI19" s="561"/>
      <c r="AJ19" s="561"/>
      <c r="AK19" s="1897"/>
    </row>
    <row r="20" spans="1:37" s="1856" customFormat="1" ht="14.25">
      <c r="A20" s="3483" t="s">
        <v>3240</v>
      </c>
      <c r="B20" s="159" t="s">
        <v>1989</v>
      </c>
      <c r="C20" s="3028">
        <f>ROUND(IF(F21="与级别开发程度一致",0,(G21-E21)/C21),0)</f>
        <v>0</v>
      </c>
      <c r="D20" s="3043" t="s">
        <v>1993</v>
      </c>
      <c r="E20" s="3044"/>
      <c r="F20" s="3489" t="s">
        <v>1990</v>
      </c>
      <c r="G20" s="3490"/>
      <c r="H20" s="3029"/>
      <c r="I20" s="3029"/>
      <c r="J20" s="3030"/>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6" customFormat="1" ht="26.25" thickBot="1">
      <c r="A21" s="3484"/>
      <c r="B21" s="2000" t="s">
        <v>1992</v>
      </c>
      <c r="C21" s="2001">
        <f>IF(E3="M4科研用地",SUMPRODUCT((修正!A2:A7=E3)*(修正!B1:M1=G2)*(修正!B2:M7)),SUMPRODUCT((修正!A2:A7=E2)*(修正!B1:M1=G2)*(修正!B2:M7)))</f>
        <v>3.5</v>
      </c>
      <c r="D21" s="179" t="str">
        <f>IF(OR(G2="八级",G2="九级",G2="十级",G2="十一级",G2="十二级"),"五通一平","七通一平")</f>
        <v>七通一平</v>
      </c>
      <c r="E21" s="1991">
        <f>SUMPRODUCT((修正!B1:M1=G2)*(修正!B17:M17))</f>
        <v>375</v>
      </c>
      <c r="F21" s="1992" t="s">
        <v>3432</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6" customFormat="1" ht="15.75" thickBot="1">
      <c r="A22" s="1994" t="s">
        <v>363</v>
      </c>
      <c r="B22" s="1995" t="s">
        <v>1995</v>
      </c>
      <c r="C22" s="1996">
        <f>SUMIF(修正!C20:C51,E3,修正!E20:E51)</f>
        <v>1</v>
      </c>
      <c r="D22" s="1997"/>
      <c r="E22" s="1998"/>
      <c r="F22" s="1998"/>
      <c r="G22" s="1998"/>
      <c r="H22" s="1998"/>
      <c r="I22" s="1998"/>
      <c r="J22" s="1999"/>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90" t="s">
        <v>364</v>
      </c>
      <c r="B23" s="1891" t="s">
        <v>1996</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4" t="s">
        <v>1997</v>
      </c>
      <c r="E23" s="715">
        <v>44197</v>
      </c>
      <c r="F23" s="1894" t="s">
        <v>1998</v>
      </c>
      <c r="G23" s="716">
        <f>'数据-取费表'!B2</f>
        <v>45804</v>
      </c>
      <c r="H23" s="3045" t="s">
        <v>3242</v>
      </c>
      <c r="I23" s="3046" t="str">
        <f>IF(H23="季度增幅（自定义）",SUMIF(N25:N28,E2,O25:O28),"")</f>
        <v/>
      </c>
      <c r="J23" s="3138" t="s">
        <v>3241</v>
      </c>
      <c r="K23" s="1059"/>
      <c r="L23" s="1895" t="s">
        <v>1999</v>
      </c>
      <c r="M23" s="1239">
        <f>ROUND(SUMIF(地价!B2:G2,E2,地价!B16:G16),0)</f>
        <v>350</v>
      </c>
      <c r="N23" s="1896" t="s">
        <v>2000</v>
      </c>
      <c r="O23" s="717">
        <f>ROUNDDOWN(DATEDIF(E23,G23,"M")/3,0)</f>
        <v>17</v>
      </c>
      <c r="P23" s="1055"/>
      <c r="Q23" s="2549"/>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2001</v>
      </c>
      <c r="C24" s="718">
        <f>ROUND(POWER(1+G24,J24-I24)*(POWER(1+G24,I24)-1)/(POWER(1+G24,J24)-1),4)</f>
        <v>0.8498</v>
      </c>
      <c r="D24" s="1900" t="s">
        <v>2002</v>
      </c>
      <c r="E24" s="1246">
        <f>存贷款利率!E28/100</f>
        <v>4.3499999999999997E-2</v>
      </c>
      <c r="F24" s="1900" t="s">
        <v>1994</v>
      </c>
      <c r="G24" s="722">
        <f>SUMIF(M30:Q30,E2,M33:Q33)</f>
        <v>5.5E-2</v>
      </c>
      <c r="H24" s="1900" t="s">
        <v>2003</v>
      </c>
      <c r="I24" s="723">
        <f>SUMIF('数据-取费表'!C6:C15,E2,'数据-取费表'!F6:F15)/COUNTIF('数据-取费表'!C6:C15,E2)</f>
        <v>29.27</v>
      </c>
      <c r="J24" s="724">
        <f>IF(E2="住宅",70,IF(E2="商业",40,50))</f>
        <v>50</v>
      </c>
      <c r="K24" s="1059"/>
      <c r="L24" s="1901" t="s">
        <v>2004</v>
      </c>
      <c r="M24" s="1240">
        <f>ROUND(SUMPRODUCT((地价!A4:A16=YEAR(G23)&amp;"-"&amp;ROUNDUP(MONTH(G23)/3,0))*(地价!B2:G2=E2)*(地价!B4:G16)),0)</f>
        <v>0</v>
      </c>
      <c r="N24" s="1902" t="s">
        <v>2005</v>
      </c>
      <c r="O24" s="1903" t="s">
        <v>2006</v>
      </c>
      <c r="P24" s="1904" t="s">
        <v>2007</v>
      </c>
      <c r="Q24" s="1842"/>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5" t="s">
        <v>366</v>
      </c>
      <c r="B25" s="1906" t="s">
        <v>3321</v>
      </c>
      <c r="C25" s="461">
        <f>IF(B25="容积率修正",IF(G3&lt;10,D26,J26),C27)</f>
        <v>0.91239999999999999</v>
      </c>
      <c r="D25" s="1907"/>
      <c r="E25" s="1907"/>
      <c r="F25" s="1907"/>
      <c r="G25" s="1907"/>
      <c r="H25" s="1907"/>
      <c r="I25" s="1907"/>
      <c r="J25" s="1908"/>
      <c r="K25" s="1059"/>
      <c r="L25" s="2549"/>
      <c r="M25" s="2549"/>
      <c r="N25" s="1909" t="s">
        <v>2008</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2009</v>
      </c>
      <c r="B26" s="1910" t="s">
        <v>2010</v>
      </c>
      <c r="C26" s="1910" t="s">
        <v>3243</v>
      </c>
      <c r="D26" s="1261">
        <f>IF(E26=G26,F26,IF(G3&lt;10,ROUND(F26+(H26-F26)*(G3-E26)/(G26-E26),4),"——"))</f>
        <v>0.91239999999999999</v>
      </c>
      <c r="E26" s="706">
        <f>ROUNDDOWN(G3,1)</f>
        <v>7.6</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0.91339999999999999</v>
      </c>
      <c r="G26" s="706">
        <f>ROUNDUP(G3,1)</f>
        <v>7.6999999999999993</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0.91190000000000004</v>
      </c>
      <c r="I26" s="1910" t="s">
        <v>3244</v>
      </c>
      <c r="J26" s="374" t="str">
        <f>IF(G3&gt;=10,D115,"——")</f>
        <v>——</v>
      </c>
      <c r="K26" s="1059"/>
      <c r="L26" s="2549"/>
      <c r="M26" s="2549"/>
      <c r="N26" s="1909" t="s">
        <v>2011</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2012</v>
      </c>
      <c r="B27" s="1911" t="s">
        <v>2013</v>
      </c>
      <c r="C27" s="789">
        <f>ROUND(IF(I3&lt;6,SUMPRODUCT((B106:B110=I3)*(C105:N105=G2)*(C106:N110)),SUMIF(C105:N105,G2,C112:N112)),4)</f>
        <v>0</v>
      </c>
      <c r="D27" s="1840"/>
      <c r="E27" s="1840"/>
      <c r="F27" s="1912"/>
      <c r="G27" s="1913"/>
      <c r="H27" s="1914"/>
      <c r="I27" s="1915"/>
      <c r="J27" s="1916"/>
      <c r="K27" s="1054"/>
      <c r="L27" s="1842"/>
      <c r="M27" s="1842"/>
      <c r="N27" s="1909" t="s">
        <v>2014</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2015</v>
      </c>
      <c r="C28" s="714">
        <f>SUMIF(A47:A101,E2,B47:B101)</f>
        <v>1.0651999999999999</v>
      </c>
      <c r="D28" s="1892"/>
      <c r="E28" s="1917"/>
      <c r="F28" s="1917"/>
      <c r="G28" s="1917"/>
      <c r="H28" s="1917"/>
      <c r="I28" s="1917"/>
      <c r="J28" s="1918"/>
      <c r="K28" s="1059"/>
      <c r="L28" s="2549"/>
      <c r="M28" s="2549"/>
      <c r="N28" s="1919" t="s">
        <v>2016</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2017</v>
      </c>
      <c r="C29" s="719"/>
      <c r="D29" s="1866"/>
      <c r="E29" s="1866"/>
      <c r="F29" s="1921"/>
      <c r="G29" s="1866"/>
      <c r="H29" s="1866"/>
      <c r="I29" s="1866"/>
      <c r="J29" s="1867"/>
      <c r="K29" s="1054"/>
      <c r="L29" s="1842"/>
      <c r="M29" s="1842"/>
      <c r="N29" s="2546" t="s">
        <v>2018</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2019</v>
      </c>
      <c r="C30" s="2143">
        <f>IF(B25="容积率修正",E33+SUM(E37:E42),SUM(V2:V16)+SUM(E37:E42))</f>
        <v>16184</v>
      </c>
      <c r="D30" s="1923"/>
      <c r="E30" s="1840"/>
      <c r="F30" s="1924"/>
      <c r="G30" s="1840"/>
      <c r="H30" s="1840"/>
      <c r="I30" s="1840"/>
      <c r="J30" s="1925"/>
      <c r="K30" s="1054"/>
      <c r="L30" s="3052" t="s">
        <v>1931</v>
      </c>
      <c r="M30" s="3053" t="s">
        <v>1985</v>
      </c>
      <c r="N30" s="3053" t="s">
        <v>1986</v>
      </c>
      <c r="O30" s="3053" t="s">
        <v>1987</v>
      </c>
      <c r="P30" s="3053" t="s">
        <v>1988</v>
      </c>
      <c r="Q30" s="3056" t="s">
        <v>3248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2020</v>
      </c>
      <c r="C31" s="720">
        <f>E34+SUM(I37:I42)</f>
        <v>4045</v>
      </c>
      <c r="D31" s="1927"/>
      <c r="E31" s="1928"/>
      <c r="F31" s="1929"/>
      <c r="G31" s="1928"/>
      <c r="H31" s="1928"/>
      <c r="I31" s="1928"/>
      <c r="J31" s="1930"/>
      <c r="K31" s="1054"/>
      <c r="L31" s="3054" t="s">
        <v>1991</v>
      </c>
      <c r="M31" s="162">
        <v>0.25</v>
      </c>
      <c r="N31" s="162">
        <v>0.2</v>
      </c>
      <c r="O31" s="162">
        <v>0.15</v>
      </c>
      <c r="P31" s="162">
        <v>0.1</v>
      </c>
      <c r="Q31" s="3049">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2021</v>
      </c>
      <c r="C32" s="1933" t="s">
        <v>2022</v>
      </c>
      <c r="D32" s="1933" t="s">
        <v>2023</v>
      </c>
      <c r="E32" s="1934" t="s">
        <v>2024</v>
      </c>
      <c r="F32" s="1935"/>
      <c r="G32" s="1879"/>
      <c r="H32" s="1879"/>
      <c r="I32" s="1879"/>
      <c r="J32" s="1880"/>
      <c r="K32" s="1054"/>
      <c r="L32" s="3055" t="s">
        <v>1994</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2025</v>
      </c>
      <c r="C33" s="167">
        <f>ROUND(C5*C22*C23*C24*C25*C28,0)</f>
        <v>30170</v>
      </c>
      <c r="D33" s="1938"/>
      <c r="E33" s="725">
        <f>ROUND(C33*D33/10000,0)</f>
        <v>0</v>
      </c>
      <c r="F33" s="3047" t="s">
        <v>3246</v>
      </c>
      <c r="G33" s="1939"/>
      <c r="H33" s="1939"/>
      <c r="I33" s="1939"/>
      <c r="J33" s="1940"/>
      <c r="K33" s="1054"/>
      <c r="L33" s="3050" t="s">
        <v>3249</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2026</v>
      </c>
      <c r="C34" s="179">
        <f>ROUND(IF(E2="工业",C33*M42,IF(B25="楼层修正",SUM(V2:V16)*M41*10000/D34,C33*M41)),0)</f>
        <v>7543</v>
      </c>
      <c r="D34" s="1943"/>
      <c r="E34" s="725">
        <f>ROUND(IF(B25="楼层修正",SUM(V2:V16)*M40,C34*D34/10000),0)</f>
        <v>0</v>
      </c>
      <c r="F34" s="1944" t="s">
        <v>2027</v>
      </c>
      <c r="G34" s="1945"/>
      <c r="H34" s="1945"/>
      <c r="I34" s="1945"/>
      <c r="J34" s="1946"/>
      <c r="K34" s="1054"/>
      <c r="L34" s="3050" t="s">
        <v>3250</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2028</v>
      </c>
      <c r="C35" s="3048" t="s">
        <v>3247</v>
      </c>
      <c r="D35" s="1879"/>
      <c r="E35" s="1949"/>
      <c r="F35" s="1949"/>
      <c r="G35" s="1877" t="s">
        <v>2029</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2022</v>
      </c>
      <c r="D36" s="433" t="s">
        <v>2023</v>
      </c>
      <c r="E36" s="433" t="s">
        <v>2024</v>
      </c>
      <c r="F36" s="333" t="s">
        <v>2030</v>
      </c>
      <c r="G36" s="1952" t="s">
        <v>2022</v>
      </c>
      <c r="H36" s="1952" t="s">
        <v>2023</v>
      </c>
      <c r="I36" s="1952" t="s">
        <v>2024</v>
      </c>
      <c r="J36" s="235"/>
      <c r="K36" s="1962" t="s">
        <v>3251</v>
      </c>
      <c r="L36" s="3139">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87"/>
      <c r="B37" s="1953" t="s">
        <v>2031</v>
      </c>
      <c r="C37" s="167">
        <f>ROUND(D5*C22*C23*C24*C28*F37,0)</f>
        <v>23147</v>
      </c>
      <c r="D37" s="1938"/>
      <c r="E37" s="163">
        <f>ROUND(C37*D37/10000,0)</f>
        <v>0</v>
      </c>
      <c r="F37" s="163">
        <f>SUMIF(修正!A57:A68,G2,修正!B57:B68)</f>
        <v>0.7</v>
      </c>
      <c r="G37" s="163">
        <f>ROUND(IF(E2="工业",C37*$M$42,C37*$M$41),0)</f>
        <v>5787</v>
      </c>
      <c r="H37" s="163">
        <f>D37</f>
        <v>0</v>
      </c>
      <c r="I37" s="163">
        <f>ROUND(G37*H37/10000,0)</f>
        <v>0</v>
      </c>
      <c r="J37" s="2751"/>
      <c r="K37" s="3058" t="s">
        <v>3252</v>
      </c>
      <c r="L37" s="1962">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88"/>
      <c r="B38" s="1882" t="s">
        <v>2032</v>
      </c>
      <c r="C38" s="167">
        <f>ROUND(D5*C22*C23*C24*C28*F38,0)</f>
        <v>13227</v>
      </c>
      <c r="D38" s="1938"/>
      <c r="E38" s="163">
        <f t="shared" ref="E38:E42" si="4">ROUND(C38*D38/10000,0)</f>
        <v>0</v>
      </c>
      <c r="F38" s="163">
        <f>SUMIF(修正!A57:A68,G2,修正!C57:C68)</f>
        <v>0.4</v>
      </c>
      <c r="G38" s="163">
        <f>ROUND(IF(E2="工业",C38*$M$42,C38*$M$41),0)</f>
        <v>3307</v>
      </c>
      <c r="H38" s="163">
        <f t="shared" ref="H38:H42" si="5">D38</f>
        <v>0</v>
      </c>
      <c r="I38" s="163">
        <f t="shared" ref="I38:I42" si="6">ROUND(G38*H38/10000,0)</f>
        <v>0</v>
      </c>
      <c r="J38" s="2750"/>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88"/>
      <c r="B39" s="1882" t="s">
        <v>3245</v>
      </c>
      <c r="C39" s="167">
        <f>ROUND(D5*C22*C23*C24*C28*F39,0)</f>
        <v>9920</v>
      </c>
      <c r="D39" s="1938"/>
      <c r="E39" s="163">
        <f t="shared" si="4"/>
        <v>0</v>
      </c>
      <c r="F39" s="163">
        <f>SUMIF(修正!A57:A68,G2,修正!D57:D68)</f>
        <v>0.3</v>
      </c>
      <c r="G39" s="163">
        <f>ROUND(IF(E2="工业",C39*$M$42,C39*$M$41),0)</f>
        <v>2480</v>
      </c>
      <c r="H39" s="163">
        <f t="shared" si="5"/>
        <v>0</v>
      </c>
      <c r="I39" s="163">
        <f t="shared" si="6"/>
        <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2033</v>
      </c>
      <c r="C40" s="163">
        <f>ROUND(D5*C22*C23*C24*C28*F40,0)</f>
        <v>9920</v>
      </c>
      <c r="D40" s="1938"/>
      <c r="E40" s="163">
        <f t="shared" si="4"/>
        <v>0</v>
      </c>
      <c r="F40" s="167">
        <f>SUMIF(修正!A57:A68,G2,修正!E57:E68)</f>
        <v>0.3</v>
      </c>
      <c r="G40" s="163">
        <f>ROUND(IF(E2="工业",C40*$M$42,C40*$M$41),0)</f>
        <v>2480</v>
      </c>
      <c r="H40" s="163">
        <f t="shared" si="5"/>
        <v>0</v>
      </c>
      <c r="I40" s="163">
        <f t="shared" si="6"/>
        <v>0</v>
      </c>
      <c r="J40" s="937"/>
      <c r="L40" s="1955" t="s">
        <v>2034</v>
      </c>
      <c r="M40" s="1956"/>
      <c r="Z40" s="1055"/>
      <c r="AA40" s="1055"/>
      <c r="AB40" s="1055"/>
      <c r="AC40" s="1055"/>
      <c r="AD40" s="1055"/>
      <c r="AE40" s="1055"/>
      <c r="AF40" s="1055"/>
      <c r="AG40" s="1055"/>
      <c r="AH40" s="1055"/>
      <c r="AI40" s="1055"/>
      <c r="AJ40" s="1055"/>
    </row>
    <row r="41" spans="1:37" s="1054" customFormat="1">
      <c r="A41" s="1954"/>
      <c r="B41" s="1882" t="s">
        <v>2035</v>
      </c>
      <c r="C41" s="163">
        <f>ROUND(D5*C22*C23*C44*C28*F41,0)</f>
        <v>9920</v>
      </c>
      <c r="D41" s="1938"/>
      <c r="E41" s="163">
        <f t="shared" si="4"/>
        <v>0</v>
      </c>
      <c r="F41" s="167">
        <f>SUMIF(修正!A57:A68,G2,修正!F57:F68)</f>
        <v>0.3</v>
      </c>
      <c r="G41" s="163">
        <f>ROUND(IF(E2="工业",C41*$M$42,C41*$M$41),0)</f>
        <v>2480</v>
      </c>
      <c r="H41" s="163">
        <f t="shared" si="5"/>
        <v>0</v>
      </c>
      <c r="I41" s="163">
        <f t="shared" si="6"/>
        <v>0</v>
      </c>
      <c r="J41" s="937"/>
      <c r="L41" s="3059" t="s">
        <v>3253</v>
      </c>
      <c r="M41" s="1957">
        <v>0.25</v>
      </c>
      <c r="Z41" s="1055"/>
      <c r="AA41" s="1055"/>
      <c r="AB41" s="1055"/>
      <c r="AC41" s="1055"/>
      <c r="AD41" s="1055"/>
      <c r="AE41" s="1055"/>
      <c r="AF41" s="1055"/>
      <c r="AG41" s="1055"/>
      <c r="AH41" s="1055"/>
      <c r="AI41" s="1055"/>
      <c r="AJ41" s="1055"/>
    </row>
    <row r="42" spans="1:37" s="1054" customFormat="1" ht="13.5" thickBot="1">
      <c r="A42" s="1941"/>
      <c r="B42" s="1958" t="s">
        <v>2036</v>
      </c>
      <c r="C42" s="179">
        <f>ROUND(D5*C22*C23*C44*C28*F42,0)</f>
        <v>6613</v>
      </c>
      <c r="D42" s="1943">
        <f>'数据-汇总表'!G21</f>
        <v>24473</v>
      </c>
      <c r="E42" s="179">
        <f t="shared" si="4"/>
        <v>16184</v>
      </c>
      <c r="F42" s="721">
        <f>SUMIF(修正!A57:A68,G2,修正!G57:G68)</f>
        <v>0.2</v>
      </c>
      <c r="G42" s="179">
        <f>ROUND(IF(E2="工业",C42*$M$42,C42*$M$41),0)</f>
        <v>1653</v>
      </c>
      <c r="H42" s="179">
        <f t="shared" si="5"/>
        <v>24473</v>
      </c>
      <c r="I42" s="179">
        <f t="shared" si="6"/>
        <v>4045</v>
      </c>
      <c r="J42" s="1959"/>
      <c r="L42" s="1960" t="s">
        <v>1988</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2117</v>
      </c>
      <c r="C44" s="333">
        <f>ROUND(POWER(1+E44,H44-G44)*(POWER(1+E44,G44)-1)/(POWER(1+E44,H44)-1),4)</f>
        <v>0.8498</v>
      </c>
      <c r="D44" s="163" t="s">
        <v>1994</v>
      </c>
      <c r="E44" s="1989">
        <f>G24</f>
        <v>5.5E-2</v>
      </c>
      <c r="F44" s="163" t="s">
        <v>2003</v>
      </c>
      <c r="G44" s="175">
        <f>项目基本情况!E15</f>
        <v>29.27</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2037</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2038</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2039</v>
      </c>
      <c r="B49" s="1260" t="s">
        <v>2040</v>
      </c>
      <c r="C49" s="1260" t="s">
        <v>2041</v>
      </c>
      <c r="D49" s="1260" t="s">
        <v>2042</v>
      </c>
      <c r="E49" s="699" t="s">
        <v>2043</v>
      </c>
      <c r="F49" s="1969" t="s">
        <v>2044</v>
      </c>
      <c r="G49" s="1260" t="s">
        <v>310</v>
      </c>
      <c r="H49" s="1970" t="s">
        <v>2045</v>
      </c>
      <c r="I49" s="1260" t="s">
        <v>2046</v>
      </c>
      <c r="J49" s="530" t="s">
        <v>1716</v>
      </c>
      <c r="K49" s="530" t="s">
        <v>1717</v>
      </c>
      <c r="L49" s="530" t="s">
        <v>1718</v>
      </c>
      <c r="M49" s="530" t="s">
        <v>1719</v>
      </c>
      <c r="N49" s="530" t="s">
        <v>1720</v>
      </c>
      <c r="AA49" s="1055"/>
      <c r="AB49" s="1055"/>
      <c r="AC49" s="1055"/>
      <c r="AD49" s="1055"/>
      <c r="AE49" s="1055"/>
      <c r="AF49" s="1055"/>
      <c r="AG49" s="1055"/>
      <c r="AH49" s="1055"/>
      <c r="AI49" s="1055"/>
      <c r="AJ49" s="1055"/>
      <c r="AK49" s="1055"/>
    </row>
    <row r="50" spans="1:37" s="1054" customFormat="1" ht="24.75">
      <c r="A50" s="1968" t="s">
        <v>2047</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5">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8" t="s">
        <v>2048</v>
      </c>
      <c r="B51" s="1260">
        <f>估价对象房地状况!C18</f>
        <v>0</v>
      </c>
      <c r="C51" s="1885"/>
      <c r="D51" s="1000">
        <f t="shared" si="7"/>
        <v>0</v>
      </c>
      <c r="E51" s="701"/>
      <c r="F51" s="1673"/>
      <c r="G51" s="998"/>
      <c r="H51" s="1001" t="str">
        <f t="shared" si="8"/>
        <v>——</v>
      </c>
      <c r="I51" s="3065">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7" t="s">
        <v>3255</v>
      </c>
      <c r="B52" s="1260">
        <f>估价对象房地状况!C19</f>
        <v>0</v>
      </c>
      <c r="C52" s="1885"/>
      <c r="D52" s="1000">
        <f t="shared" si="7"/>
        <v>0</v>
      </c>
      <c r="E52" s="701"/>
      <c r="F52" s="1673"/>
      <c r="G52" s="998"/>
      <c r="H52" s="1001" t="str">
        <f t="shared" si="8"/>
        <v>——</v>
      </c>
      <c r="I52" s="3065">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2049</v>
      </c>
      <c r="B53" s="1972" t="s">
        <v>2050</v>
      </c>
      <c r="C53" s="1885"/>
      <c r="D53" s="1000">
        <f t="shared" si="7"/>
        <v>0</v>
      </c>
      <c r="E53" s="701"/>
      <c r="F53" s="1673"/>
      <c r="G53" s="998"/>
      <c r="H53" s="1001" t="str">
        <f t="shared" si="8"/>
        <v>——</v>
      </c>
      <c r="I53" s="3065">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2051</v>
      </c>
      <c r="B54" s="1260">
        <f>估价对象房地状况!C24</f>
        <v>0</v>
      </c>
      <c r="C54" s="1885"/>
      <c r="D54" s="1000">
        <f t="shared" si="7"/>
        <v>0</v>
      </c>
      <c r="E54" s="701"/>
      <c r="F54" s="1673"/>
      <c r="G54" s="998"/>
      <c r="H54" s="1001" t="str">
        <f t="shared" si="8"/>
        <v>——</v>
      </c>
      <c r="I54" s="3065">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2052</v>
      </c>
      <c r="B55" s="1973" t="s">
        <v>2053</v>
      </c>
      <c r="C55" s="1885"/>
      <c r="D55" s="1000">
        <f t="shared" si="7"/>
        <v>0</v>
      </c>
      <c r="E55" s="701"/>
      <c r="F55" s="1673"/>
      <c r="G55" s="998"/>
      <c r="H55" s="1001" t="str">
        <f t="shared" si="8"/>
        <v>——</v>
      </c>
      <c r="I55" s="3065">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4" t="s">
        <v>2054</v>
      </c>
      <c r="B56" s="1238">
        <f>估价对象房地状况!C21</f>
        <v>0</v>
      </c>
      <c r="C56" s="1885"/>
      <c r="D56" s="1000">
        <f t="shared" si="7"/>
        <v>0</v>
      </c>
      <c r="E56" s="701"/>
      <c r="F56" s="1673"/>
      <c r="G56" s="998"/>
      <c r="H56" s="1001" t="str">
        <f t="shared" si="8"/>
        <v>——</v>
      </c>
      <c r="I56" s="3065">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4" t="s">
        <v>2055</v>
      </c>
      <c r="B57" s="1260">
        <f>估价对象房地状况!C22</f>
        <v>0</v>
      </c>
      <c r="C57" s="1885"/>
      <c r="D57" s="1000">
        <f t="shared" si="7"/>
        <v>0</v>
      </c>
      <c r="E57" s="701"/>
      <c r="F57" s="1673"/>
      <c r="G57" s="998"/>
      <c r="H57" s="1001" t="str">
        <f t="shared" si="8"/>
        <v>——</v>
      </c>
      <c r="I57" s="3065">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5" t="s">
        <v>2056</v>
      </c>
      <c r="B58" s="1976">
        <f>估价对象房地状况!C20</f>
        <v>0</v>
      </c>
      <c r="C58" s="1885"/>
      <c r="D58" s="1000">
        <f t="shared" si="7"/>
        <v>0</v>
      </c>
      <c r="E58" s="702"/>
      <c r="F58" s="1673"/>
      <c r="G58" s="998"/>
      <c r="H58" s="1001" t="str">
        <f t="shared" si="8"/>
        <v>——</v>
      </c>
      <c r="I58" s="3066">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2057</v>
      </c>
      <c r="B59" s="1966">
        <f>1+E61</f>
        <v>1.0651999999999999</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2039</v>
      </c>
      <c r="B60" s="1260"/>
      <c r="C60" s="1260" t="s">
        <v>2041</v>
      </c>
      <c r="D60" s="1260" t="s">
        <v>2042</v>
      </c>
      <c r="E60" s="699" t="s">
        <v>2043</v>
      </c>
      <c r="F60" s="1969" t="s">
        <v>2058</v>
      </c>
      <c r="G60" s="1260" t="s">
        <v>310</v>
      </c>
      <c r="H60" s="1970" t="s">
        <v>2045</v>
      </c>
      <c r="I60" s="1260" t="s">
        <v>2046</v>
      </c>
      <c r="J60" s="530" t="s">
        <v>1716</v>
      </c>
      <c r="K60" s="530" t="s">
        <v>1717</v>
      </c>
      <c r="L60" s="530" t="s">
        <v>1718</v>
      </c>
      <c r="M60" s="530" t="s">
        <v>1719</v>
      </c>
      <c r="N60" s="530" t="s">
        <v>1720</v>
      </c>
      <c r="AA60" s="1055"/>
      <c r="AB60" s="1055"/>
      <c r="AC60" s="1055"/>
      <c r="AD60" s="1055"/>
      <c r="AE60" s="1055"/>
      <c r="AF60" s="1055"/>
      <c r="AG60" s="1055"/>
      <c r="AH60" s="1055"/>
      <c r="AI60" s="1055"/>
      <c r="AJ60" s="1055"/>
      <c r="AK60" s="1055"/>
    </row>
    <row r="61" spans="1:37" s="1054" customFormat="1" ht="24">
      <c r="A61" s="1968" t="s">
        <v>2059</v>
      </c>
      <c r="B61" s="1971">
        <f>估价对象房地状况!C17</f>
        <v>0</v>
      </c>
      <c r="C61" s="1885" t="s">
        <v>3434</v>
      </c>
      <c r="D61" s="1000">
        <f t="shared" ref="D61:D69" si="12">SUMIF($J$60:$N$60,C61,J61:N61)</f>
        <v>2.4400000000000002E-2</v>
      </c>
      <c r="E61" s="700">
        <f>ROUND(SUM(D61:D69),4)</f>
        <v>6.5199999999999994E-2</v>
      </c>
      <c r="F61" s="1673">
        <f>IF(E2="办公",SUMIF(L1:L12,G2,N1:N12),"——")</f>
        <v>9.8000000000000004E-2</v>
      </c>
      <c r="G61" s="998">
        <f>H61</f>
        <v>1.2200000000000001E-2</v>
      </c>
      <c r="H61" s="1001">
        <f t="shared" ref="H61:H69" si="13">IFERROR(ROUNDDOWN($F$61*I61/2,4),"——")</f>
        <v>1.2200000000000001E-2</v>
      </c>
      <c r="I61" s="3065">
        <v>0.25</v>
      </c>
      <c r="J61" s="999">
        <f t="shared" ref="J61:J69" si="14">K61+$G61</f>
        <v>2.4400000000000002E-2</v>
      </c>
      <c r="K61" s="999">
        <f t="shared" ref="K61:K69" si="15">$L61+$G61</f>
        <v>1.2200000000000001E-2</v>
      </c>
      <c r="L61" s="999">
        <v>0</v>
      </c>
      <c r="M61" s="999">
        <f t="shared" ref="M61:N69" si="16">L61-$G61</f>
        <v>-1.2200000000000001E-2</v>
      </c>
      <c r="N61" s="999">
        <f t="shared" si="16"/>
        <v>-2.4400000000000002E-2</v>
      </c>
      <c r="AA61" s="1055"/>
      <c r="AB61" s="1055"/>
      <c r="AC61" s="1055"/>
      <c r="AD61" s="1055"/>
      <c r="AE61" s="1055"/>
      <c r="AF61" s="1055"/>
      <c r="AG61" s="1055"/>
      <c r="AH61" s="1055"/>
      <c r="AI61" s="1055"/>
      <c r="AJ61" s="1055"/>
      <c r="AK61" s="1055"/>
    </row>
    <row r="62" spans="1:37" s="1054" customFormat="1" ht="14.25">
      <c r="A62" s="1968" t="s">
        <v>2048</v>
      </c>
      <c r="B62" s="1260">
        <f>估价对象房地状况!C18</f>
        <v>0</v>
      </c>
      <c r="C62" s="1885" t="s">
        <v>3433</v>
      </c>
      <c r="D62" s="1000">
        <f t="shared" si="12"/>
        <v>1.2699999999999999E-2</v>
      </c>
      <c r="E62" s="701"/>
      <c r="F62" s="1673"/>
      <c r="G62" s="998">
        <f t="shared" ref="G62:G69" si="17">H62</f>
        <v>1.2699999999999999E-2</v>
      </c>
      <c r="H62" s="1001">
        <f t="shared" si="13"/>
        <v>1.2699999999999999E-2</v>
      </c>
      <c r="I62" s="3065">
        <v>0.26</v>
      </c>
      <c r="J62" s="999">
        <f t="shared" si="14"/>
        <v>2.5399999999999999E-2</v>
      </c>
      <c r="K62" s="999">
        <f t="shared" si="15"/>
        <v>1.2699999999999999E-2</v>
      </c>
      <c r="L62" s="999">
        <v>0</v>
      </c>
      <c r="M62" s="999">
        <f t="shared" si="16"/>
        <v>-1.2699999999999999E-2</v>
      </c>
      <c r="N62" s="999">
        <f t="shared" si="16"/>
        <v>-2.5399999999999999E-2</v>
      </c>
      <c r="AA62" s="1055"/>
      <c r="AB62" s="1055"/>
      <c r="AC62" s="1055"/>
      <c r="AD62" s="1055"/>
      <c r="AE62" s="1055"/>
      <c r="AF62" s="1055"/>
      <c r="AG62" s="1055"/>
      <c r="AH62" s="1055"/>
      <c r="AI62" s="1055"/>
      <c r="AJ62" s="1055"/>
      <c r="AK62" s="1055"/>
    </row>
    <row r="63" spans="1:37" s="1054" customFormat="1" ht="36">
      <c r="A63" s="3067" t="s">
        <v>3255</v>
      </c>
      <c r="B63" s="1260">
        <f>估价对象房地状况!C19</f>
        <v>0</v>
      </c>
      <c r="C63" s="1885" t="s">
        <v>3433</v>
      </c>
      <c r="D63" s="1000">
        <f t="shared" si="12"/>
        <v>5.3E-3</v>
      </c>
      <c r="E63" s="701"/>
      <c r="F63" s="1673"/>
      <c r="G63" s="998">
        <f t="shared" si="17"/>
        <v>5.3E-3</v>
      </c>
      <c r="H63" s="1001">
        <f t="shared" si="13"/>
        <v>5.3E-3</v>
      </c>
      <c r="I63" s="3065">
        <v>0.11</v>
      </c>
      <c r="J63" s="999">
        <f t="shared" si="14"/>
        <v>1.06E-2</v>
      </c>
      <c r="K63" s="999">
        <f t="shared" si="15"/>
        <v>5.3E-3</v>
      </c>
      <c r="L63" s="999">
        <v>0</v>
      </c>
      <c r="M63" s="999">
        <f t="shared" si="16"/>
        <v>-5.3E-3</v>
      </c>
      <c r="N63" s="999">
        <f t="shared" si="16"/>
        <v>-1.06E-2</v>
      </c>
      <c r="AA63" s="1055"/>
      <c r="AB63" s="1055"/>
      <c r="AC63" s="1055"/>
      <c r="AD63" s="1055"/>
      <c r="AE63" s="1055"/>
      <c r="AF63" s="1055"/>
      <c r="AG63" s="1055"/>
      <c r="AH63" s="1055"/>
      <c r="AI63" s="1055"/>
      <c r="AJ63" s="1055"/>
      <c r="AK63" s="1055"/>
    </row>
    <row r="64" spans="1:37" s="1054" customFormat="1" ht="36.75">
      <c r="A64" s="1968" t="s">
        <v>2049</v>
      </c>
      <c r="B64" s="1972" t="s">
        <v>2050</v>
      </c>
      <c r="C64" s="1885" t="s">
        <v>3433</v>
      </c>
      <c r="D64" s="1000">
        <f t="shared" si="12"/>
        <v>2.3999999999999998E-3</v>
      </c>
      <c r="E64" s="701"/>
      <c r="F64" s="1673"/>
      <c r="G64" s="998">
        <f t="shared" si="17"/>
        <v>2.3999999999999998E-3</v>
      </c>
      <c r="H64" s="1001">
        <f t="shared" si="13"/>
        <v>2.3999999999999998E-3</v>
      </c>
      <c r="I64" s="3065">
        <v>0.05</v>
      </c>
      <c r="J64" s="999">
        <f t="shared" si="14"/>
        <v>4.7999999999999996E-3</v>
      </c>
      <c r="K64" s="999">
        <f t="shared" si="15"/>
        <v>2.3999999999999998E-3</v>
      </c>
      <c r="L64" s="999">
        <v>0</v>
      </c>
      <c r="M64" s="999">
        <f t="shared" si="16"/>
        <v>-2.3999999999999998E-3</v>
      </c>
      <c r="N64" s="999">
        <f t="shared" si="16"/>
        <v>-4.7999999999999996E-3</v>
      </c>
      <c r="AA64" s="1055"/>
      <c r="AB64" s="1055"/>
      <c r="AC64" s="1055"/>
      <c r="AD64" s="1055"/>
      <c r="AE64" s="1055"/>
      <c r="AF64" s="1055"/>
      <c r="AG64" s="1055"/>
      <c r="AH64" s="1055"/>
      <c r="AI64" s="1055"/>
      <c r="AJ64" s="1055"/>
      <c r="AK64" s="1055"/>
    </row>
    <row r="65" spans="1:37" s="1054" customFormat="1" ht="24">
      <c r="A65" s="1968" t="s">
        <v>2051</v>
      </c>
      <c r="B65" s="1260">
        <f>估价对象房地状况!C24</f>
        <v>0</v>
      </c>
      <c r="C65" s="1885" t="s">
        <v>3433</v>
      </c>
      <c r="D65" s="1000">
        <f t="shared" si="12"/>
        <v>2.3999999999999998E-3</v>
      </c>
      <c r="E65" s="701"/>
      <c r="F65" s="1673"/>
      <c r="G65" s="998">
        <f t="shared" si="17"/>
        <v>2.3999999999999998E-3</v>
      </c>
      <c r="H65" s="1001">
        <f t="shared" si="13"/>
        <v>2.3999999999999998E-3</v>
      </c>
      <c r="I65" s="3065">
        <v>0.05</v>
      </c>
      <c r="J65" s="999">
        <f t="shared" si="14"/>
        <v>4.7999999999999996E-3</v>
      </c>
      <c r="K65" s="999">
        <f t="shared" si="15"/>
        <v>2.3999999999999998E-3</v>
      </c>
      <c r="L65" s="999">
        <v>0</v>
      </c>
      <c r="M65" s="999">
        <f t="shared" si="16"/>
        <v>-2.3999999999999998E-3</v>
      </c>
      <c r="N65" s="999">
        <f t="shared" si="16"/>
        <v>-4.7999999999999996E-3</v>
      </c>
      <c r="AA65" s="1055"/>
      <c r="AB65" s="1055"/>
      <c r="AC65" s="1055"/>
      <c r="AD65" s="1055"/>
      <c r="AE65" s="1055"/>
      <c r="AF65" s="1055"/>
      <c r="AG65" s="1055"/>
      <c r="AH65" s="1055"/>
      <c r="AI65" s="1055"/>
      <c r="AJ65" s="1055"/>
      <c r="AK65" s="1055"/>
    </row>
    <row r="66" spans="1:37" s="1054" customFormat="1" ht="24">
      <c r="A66" s="1968" t="s">
        <v>2052</v>
      </c>
      <c r="B66" s="1973" t="s">
        <v>2053</v>
      </c>
      <c r="C66" s="1885" t="s">
        <v>3433</v>
      </c>
      <c r="D66" s="1000">
        <f t="shared" si="12"/>
        <v>2.8999999999999998E-3</v>
      </c>
      <c r="E66" s="701"/>
      <c r="F66" s="1673"/>
      <c r="G66" s="998">
        <f t="shared" si="17"/>
        <v>2.8999999999999998E-3</v>
      </c>
      <c r="H66" s="1001">
        <f t="shared" si="13"/>
        <v>2.8999999999999998E-3</v>
      </c>
      <c r="I66" s="3065">
        <v>0.06</v>
      </c>
      <c r="J66" s="999">
        <f t="shared" si="14"/>
        <v>5.7999999999999996E-3</v>
      </c>
      <c r="K66" s="999">
        <f t="shared" si="15"/>
        <v>2.8999999999999998E-3</v>
      </c>
      <c r="L66" s="999">
        <v>0</v>
      </c>
      <c r="M66" s="999">
        <f t="shared" si="16"/>
        <v>-2.8999999999999998E-3</v>
      </c>
      <c r="N66" s="999">
        <f t="shared" si="16"/>
        <v>-5.7999999999999996E-3</v>
      </c>
      <c r="AA66" s="1055"/>
      <c r="AB66" s="1055"/>
      <c r="AC66" s="1055"/>
      <c r="AD66" s="1055"/>
      <c r="AE66" s="1055"/>
      <c r="AF66" s="1055"/>
      <c r="AG66" s="1055"/>
      <c r="AH66" s="1055"/>
      <c r="AI66" s="1055"/>
      <c r="AJ66" s="1055"/>
      <c r="AK66" s="1055"/>
    </row>
    <row r="67" spans="1:37" s="1054" customFormat="1" ht="24">
      <c r="A67" s="1968" t="s">
        <v>2054</v>
      </c>
      <c r="B67" s="1238">
        <f>估价对象房地状况!C21</f>
        <v>0</v>
      </c>
      <c r="C67" s="1885" t="s">
        <v>3433</v>
      </c>
      <c r="D67" s="1000">
        <f t="shared" si="12"/>
        <v>2.8999999999999998E-3</v>
      </c>
      <c r="E67" s="701"/>
      <c r="F67" s="1673"/>
      <c r="G67" s="998">
        <f t="shared" si="17"/>
        <v>2.8999999999999998E-3</v>
      </c>
      <c r="H67" s="1001">
        <f t="shared" si="13"/>
        <v>2.8999999999999998E-3</v>
      </c>
      <c r="I67" s="3065">
        <v>0.06</v>
      </c>
      <c r="J67" s="999">
        <f t="shared" si="14"/>
        <v>5.7999999999999996E-3</v>
      </c>
      <c r="K67" s="999">
        <f t="shared" si="15"/>
        <v>2.8999999999999998E-3</v>
      </c>
      <c r="L67" s="999">
        <v>0</v>
      </c>
      <c r="M67" s="999">
        <f t="shared" si="16"/>
        <v>-2.8999999999999998E-3</v>
      </c>
      <c r="N67" s="999">
        <f t="shared" si="16"/>
        <v>-5.7999999999999996E-3</v>
      </c>
      <c r="AA67" s="1055"/>
      <c r="AB67" s="1055"/>
      <c r="AC67" s="1055"/>
      <c r="AD67" s="1055"/>
      <c r="AE67" s="1055"/>
      <c r="AF67" s="1055"/>
      <c r="AG67" s="1055"/>
      <c r="AH67" s="1055"/>
      <c r="AI67" s="1055"/>
      <c r="AJ67" s="1055"/>
      <c r="AK67" s="1055"/>
    </row>
    <row r="68" spans="1:37" s="1054" customFormat="1" ht="24">
      <c r="A68" s="1968" t="s">
        <v>2055</v>
      </c>
      <c r="B68" s="1238">
        <f>估价对象房地状况!C22</f>
        <v>0</v>
      </c>
      <c r="C68" s="1885" t="s">
        <v>3434</v>
      </c>
      <c r="D68" s="1000">
        <f t="shared" si="12"/>
        <v>8.8000000000000005E-3</v>
      </c>
      <c r="E68" s="701"/>
      <c r="F68" s="1673"/>
      <c r="G68" s="998">
        <f t="shared" si="17"/>
        <v>4.4000000000000003E-3</v>
      </c>
      <c r="H68" s="1001">
        <f t="shared" si="13"/>
        <v>4.4000000000000003E-3</v>
      </c>
      <c r="I68" s="3065">
        <v>0.09</v>
      </c>
      <c r="J68" s="999">
        <f t="shared" si="14"/>
        <v>8.8000000000000005E-3</v>
      </c>
      <c r="K68" s="999">
        <f t="shared" si="15"/>
        <v>4.4000000000000003E-3</v>
      </c>
      <c r="L68" s="999">
        <v>0</v>
      </c>
      <c r="M68" s="999">
        <f t="shared" si="16"/>
        <v>-4.4000000000000003E-3</v>
      </c>
      <c r="N68" s="999">
        <f t="shared" si="16"/>
        <v>-8.8000000000000005E-3</v>
      </c>
      <c r="AA68" s="1055"/>
      <c r="AB68" s="1055"/>
      <c r="AC68" s="1055"/>
      <c r="AD68" s="1055"/>
      <c r="AE68" s="1055"/>
      <c r="AF68" s="1055"/>
      <c r="AG68" s="1055"/>
      <c r="AH68" s="1055"/>
      <c r="AI68" s="1055"/>
      <c r="AJ68" s="1055"/>
      <c r="AK68" s="1055"/>
    </row>
    <row r="69" spans="1:37" s="1054" customFormat="1" ht="24.75" thickBot="1">
      <c r="A69" s="1975" t="s">
        <v>2056</v>
      </c>
      <c r="B69" s="1977">
        <f>估价对象房地状况!C20</f>
        <v>0</v>
      </c>
      <c r="C69" s="1885" t="s">
        <v>3433</v>
      </c>
      <c r="D69" s="1000">
        <f t="shared" si="12"/>
        <v>3.3999999999999998E-3</v>
      </c>
      <c r="E69" s="702"/>
      <c r="F69" s="1673"/>
      <c r="G69" s="998">
        <f t="shared" si="17"/>
        <v>3.3999999999999998E-3</v>
      </c>
      <c r="H69" s="1001">
        <f t="shared" si="13"/>
        <v>3.3999999999999998E-3</v>
      </c>
      <c r="I69" s="3066">
        <v>7.0000000000000007E-2</v>
      </c>
      <c r="J69" s="999">
        <f t="shared" si="14"/>
        <v>6.7999999999999996E-3</v>
      </c>
      <c r="K69" s="999">
        <f t="shared" si="15"/>
        <v>3.3999999999999998E-3</v>
      </c>
      <c r="L69" s="999">
        <v>0</v>
      </c>
      <c r="M69" s="999">
        <f t="shared" si="16"/>
        <v>-3.3999999999999998E-3</v>
      </c>
      <c r="N69" s="999">
        <f t="shared" si="16"/>
        <v>-6.7999999999999996E-3</v>
      </c>
      <c r="AA69" s="1055"/>
      <c r="AB69" s="1055"/>
      <c r="AC69" s="1055"/>
      <c r="AD69" s="1055"/>
      <c r="AE69" s="1055"/>
      <c r="AF69" s="1055"/>
      <c r="AG69" s="1055"/>
      <c r="AH69" s="1055"/>
      <c r="AI69" s="1055"/>
      <c r="AJ69" s="1055"/>
      <c r="AK69" s="1055"/>
    </row>
    <row r="70" spans="1:37" s="1054" customFormat="1" ht="15">
      <c r="A70" s="1965" t="s">
        <v>2060</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2039</v>
      </c>
      <c r="B71" s="1260"/>
      <c r="C71" s="1260" t="s">
        <v>2041</v>
      </c>
      <c r="D71" s="1260" t="s">
        <v>2042</v>
      </c>
      <c r="E71" s="699" t="s">
        <v>2043</v>
      </c>
      <c r="F71" s="1969" t="s">
        <v>2058</v>
      </c>
      <c r="G71" s="1260" t="s">
        <v>310</v>
      </c>
      <c r="H71" s="1970" t="s">
        <v>2045</v>
      </c>
      <c r="I71" s="1260" t="s">
        <v>2046</v>
      </c>
      <c r="J71" s="530" t="s">
        <v>1716</v>
      </c>
      <c r="K71" s="530" t="s">
        <v>1717</v>
      </c>
      <c r="L71" s="530" t="s">
        <v>1718</v>
      </c>
      <c r="M71" s="530" t="s">
        <v>1719</v>
      </c>
      <c r="N71" s="530" t="s">
        <v>1720</v>
      </c>
      <c r="AA71" s="1055"/>
      <c r="AB71" s="1055"/>
      <c r="AC71" s="1055"/>
      <c r="AD71" s="1055"/>
      <c r="AE71" s="1055"/>
      <c r="AF71" s="1055"/>
      <c r="AG71" s="1055"/>
      <c r="AH71" s="1055"/>
      <c r="AI71" s="1055"/>
      <c r="AJ71" s="1055"/>
      <c r="AK71" s="1055"/>
    </row>
    <row r="72" spans="1:37" s="1054" customFormat="1" ht="24">
      <c r="A72" s="1968" t="s">
        <v>2061</v>
      </c>
      <c r="B72" s="1971">
        <f>估价对象房地状况!C15</f>
        <v>0</v>
      </c>
      <c r="C72" s="1885"/>
      <c r="D72" s="1000">
        <f t="shared" ref="D72:D80" si="18">SUMIF($J$71:$N$71,C72,J72:N72)</f>
        <v>0</v>
      </c>
      <c r="E72" s="700">
        <f>ROUND(SUM(D72:D80),4)</f>
        <v>0</v>
      </c>
      <c r="F72" s="1673" t="str">
        <f>IF(E2="住宅",SUMIF(L1:L12,G2,N1:N12),"——")</f>
        <v>——</v>
      </c>
      <c r="G72" s="998"/>
      <c r="H72" s="1001" t="str">
        <f t="shared" ref="H72:H80" si="19">IFERROR(ROUNDDOWN($F$72*I72/2,4),"——")</f>
        <v>——</v>
      </c>
      <c r="I72" s="3065">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8" t="s">
        <v>2048</v>
      </c>
      <c r="B73" s="1260">
        <f>估价对象房地状况!C18</f>
        <v>0</v>
      </c>
      <c r="C73" s="1885"/>
      <c r="D73" s="1000">
        <f t="shared" si="18"/>
        <v>0</v>
      </c>
      <c r="E73" s="703"/>
      <c r="F73" s="1673"/>
      <c r="G73" s="998"/>
      <c r="H73" s="1001" t="str">
        <f t="shared" si="19"/>
        <v>——</v>
      </c>
      <c r="I73" s="3065">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7" t="s">
        <v>3255</v>
      </c>
      <c r="B74" s="1260">
        <f>估价对象房地状况!C19</f>
        <v>0</v>
      </c>
      <c r="C74" s="1885"/>
      <c r="D74" s="1000">
        <f t="shared" si="18"/>
        <v>0</v>
      </c>
      <c r="E74" s="703"/>
      <c r="F74" s="1673"/>
      <c r="G74" s="998"/>
      <c r="H74" s="1001" t="str">
        <f t="shared" si="19"/>
        <v>——</v>
      </c>
      <c r="I74" s="3065">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2062</v>
      </c>
      <c r="B75" s="1260">
        <f>估价对象房地状况!C24</f>
        <v>0</v>
      </c>
      <c r="C75" s="1885"/>
      <c r="D75" s="1000">
        <f t="shared" si="18"/>
        <v>0</v>
      </c>
      <c r="E75" s="703"/>
      <c r="F75" s="1673"/>
      <c r="G75" s="998"/>
      <c r="H75" s="1001" t="str">
        <f t="shared" si="19"/>
        <v>——</v>
      </c>
      <c r="I75" s="3065">
        <v>0.05</v>
      </c>
      <c r="J75" s="999">
        <f t="shared" si="20"/>
        <v>0</v>
      </c>
      <c r="K75" s="999">
        <f t="shared" si="21"/>
        <v>0</v>
      </c>
      <c r="L75" s="999">
        <v>0</v>
      </c>
      <c r="M75" s="999">
        <f t="shared" si="22"/>
        <v>0</v>
      </c>
      <c r="N75" s="999">
        <f t="shared" si="22"/>
        <v>0</v>
      </c>
      <c r="O75" s="1054"/>
      <c r="P75" s="1054"/>
      <c r="Q75" s="1842"/>
      <c r="Z75" s="1843"/>
      <c r="AA75" s="1893"/>
      <c r="AG75" s="1056"/>
      <c r="AK75" s="1893"/>
    </row>
    <row r="76" spans="1:37" ht="24">
      <c r="A76" s="1968" t="s">
        <v>2054</v>
      </c>
      <c r="B76" s="1238">
        <f>估价对象房地状况!C21</f>
        <v>0</v>
      </c>
      <c r="C76" s="1885"/>
      <c r="D76" s="1000">
        <f t="shared" si="18"/>
        <v>0</v>
      </c>
      <c r="E76" s="703"/>
      <c r="F76" s="1673"/>
      <c r="G76" s="998"/>
      <c r="H76" s="1001" t="str">
        <f t="shared" si="19"/>
        <v>——</v>
      </c>
      <c r="I76" s="3065">
        <v>0.08</v>
      </c>
      <c r="J76" s="999">
        <f t="shared" si="20"/>
        <v>0</v>
      </c>
      <c r="K76" s="999">
        <f t="shared" si="21"/>
        <v>0</v>
      </c>
      <c r="L76" s="999">
        <v>0</v>
      </c>
      <c r="M76" s="999">
        <f t="shared" si="22"/>
        <v>0</v>
      </c>
      <c r="N76" s="999">
        <f t="shared" si="22"/>
        <v>0</v>
      </c>
      <c r="O76" s="1054"/>
      <c r="P76" s="1054"/>
      <c r="Z76" s="1843"/>
      <c r="AA76" s="1893"/>
      <c r="AG76" s="1056"/>
      <c r="AK76" s="1893"/>
    </row>
    <row r="77" spans="1:37" ht="24">
      <c r="A77" s="1968" t="s">
        <v>2055</v>
      </c>
      <c r="B77" s="1238">
        <f>估价对象房地状况!C22</f>
        <v>0</v>
      </c>
      <c r="C77" s="1885"/>
      <c r="D77" s="1000">
        <f t="shared" si="18"/>
        <v>0</v>
      </c>
      <c r="E77" s="703"/>
      <c r="F77" s="1673"/>
      <c r="G77" s="998"/>
      <c r="H77" s="1001" t="str">
        <f t="shared" si="19"/>
        <v>——</v>
      </c>
      <c r="I77" s="3065">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2052</v>
      </c>
      <c r="B78" s="1973" t="s">
        <v>2053</v>
      </c>
      <c r="C78" s="1885"/>
      <c r="D78" s="1000">
        <f t="shared" si="18"/>
        <v>0</v>
      </c>
      <c r="E78" s="703"/>
      <c r="F78" s="1673"/>
      <c r="G78" s="998"/>
      <c r="H78" s="1001" t="str">
        <f t="shared" si="19"/>
        <v>——</v>
      </c>
      <c r="I78" s="3065">
        <v>0.05</v>
      </c>
      <c r="J78" s="999">
        <f t="shared" si="20"/>
        <v>0</v>
      </c>
      <c r="K78" s="999">
        <f t="shared" si="21"/>
        <v>0</v>
      </c>
      <c r="L78" s="999">
        <v>0</v>
      </c>
      <c r="M78" s="999">
        <f t="shared" si="22"/>
        <v>0</v>
      </c>
      <c r="N78" s="999">
        <f t="shared" si="22"/>
        <v>0</v>
      </c>
      <c r="O78" s="1842"/>
      <c r="P78" s="1842"/>
      <c r="Z78" s="1843"/>
      <c r="AA78" s="1893"/>
      <c r="AG78" s="1056"/>
      <c r="AK78" s="1893"/>
    </row>
    <row r="79" spans="1:37" ht="24">
      <c r="A79" s="1968" t="s">
        <v>2056</v>
      </c>
      <c r="B79" s="1971">
        <f>估价对象房地状况!C20</f>
        <v>0</v>
      </c>
      <c r="C79" s="1885"/>
      <c r="D79" s="1000">
        <f t="shared" si="18"/>
        <v>0</v>
      </c>
      <c r="E79" s="703"/>
      <c r="F79" s="1673"/>
      <c r="G79" s="998"/>
      <c r="H79" s="1001" t="str">
        <f t="shared" si="19"/>
        <v>——</v>
      </c>
      <c r="I79" s="3065">
        <v>0.12</v>
      </c>
      <c r="J79" s="999">
        <f t="shared" si="20"/>
        <v>0</v>
      </c>
      <c r="K79" s="999">
        <f t="shared" si="21"/>
        <v>0</v>
      </c>
      <c r="L79" s="999">
        <v>0</v>
      </c>
      <c r="M79" s="999">
        <f t="shared" si="22"/>
        <v>0</v>
      </c>
      <c r="N79" s="999">
        <f t="shared" si="22"/>
        <v>0</v>
      </c>
      <c r="Z79" s="1843"/>
      <c r="AA79" s="1893"/>
      <c r="AG79" s="1056"/>
      <c r="AK79" s="1893"/>
    </row>
    <row r="80" spans="1:37" ht="24.75" thickBot="1">
      <c r="A80" s="1975" t="s">
        <v>2063</v>
      </c>
      <c r="B80" s="1979"/>
      <c r="C80" s="1885"/>
      <c r="D80" s="1000">
        <f t="shared" si="18"/>
        <v>0</v>
      </c>
      <c r="E80" s="704"/>
      <c r="F80" s="1673"/>
      <c r="G80" s="998"/>
      <c r="H80" s="1001" t="str">
        <f t="shared" si="19"/>
        <v>——</v>
      </c>
      <c r="I80" s="3066">
        <v>0.05</v>
      </c>
      <c r="J80" s="999">
        <f t="shared" si="20"/>
        <v>0</v>
      </c>
      <c r="K80" s="999">
        <f t="shared" si="21"/>
        <v>0</v>
      </c>
      <c r="L80" s="999">
        <v>0</v>
      </c>
      <c r="M80" s="999">
        <f t="shared" si="22"/>
        <v>0</v>
      </c>
      <c r="N80" s="999">
        <f t="shared" si="22"/>
        <v>0</v>
      </c>
      <c r="Z80" s="1843"/>
      <c r="AA80" s="1893"/>
      <c r="AG80" s="1056"/>
      <c r="AK80" s="1893"/>
    </row>
    <row r="81" spans="1:37" ht="15">
      <c r="A81" s="1965" t="s">
        <v>2064</v>
      </c>
      <c r="B81" s="1966">
        <f>1+E83</f>
        <v>1</v>
      </c>
      <c r="C81" s="697"/>
      <c r="D81" s="697"/>
      <c r="E81" s="698"/>
      <c r="F81" s="1967"/>
      <c r="G81" s="3"/>
      <c r="H81" s="3"/>
      <c r="I81" s="3"/>
      <c r="J81" s="4"/>
      <c r="K81" s="4"/>
      <c r="L81" s="4"/>
      <c r="M81" s="4"/>
      <c r="N81" s="4"/>
      <c r="Z81" s="1843"/>
      <c r="AA81" s="1893"/>
      <c r="AG81" s="1056"/>
      <c r="AK81" s="1893"/>
    </row>
    <row r="82" spans="1:37" ht="24.75">
      <c r="A82" s="1968" t="s">
        <v>2039</v>
      </c>
      <c r="B82" s="1260"/>
      <c r="C82" s="1260" t="s">
        <v>2041</v>
      </c>
      <c r="D82" s="1260" t="s">
        <v>2042</v>
      </c>
      <c r="E82" s="699" t="s">
        <v>2043</v>
      </c>
      <c r="F82" s="1969" t="s">
        <v>2058</v>
      </c>
      <c r="G82" s="1260" t="s">
        <v>310</v>
      </c>
      <c r="H82" s="1970" t="s">
        <v>2045</v>
      </c>
      <c r="I82" s="1260" t="s">
        <v>2046</v>
      </c>
      <c r="J82" s="530" t="s">
        <v>1716</v>
      </c>
      <c r="K82" s="530" t="s">
        <v>1717</v>
      </c>
      <c r="L82" s="530" t="s">
        <v>1718</v>
      </c>
      <c r="M82" s="530" t="s">
        <v>1719</v>
      </c>
      <c r="N82" s="530" t="s">
        <v>1720</v>
      </c>
      <c r="Z82" s="1843"/>
      <c r="AA82" s="1893"/>
      <c r="AG82" s="1056"/>
      <c r="AK82" s="1893"/>
    </row>
    <row r="83" spans="1:37" ht="24">
      <c r="A83" s="1968" t="s">
        <v>2065</v>
      </c>
      <c r="B83" s="1260">
        <f>估价对象房地状况!G15</f>
        <v>0</v>
      </c>
      <c r="C83" s="1885"/>
      <c r="D83" s="1000">
        <f t="shared" ref="D83:D90" si="23">SUMIF($J$82:$N$82,C83,J83:N83)</f>
        <v>0</v>
      </c>
      <c r="E83" s="700">
        <f>ROUND(SUM(D83:D90),4)</f>
        <v>0</v>
      </c>
      <c r="F83" s="1673" t="str">
        <f>IF(E2="工业",SUMIF(L1:L12,G2,N1:N12),"——")</f>
        <v>——</v>
      </c>
      <c r="G83" s="998"/>
      <c r="H83" s="1001" t="str">
        <f t="shared" ref="H83:H90" si="24">IFERROR(ROUNDDOWN($F$83*I83/2,4),"——")</f>
        <v>——</v>
      </c>
      <c r="I83" s="3065">
        <v>0.26</v>
      </c>
      <c r="J83" s="999">
        <f t="shared" ref="J83:J90" si="25">K83+$G83</f>
        <v>0</v>
      </c>
      <c r="K83" s="999">
        <f t="shared" ref="K83:K90" si="26">$L83+$G83</f>
        <v>0</v>
      </c>
      <c r="L83" s="999">
        <v>0</v>
      </c>
      <c r="M83" s="999">
        <f t="shared" ref="M83:N90" si="27">L83-$G83</f>
        <v>0</v>
      </c>
      <c r="N83" s="999">
        <f t="shared" si="27"/>
        <v>0</v>
      </c>
      <c r="Z83" s="1843"/>
      <c r="AA83" s="1893"/>
      <c r="AG83" s="1056"/>
      <c r="AK83" s="1893"/>
    </row>
    <row r="84" spans="1:37" ht="14.25">
      <c r="A84" s="1968" t="s">
        <v>2048</v>
      </c>
      <c r="B84" s="1260">
        <f>估价对象房地状况!G16</f>
        <v>0</v>
      </c>
      <c r="C84" s="1885"/>
      <c r="D84" s="1000">
        <f t="shared" si="23"/>
        <v>0</v>
      </c>
      <c r="E84" s="703"/>
      <c r="F84" s="1673"/>
      <c r="G84" s="998"/>
      <c r="H84" s="1001" t="str">
        <f t="shared" si="24"/>
        <v>——</v>
      </c>
      <c r="I84" s="3065">
        <v>0.3</v>
      </c>
      <c r="J84" s="999">
        <f t="shared" si="25"/>
        <v>0</v>
      </c>
      <c r="K84" s="999">
        <f t="shared" si="26"/>
        <v>0</v>
      </c>
      <c r="L84" s="999">
        <v>0</v>
      </c>
      <c r="M84" s="999">
        <f t="shared" si="27"/>
        <v>0</v>
      </c>
      <c r="N84" s="999">
        <f t="shared" si="27"/>
        <v>0</v>
      </c>
      <c r="Z84" s="1843"/>
      <c r="AA84" s="1893"/>
      <c r="AG84" s="1056"/>
      <c r="AK84" s="1893"/>
    </row>
    <row r="85" spans="1:37" ht="36">
      <c r="A85" s="3067" t="s">
        <v>3255</v>
      </c>
      <c r="B85" s="1260">
        <f>估价对象房地状况!G17</f>
        <v>0</v>
      </c>
      <c r="C85" s="1885"/>
      <c r="D85" s="1000">
        <f t="shared" si="23"/>
        <v>0</v>
      </c>
      <c r="E85" s="703"/>
      <c r="F85" s="1673"/>
      <c r="G85" s="998"/>
      <c r="H85" s="1001" t="str">
        <f t="shared" si="24"/>
        <v>——</v>
      </c>
      <c r="I85" s="3065">
        <v>0.1</v>
      </c>
      <c r="J85" s="999">
        <f t="shared" si="25"/>
        <v>0</v>
      </c>
      <c r="K85" s="999">
        <f t="shared" si="26"/>
        <v>0</v>
      </c>
      <c r="L85" s="999">
        <v>0</v>
      </c>
      <c r="M85" s="999">
        <f t="shared" si="27"/>
        <v>0</v>
      </c>
      <c r="N85" s="999">
        <f t="shared" si="27"/>
        <v>0</v>
      </c>
      <c r="Z85" s="1843"/>
      <c r="AA85" s="1893"/>
      <c r="AG85" s="1056"/>
      <c r="AK85" s="1893"/>
    </row>
    <row r="86" spans="1:37" ht="14.25">
      <c r="A86" s="1968" t="s">
        <v>2062</v>
      </c>
      <c r="B86" s="1260">
        <f>估价对象房地状况!G22</f>
        <v>0</v>
      </c>
      <c r="C86" s="1885"/>
      <c r="D86" s="1000">
        <f t="shared" si="23"/>
        <v>0</v>
      </c>
      <c r="E86" s="703"/>
      <c r="F86" s="1673"/>
      <c r="G86" s="998"/>
      <c r="H86" s="1001" t="str">
        <f t="shared" si="24"/>
        <v>——</v>
      </c>
      <c r="I86" s="3065">
        <v>0.05</v>
      </c>
      <c r="J86" s="999">
        <f t="shared" si="25"/>
        <v>0</v>
      </c>
      <c r="K86" s="999">
        <f t="shared" si="26"/>
        <v>0</v>
      </c>
      <c r="L86" s="999">
        <v>0</v>
      </c>
      <c r="M86" s="999">
        <f t="shared" si="27"/>
        <v>0</v>
      </c>
      <c r="N86" s="999">
        <f t="shared" si="27"/>
        <v>0</v>
      </c>
      <c r="Z86" s="1843"/>
      <c r="AA86" s="1893"/>
      <c r="AG86" s="1056"/>
      <c r="AK86" s="1893"/>
    </row>
    <row r="87" spans="1:37" ht="24">
      <c r="A87" s="1968" t="s">
        <v>2054</v>
      </c>
      <c r="B87" s="1238">
        <f>估价对象房地状况!G19</f>
        <v>0</v>
      </c>
      <c r="C87" s="1885"/>
      <c r="D87" s="1000">
        <f t="shared" si="23"/>
        <v>0</v>
      </c>
      <c r="E87" s="703"/>
      <c r="F87" s="1673"/>
      <c r="G87" s="998"/>
      <c r="H87" s="1001" t="str">
        <f t="shared" si="24"/>
        <v>——</v>
      </c>
      <c r="I87" s="3065">
        <v>0.06</v>
      </c>
      <c r="J87" s="999">
        <f t="shared" si="25"/>
        <v>0</v>
      </c>
      <c r="K87" s="999">
        <f t="shared" si="26"/>
        <v>0</v>
      </c>
      <c r="L87" s="999">
        <v>0</v>
      </c>
      <c r="M87" s="999">
        <f t="shared" si="27"/>
        <v>0</v>
      </c>
      <c r="N87" s="999">
        <f t="shared" si="27"/>
        <v>0</v>
      </c>
    </row>
    <row r="88" spans="1:37" ht="24">
      <c r="A88" s="1968" t="s">
        <v>2055</v>
      </c>
      <c r="B88" s="1238">
        <f>估价对象房地状况!G20</f>
        <v>0</v>
      </c>
      <c r="C88" s="1885"/>
      <c r="D88" s="1000">
        <f t="shared" si="23"/>
        <v>0</v>
      </c>
      <c r="E88" s="703"/>
      <c r="F88" s="1673"/>
      <c r="G88" s="998"/>
      <c r="H88" s="1001" t="str">
        <f t="shared" si="24"/>
        <v>——</v>
      </c>
      <c r="I88" s="3065">
        <v>0.12</v>
      </c>
      <c r="J88" s="999">
        <f t="shared" si="25"/>
        <v>0</v>
      </c>
      <c r="K88" s="999">
        <f t="shared" si="26"/>
        <v>0</v>
      </c>
      <c r="L88" s="999">
        <v>0</v>
      </c>
      <c r="M88" s="999">
        <f t="shared" si="27"/>
        <v>0</v>
      </c>
      <c r="N88" s="999">
        <f t="shared" si="27"/>
        <v>0</v>
      </c>
    </row>
    <row r="89" spans="1:37" ht="24">
      <c r="A89" s="1968" t="s">
        <v>2052</v>
      </c>
      <c r="B89" s="1973" t="s">
        <v>2066</v>
      </c>
      <c r="C89" s="1885"/>
      <c r="D89" s="1000">
        <f t="shared" si="23"/>
        <v>0</v>
      </c>
      <c r="E89" s="703"/>
      <c r="F89" s="1673"/>
      <c r="G89" s="998"/>
      <c r="H89" s="1001" t="str">
        <f t="shared" si="24"/>
        <v>——</v>
      </c>
      <c r="I89" s="3065">
        <v>0.06</v>
      </c>
      <c r="J89" s="999">
        <f t="shared" si="25"/>
        <v>0</v>
      </c>
      <c r="K89" s="999">
        <f t="shared" si="26"/>
        <v>0</v>
      </c>
      <c r="L89" s="999">
        <v>0</v>
      </c>
      <c r="M89" s="999">
        <f t="shared" si="27"/>
        <v>0</v>
      </c>
      <c r="N89" s="999">
        <f t="shared" si="27"/>
        <v>0</v>
      </c>
    </row>
    <row r="90" spans="1:37" ht="15" thickBot="1">
      <c r="A90" s="1975" t="s">
        <v>2067</v>
      </c>
      <c r="B90" s="1980">
        <f>估价对象房地状况!G18</f>
        <v>0</v>
      </c>
      <c r="C90" s="1885"/>
      <c r="D90" s="1000">
        <f t="shared" si="23"/>
        <v>0</v>
      </c>
      <c r="E90" s="704"/>
      <c r="F90" s="1673"/>
      <c r="G90" s="998"/>
      <c r="H90" s="1001" t="str">
        <f t="shared" si="24"/>
        <v>——</v>
      </c>
      <c r="I90" s="3066">
        <v>0.05</v>
      </c>
      <c r="J90" s="999">
        <f t="shared" si="25"/>
        <v>0</v>
      </c>
      <c r="K90" s="999">
        <f t="shared" si="26"/>
        <v>0</v>
      </c>
      <c r="L90" s="999">
        <v>0</v>
      </c>
      <c r="M90" s="999">
        <f t="shared" si="27"/>
        <v>0</v>
      </c>
      <c r="N90" s="999">
        <f t="shared" si="27"/>
        <v>0</v>
      </c>
    </row>
    <row r="91" spans="1:37" ht="15">
      <c r="A91" s="3075" t="s">
        <v>2598</v>
      </c>
      <c r="B91" s="3076">
        <f>1+E93</f>
        <v>1</v>
      </c>
      <c r="C91" s="3069"/>
      <c r="D91" s="3070"/>
      <c r="E91" s="1673"/>
      <c r="F91" s="1673"/>
      <c r="G91" s="3071"/>
      <c r="H91" s="3072"/>
      <c r="I91" s="3073"/>
      <c r="J91" s="3074"/>
      <c r="K91" s="3074"/>
      <c r="L91" s="3074"/>
      <c r="M91" s="3074"/>
      <c r="N91" s="3074"/>
    </row>
    <row r="92" spans="1:37" ht="24.75">
      <c r="A92" s="3077" t="s">
        <v>2039</v>
      </c>
      <c r="B92" s="2306"/>
      <c r="C92" s="2306" t="s">
        <v>2041</v>
      </c>
      <c r="D92" s="2306" t="s">
        <v>2042</v>
      </c>
      <c r="E92" s="3049" t="s">
        <v>2043</v>
      </c>
      <c r="F92" s="3079" t="s">
        <v>3269</v>
      </c>
      <c r="G92" s="2306" t="s">
        <v>1984</v>
      </c>
      <c r="H92" s="3086" t="s">
        <v>3273</v>
      </c>
      <c r="I92" s="2306" t="s">
        <v>2046</v>
      </c>
      <c r="J92" s="2148" t="s">
        <v>1716</v>
      </c>
      <c r="K92" s="2148" t="s">
        <v>1717</v>
      </c>
      <c r="L92" s="2148" t="s">
        <v>1718</v>
      </c>
      <c r="M92" s="2148" t="s">
        <v>1719</v>
      </c>
      <c r="N92" s="2148" t="s">
        <v>1720</v>
      </c>
    </row>
    <row r="93" spans="1:37" ht="24">
      <c r="A93" s="3067" t="s">
        <v>3258</v>
      </c>
      <c r="B93" s="1219"/>
      <c r="C93" s="1885"/>
      <c r="D93" s="2306">
        <f>SUMIF($J$92:$N$92,C93,J93:N93)</f>
        <v>0</v>
      </c>
      <c r="E93" s="3080">
        <f>ROUND(SUM(D93:D101),4)</f>
        <v>0</v>
      </c>
      <c r="F93" s="1673" t="str">
        <f>IF(E2="公共服务",SUMIF(L1:L12,G2,N1:N12),"——")</f>
        <v>——</v>
      </c>
      <c r="G93" s="3071"/>
      <c r="H93" s="3116" t="str">
        <f>IFERROR(ROUNDDOWN($F$93*I93/2,4),"——")</f>
        <v>——</v>
      </c>
      <c r="I93" s="3065">
        <v>0.25</v>
      </c>
      <c r="J93" s="1910">
        <f t="shared" ref="J93:J101" si="28">K93+$G93</f>
        <v>0</v>
      </c>
      <c r="K93" s="1910">
        <f t="shared" ref="K93:K101" si="29">$L93+$G93</f>
        <v>0</v>
      </c>
      <c r="L93" s="1910">
        <v>0</v>
      </c>
      <c r="M93" s="1910">
        <f t="shared" ref="M93:N101" si="30">L93-$G93</f>
        <v>0</v>
      </c>
      <c r="N93" s="1910">
        <f t="shared" si="30"/>
        <v>0</v>
      </c>
    </row>
    <row r="94" spans="1:37" ht="14.25">
      <c r="A94" s="3077" t="s">
        <v>2048</v>
      </c>
      <c r="B94" s="3068">
        <f>估价对象房地状况!C18</f>
        <v>0</v>
      </c>
      <c r="C94" s="1885"/>
      <c r="D94" s="2306">
        <f t="shared" ref="D94:D101" si="31">SUMIF($J$60:$N$60,C94,J94:N94)</f>
        <v>0</v>
      </c>
      <c r="E94" s="3081"/>
      <c r="F94" s="1673"/>
      <c r="G94" s="3071"/>
      <c r="H94" s="3116" t="str">
        <f>IFERROR(ROUNDDOWN($F$93*I94/2,4),"——")</f>
        <v>——</v>
      </c>
      <c r="I94" s="3065">
        <v>0.26</v>
      </c>
      <c r="J94" s="1910">
        <f t="shared" si="28"/>
        <v>0</v>
      </c>
      <c r="K94" s="1910">
        <f t="shared" si="29"/>
        <v>0</v>
      </c>
      <c r="L94" s="1910">
        <v>0</v>
      </c>
      <c r="M94" s="1910">
        <f t="shared" si="30"/>
        <v>0</v>
      </c>
      <c r="N94" s="1910">
        <f t="shared" si="30"/>
        <v>0</v>
      </c>
    </row>
    <row r="95" spans="1:37" ht="36">
      <c r="A95" s="3067" t="s">
        <v>3255</v>
      </c>
      <c r="B95" s="3068">
        <f>估价对象房地状况!C19</f>
        <v>0</v>
      </c>
      <c r="C95" s="1885"/>
      <c r="D95" s="2306">
        <f t="shared" si="31"/>
        <v>0</v>
      </c>
      <c r="E95" s="3081"/>
      <c r="F95" s="1673"/>
      <c r="G95" s="3071"/>
      <c r="H95" s="3116" t="str">
        <f t="shared" ref="H95:H101" si="32">IFERROR(ROUNDDOWN($F$93*I95/2,4),"——")</f>
        <v>——</v>
      </c>
      <c r="I95" s="3065">
        <v>0.11</v>
      </c>
      <c r="J95" s="1910">
        <f t="shared" si="28"/>
        <v>0</v>
      </c>
      <c r="K95" s="1910">
        <f t="shared" si="29"/>
        <v>0</v>
      </c>
      <c r="L95" s="1910">
        <v>0</v>
      </c>
      <c r="M95" s="1910">
        <f t="shared" si="30"/>
        <v>0</v>
      </c>
      <c r="N95" s="1910">
        <f t="shared" si="30"/>
        <v>0</v>
      </c>
    </row>
    <row r="96" spans="1:37" ht="36.75">
      <c r="A96" s="3077" t="s">
        <v>2049</v>
      </c>
      <c r="B96" s="3083" t="s">
        <v>3271</v>
      </c>
      <c r="C96" s="1885"/>
      <c r="D96" s="2306">
        <f t="shared" si="31"/>
        <v>0</v>
      </c>
      <c r="E96" s="3081"/>
      <c r="F96" s="1673"/>
      <c r="G96" s="3071"/>
      <c r="H96" s="3116" t="str">
        <f t="shared" si="32"/>
        <v>——</v>
      </c>
      <c r="I96" s="3065">
        <v>0.05</v>
      </c>
      <c r="J96" s="1910">
        <f t="shared" si="28"/>
        <v>0</v>
      </c>
      <c r="K96" s="1910">
        <f t="shared" si="29"/>
        <v>0</v>
      </c>
      <c r="L96" s="1910">
        <v>0</v>
      </c>
      <c r="M96" s="1910">
        <f t="shared" si="30"/>
        <v>0</v>
      </c>
      <c r="N96" s="1910">
        <f t="shared" si="30"/>
        <v>0</v>
      </c>
    </row>
    <row r="97" spans="1:14" ht="24">
      <c r="A97" s="3077" t="s">
        <v>2051</v>
      </c>
      <c r="B97" s="3068">
        <f>估价对象房地状况!C24</f>
        <v>0</v>
      </c>
      <c r="C97" s="1885"/>
      <c r="D97" s="2306">
        <f t="shared" si="31"/>
        <v>0</v>
      </c>
      <c r="E97" s="3081"/>
      <c r="F97" s="1673"/>
      <c r="G97" s="3071"/>
      <c r="H97" s="3116" t="str">
        <f t="shared" si="32"/>
        <v>——</v>
      </c>
      <c r="I97" s="3065">
        <v>0.05</v>
      </c>
      <c r="J97" s="1910">
        <f t="shared" si="28"/>
        <v>0</v>
      </c>
      <c r="K97" s="1910">
        <f t="shared" si="29"/>
        <v>0</v>
      </c>
      <c r="L97" s="1910">
        <v>0</v>
      </c>
      <c r="M97" s="1910">
        <f t="shared" si="30"/>
        <v>0</v>
      </c>
      <c r="N97" s="1910">
        <f t="shared" si="30"/>
        <v>0</v>
      </c>
    </row>
    <row r="98" spans="1:14" ht="24">
      <c r="A98" s="3077" t="s">
        <v>2052</v>
      </c>
      <c r="B98" s="3084" t="s">
        <v>3272</v>
      </c>
      <c r="C98" s="1885"/>
      <c r="D98" s="2306">
        <f t="shared" si="31"/>
        <v>0</v>
      </c>
      <c r="E98" s="3081"/>
      <c r="F98" s="1673"/>
      <c r="G98" s="3071"/>
      <c r="H98" s="3116" t="str">
        <f t="shared" si="32"/>
        <v>——</v>
      </c>
      <c r="I98" s="3065">
        <v>0.06</v>
      </c>
      <c r="J98" s="1910">
        <f t="shared" si="28"/>
        <v>0</v>
      </c>
      <c r="K98" s="1910">
        <f t="shared" si="29"/>
        <v>0</v>
      </c>
      <c r="L98" s="1910">
        <v>0</v>
      </c>
      <c r="M98" s="1910">
        <f t="shared" si="30"/>
        <v>0</v>
      </c>
      <c r="N98" s="1910">
        <f t="shared" si="30"/>
        <v>0</v>
      </c>
    </row>
    <row r="99" spans="1:14" ht="24">
      <c r="A99" s="3077" t="s">
        <v>2054</v>
      </c>
      <c r="B99" s="3068">
        <f>估价对象房地状况!C21</f>
        <v>0</v>
      </c>
      <c r="C99" s="1885"/>
      <c r="D99" s="2306">
        <f t="shared" si="31"/>
        <v>0</v>
      </c>
      <c r="E99" s="3081"/>
      <c r="F99" s="1673"/>
      <c r="G99" s="3071"/>
      <c r="H99" s="3116" t="str">
        <f t="shared" si="32"/>
        <v>——</v>
      </c>
      <c r="I99" s="3065">
        <v>0.06</v>
      </c>
      <c r="J99" s="1910">
        <f t="shared" si="28"/>
        <v>0</v>
      </c>
      <c r="K99" s="1910">
        <f t="shared" si="29"/>
        <v>0</v>
      </c>
      <c r="L99" s="1910">
        <v>0</v>
      </c>
      <c r="M99" s="1910">
        <f t="shared" si="30"/>
        <v>0</v>
      </c>
      <c r="N99" s="1910">
        <f t="shared" si="30"/>
        <v>0</v>
      </c>
    </row>
    <row r="100" spans="1:14" ht="24">
      <c r="A100" s="3077" t="s">
        <v>2055</v>
      </c>
      <c r="B100" s="3068">
        <f>估价对象房地状况!C22</f>
        <v>0</v>
      </c>
      <c r="C100" s="1885"/>
      <c r="D100" s="2306">
        <f t="shared" si="31"/>
        <v>0</v>
      </c>
      <c r="E100" s="3081"/>
      <c r="F100" s="1673"/>
      <c r="G100" s="3071"/>
      <c r="H100" s="3116" t="str">
        <f t="shared" si="32"/>
        <v>——</v>
      </c>
      <c r="I100" s="3065">
        <v>0.09</v>
      </c>
      <c r="J100" s="1910">
        <f t="shared" si="28"/>
        <v>0</v>
      </c>
      <c r="K100" s="1910">
        <f t="shared" si="29"/>
        <v>0</v>
      </c>
      <c r="L100" s="1910">
        <v>0</v>
      </c>
      <c r="M100" s="1910">
        <f t="shared" si="30"/>
        <v>0</v>
      </c>
      <c r="N100" s="1910">
        <f t="shared" si="30"/>
        <v>0</v>
      </c>
    </row>
    <row r="101" spans="1:14" ht="24.75" thickBot="1">
      <c r="A101" s="3078" t="s">
        <v>2056</v>
      </c>
      <c r="B101" s="3085">
        <f>估价对象房地状况!C20</f>
        <v>0</v>
      </c>
      <c r="C101" s="1885"/>
      <c r="D101" s="2306">
        <f t="shared" si="31"/>
        <v>0</v>
      </c>
      <c r="E101" s="3082"/>
      <c r="F101" s="1673"/>
      <c r="G101" s="3071"/>
      <c r="H101" s="3116" t="str">
        <f t="shared" si="32"/>
        <v>——</v>
      </c>
      <c r="I101" s="3066">
        <v>7.0000000000000007E-2</v>
      </c>
      <c r="J101" s="1910">
        <f t="shared" si="28"/>
        <v>0</v>
      </c>
      <c r="K101" s="1910">
        <f t="shared" si="29"/>
        <v>0</v>
      </c>
      <c r="L101" s="1910">
        <v>0</v>
      </c>
      <c r="M101" s="1910">
        <f t="shared" si="30"/>
        <v>0</v>
      </c>
      <c r="N101" s="1910">
        <f t="shared" si="30"/>
        <v>0</v>
      </c>
    </row>
    <row r="103" spans="1:14">
      <c r="A103" s="3485" t="s">
        <v>3280</v>
      </c>
      <c r="B103" s="3485"/>
      <c r="C103" s="3485"/>
      <c r="D103" s="3485"/>
      <c r="E103" s="3485"/>
      <c r="F103" s="3485"/>
      <c r="G103" s="3485"/>
      <c r="H103" s="3485"/>
      <c r="I103" s="3485"/>
      <c r="J103" s="3485"/>
      <c r="K103" s="1665"/>
      <c r="L103" s="1665"/>
      <c r="M103" s="1665"/>
      <c r="N103" s="1665"/>
    </row>
    <row r="104" spans="1:14">
      <c r="A104" s="3486" t="s">
        <v>3281</v>
      </c>
      <c r="B104" s="3486" t="s">
        <v>3282</v>
      </c>
      <c r="C104" s="3087" t="s">
        <v>3283</v>
      </c>
      <c r="D104" s="3088"/>
      <c r="E104" s="3088"/>
      <c r="F104" s="3088"/>
      <c r="G104" s="3088"/>
      <c r="H104" s="3088"/>
      <c r="I104" s="3088"/>
      <c r="J104" s="3089"/>
      <c r="K104" s="3090"/>
      <c r="L104" s="3090"/>
      <c r="M104" s="3090"/>
      <c r="N104" s="3090"/>
    </row>
    <row r="105" spans="1:14">
      <c r="A105" s="3486"/>
      <c r="B105" s="3486"/>
      <c r="C105" s="3091" t="s">
        <v>1956</v>
      </c>
      <c r="D105" s="3091" t="s">
        <v>1957</v>
      </c>
      <c r="E105" s="3091" t="s">
        <v>1958</v>
      </c>
      <c r="F105" s="3091" t="s">
        <v>1959</v>
      </c>
      <c r="G105" s="3091" t="s">
        <v>1960</v>
      </c>
      <c r="H105" s="3091" t="s">
        <v>1961</v>
      </c>
      <c r="I105" s="3091" t="s">
        <v>1962</v>
      </c>
      <c r="J105" s="3091" t="s">
        <v>1963</v>
      </c>
      <c r="K105" s="3091" t="s">
        <v>1964</v>
      </c>
      <c r="L105" s="3091" t="s">
        <v>1965</v>
      </c>
      <c r="M105" s="3091" t="s">
        <v>1966</v>
      </c>
      <c r="N105" s="3091" t="s">
        <v>1967</v>
      </c>
    </row>
    <row r="106" spans="1:14">
      <c r="A106" s="3472" t="s">
        <v>3296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3"/>
      <c r="B111" s="3091" t="s">
        <v>3254</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474"/>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475" t="s">
        <v>3297</v>
      </c>
      <c r="B113" s="3475"/>
      <c r="C113" s="3475"/>
      <c r="D113" s="3475"/>
      <c r="E113" s="3475"/>
      <c r="F113" s="3475"/>
      <c r="G113" s="3475"/>
      <c r="H113" s="3475"/>
      <c r="I113" s="3475"/>
      <c r="J113" s="3475"/>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3298</v>
      </c>
      <c r="B116" s="3111">
        <f>G3</f>
        <v>7.67</v>
      </c>
      <c r="C116" s="3096" t="s">
        <v>3299</v>
      </c>
      <c r="D116" s="3097">
        <f>SUMPRODUCT((A118:A122=F116)*(B117:M117=H116)*B118:M122)</f>
        <v>0.90710000000000002</v>
      </c>
      <c r="E116" s="162" t="s">
        <v>1931</v>
      </c>
      <c r="F116" s="3098" t="str">
        <f>E2</f>
        <v>办公</v>
      </c>
      <c r="G116" s="162" t="s">
        <v>1932</v>
      </c>
      <c r="H116" s="3098" t="str">
        <f>G2</f>
        <v>一级</v>
      </c>
      <c r="I116" s="162"/>
      <c r="J116" s="3099"/>
      <c r="K116" s="3099"/>
      <c r="L116" s="3099"/>
      <c r="M116" s="3099"/>
      <c r="N116" s="3094"/>
    </row>
    <row r="117" spans="1:14">
      <c r="A117" s="3100"/>
      <c r="B117" s="3101" t="s">
        <v>3302</v>
      </c>
      <c r="C117" s="3101" t="s">
        <v>3303</v>
      </c>
      <c r="D117" s="3101" t="s">
        <v>3304</v>
      </c>
      <c r="E117" s="3102" t="s">
        <v>3305</v>
      </c>
      <c r="F117" s="3102" t="s">
        <v>3306</v>
      </c>
      <c r="G117" s="3102" t="s">
        <v>3307</v>
      </c>
      <c r="H117" s="3103" t="s">
        <v>3308</v>
      </c>
      <c r="I117" s="3103" t="s">
        <v>3309</v>
      </c>
      <c r="J117" s="3104" t="s">
        <v>3310</v>
      </c>
      <c r="K117" s="3104" t="s">
        <v>3311</v>
      </c>
      <c r="L117" s="3104" t="s">
        <v>3312</v>
      </c>
      <c r="M117" s="3105" t="s">
        <v>3313</v>
      </c>
      <c r="N117" s="3094"/>
    </row>
    <row r="118" spans="1:14">
      <c r="A118" s="3054" t="s">
        <v>1985</v>
      </c>
      <c r="B118" s="3086">
        <f>ROUND(0.9968-0.011*B116,4)</f>
        <v>0.91239999999999999</v>
      </c>
      <c r="C118" s="3086">
        <f>B118</f>
        <v>0.91239999999999999</v>
      </c>
      <c r="D118" s="3086">
        <f>ROUND(0.949-0.014*B116,4)</f>
        <v>0.84160000000000001</v>
      </c>
      <c r="E118" s="3086">
        <f>D118</f>
        <v>0.84160000000000001</v>
      </c>
      <c r="F118" s="3086">
        <f>E118</f>
        <v>0.84160000000000001</v>
      </c>
      <c r="G118" s="3086">
        <f>F118</f>
        <v>0.84160000000000001</v>
      </c>
      <c r="H118" s="3086">
        <f>G118</f>
        <v>0.84160000000000001</v>
      </c>
      <c r="I118" s="3086">
        <f>ROUND(0.8486-0.018*B116,4)</f>
        <v>0.71050000000000002</v>
      </c>
      <c r="J118" s="3086">
        <f t="shared" ref="J118:M122" si="36">I118</f>
        <v>0.71050000000000002</v>
      </c>
      <c r="K118" s="3086">
        <f t="shared" si="36"/>
        <v>0.71050000000000002</v>
      </c>
      <c r="L118" s="3086">
        <f t="shared" si="36"/>
        <v>0.71050000000000002</v>
      </c>
      <c r="M118" s="3106">
        <f t="shared" si="36"/>
        <v>0.71050000000000002</v>
      </c>
      <c r="N118" s="3094"/>
    </row>
    <row r="119" spans="1:14">
      <c r="A119" s="3054" t="s">
        <v>1986</v>
      </c>
      <c r="B119" s="3086">
        <f>ROUND(0.993-0.0112*B116,4)</f>
        <v>0.90710000000000002</v>
      </c>
      <c r="C119" s="3086">
        <f>B119</f>
        <v>0.90710000000000002</v>
      </c>
      <c r="D119" s="3086">
        <f>ROUND(0.9415-0.0142*B116,4)</f>
        <v>0.83260000000000001</v>
      </c>
      <c r="E119" s="3086">
        <f t="shared" ref="E119:H120" si="37">D119</f>
        <v>0.83260000000000001</v>
      </c>
      <c r="F119" s="3086">
        <f t="shared" si="37"/>
        <v>0.83260000000000001</v>
      </c>
      <c r="G119" s="3086">
        <f t="shared" si="37"/>
        <v>0.83260000000000001</v>
      </c>
      <c r="H119" s="3086">
        <f t="shared" si="37"/>
        <v>0.83260000000000001</v>
      </c>
      <c r="I119" s="3086">
        <f>ROUND(0.838-0.0182*B116,4)</f>
        <v>0.69840000000000002</v>
      </c>
      <c r="J119" s="3086">
        <f t="shared" si="36"/>
        <v>0.69840000000000002</v>
      </c>
      <c r="K119" s="3086">
        <f t="shared" si="36"/>
        <v>0.69840000000000002</v>
      </c>
      <c r="L119" s="3086">
        <f t="shared" si="36"/>
        <v>0.69840000000000002</v>
      </c>
      <c r="M119" s="3106">
        <f t="shared" si="36"/>
        <v>0.69840000000000002</v>
      </c>
      <c r="N119" s="3094"/>
    </row>
    <row r="120" spans="1:14">
      <c r="A120" s="3054" t="s">
        <v>1987</v>
      </c>
      <c r="B120" s="3086">
        <f>ROUND(0.9448-0.0115*B116,4)</f>
        <v>0.85660000000000003</v>
      </c>
      <c r="C120" s="3086">
        <f>B120</f>
        <v>0.85660000000000003</v>
      </c>
      <c r="D120" s="3086">
        <f>ROUND(0.937-0.0145*B116,4)</f>
        <v>0.82579999999999998</v>
      </c>
      <c r="E120" s="3086">
        <f t="shared" si="37"/>
        <v>0.82579999999999998</v>
      </c>
      <c r="F120" s="3086">
        <f t="shared" si="37"/>
        <v>0.82579999999999998</v>
      </c>
      <c r="G120" s="3086">
        <f t="shared" si="37"/>
        <v>0.82579999999999998</v>
      </c>
      <c r="H120" s="3086">
        <f t="shared" si="37"/>
        <v>0.82579999999999998</v>
      </c>
      <c r="I120" s="3086">
        <f>ROUND(0.7965-0.0185*B116,4)</f>
        <v>0.65459999999999996</v>
      </c>
      <c r="J120" s="3086">
        <f t="shared" si="36"/>
        <v>0.65459999999999996</v>
      </c>
      <c r="K120" s="3086">
        <f t="shared" si="36"/>
        <v>0.65459999999999996</v>
      </c>
      <c r="L120" s="3086">
        <f t="shared" si="36"/>
        <v>0.65459999999999996</v>
      </c>
      <c r="M120" s="3106">
        <f t="shared" si="36"/>
        <v>0.65459999999999996</v>
      </c>
      <c r="N120" s="3094"/>
    </row>
    <row r="121" spans="1:14" ht="13.5" thickBot="1">
      <c r="A121" s="3107" t="s">
        <v>1988</v>
      </c>
      <c r="B121" s="3108">
        <f>ROUND(0.7836-0.012*B116,4)</f>
        <v>0.69159999999999999</v>
      </c>
      <c r="C121" s="3108">
        <f>B121</f>
        <v>0.69159999999999999</v>
      </c>
      <c r="D121" s="3108">
        <f>ROUND(0.753-0.015*B116,4)</f>
        <v>0.63800000000000001</v>
      </c>
      <c r="E121" s="3108">
        <f>D121</f>
        <v>0.63800000000000001</v>
      </c>
      <c r="F121" s="3108">
        <f>E121</f>
        <v>0.63800000000000001</v>
      </c>
      <c r="G121" s="3108">
        <f>ROUND(0.6612-0.018*B116,4)</f>
        <v>0.52310000000000001</v>
      </c>
      <c r="H121" s="3108">
        <f>G121</f>
        <v>0.52310000000000001</v>
      </c>
      <c r="I121" s="3108">
        <f>ROUND(0.5905-0.019*B116,4)</f>
        <v>0.44479999999999997</v>
      </c>
      <c r="J121" s="3108">
        <f t="shared" si="36"/>
        <v>0.44479999999999997</v>
      </c>
      <c r="K121" s="3108">
        <f t="shared" si="36"/>
        <v>0.44479999999999997</v>
      </c>
      <c r="L121" s="3108">
        <f t="shared" si="36"/>
        <v>0.44479999999999997</v>
      </c>
      <c r="M121" s="3109">
        <f t="shared" si="36"/>
        <v>0.44479999999999997</v>
      </c>
      <c r="N121" s="3094"/>
    </row>
    <row r="122" spans="1:14">
      <c r="A122" s="3110" t="s">
        <v>2598</v>
      </c>
      <c r="B122" s="3086">
        <f>ROUND(0.9404-0.0106*B116,4)</f>
        <v>0.85909999999999997</v>
      </c>
      <c r="C122" s="3086">
        <f>B122</f>
        <v>0.85909999999999997</v>
      </c>
      <c r="D122" s="3086">
        <f>ROUND(0.8955-0.0135*B116,4)</f>
        <v>0.79200000000000004</v>
      </c>
      <c r="E122" s="3086">
        <f t="shared" ref="E122:H122" si="38">D122</f>
        <v>0.79200000000000004</v>
      </c>
      <c r="F122" s="3086">
        <f t="shared" si="38"/>
        <v>0.79200000000000004</v>
      </c>
      <c r="G122" s="3086">
        <f t="shared" si="38"/>
        <v>0.79200000000000004</v>
      </c>
      <c r="H122" s="3086">
        <f t="shared" si="38"/>
        <v>0.79200000000000004</v>
      </c>
      <c r="I122" s="3086">
        <f>ROUND(0.7632-0.0166*B116,4)</f>
        <v>0.63590000000000002</v>
      </c>
      <c r="J122" s="3086">
        <f t="shared" si="36"/>
        <v>0.63590000000000002</v>
      </c>
      <c r="K122" s="3086">
        <f t="shared" si="36"/>
        <v>0.63590000000000002</v>
      </c>
      <c r="L122" s="3086">
        <f t="shared" si="36"/>
        <v>0.63590000000000002</v>
      </c>
      <c r="M122" s="3106">
        <f t="shared" si="36"/>
        <v>0.63590000000000002</v>
      </c>
      <c r="N122" s="30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D5DE6483-8880-4FC7-8A09-13F30579AAF2}">
      <formula1>"500米范围内,500-1000米,1000米以外"</formula1>
    </dataValidation>
    <dataValidation type="list" allowBlank="1" showInputMessage="1" showErrorMessage="1" sqref="C15:D15" xr:uid="{A10A14D2-46A2-4206-9252-AEC6FB035A05}">
      <formula1>"有,无"</formula1>
    </dataValidation>
    <dataValidation type="list" allowBlank="1" showInputMessage="1" showErrorMessage="1" sqref="B25" xr:uid="{9DE22903-0B47-4CAB-B868-CAD343F41BF8}">
      <formula1>"容积率修正,楼层修正"</formula1>
    </dataValidation>
    <dataValidation type="list" allowBlank="1" showInputMessage="1" showErrorMessage="1" sqref="F21" xr:uid="{B3A6D405-48EB-44AC-9B60-87516DFDA2D8}">
      <formula1>"与级别开发程度一致,与级别开发程度不一致"</formula1>
    </dataValidation>
    <dataValidation type="list" allowBlank="1" showInputMessage="1" showErrorMessage="1" sqref="E2" xr:uid="{486681B1-0CC4-47CD-A7E7-0678BD64025A}">
      <formula1>"商业,办公,住宅,工业,公共服务"</formula1>
    </dataValidation>
    <dataValidation type="list" allowBlank="1" showInputMessage="1" showErrorMessage="1" sqref="F3" xr:uid="{DAB63B88-F8BB-4BD0-8365-85847948B217}">
      <formula1>"宗地容积率,估价对象容积率,自定义容积率"</formula1>
    </dataValidation>
    <dataValidation type="list" allowBlank="1" showInputMessage="1" showErrorMessage="1" sqref="C8" xr:uid="{073DB72A-2800-4AFE-B32A-7FB846584897}">
      <formula1>商业街名称</formula1>
    </dataValidation>
    <dataValidation type="list" allowBlank="1" showInputMessage="1" showErrorMessage="1" sqref="E3" xr:uid="{C4C42719-C6F6-4706-841A-82A99D5AAE93}">
      <formula1>二级分类</formula1>
    </dataValidation>
    <dataValidation type="list" allowBlank="1" showInputMessage="1" showErrorMessage="1" sqref="C61:C69 C72:C80 C50:C58 C83:C91 C93:C101" xr:uid="{8CFEC16A-1C66-45E3-A369-2FA2E3765F91}">
      <formula1>五等判定</formula1>
    </dataValidation>
    <dataValidation type="list" allowBlank="1" showInputMessage="1" showErrorMessage="1" sqref="H23" xr:uid="{C24705C0-13D0-4B1C-A9F4-06B4709DCFA5}">
      <formula1>"地价指数,季度增幅（自定义）,按公示增长率计算"</formula1>
    </dataValidation>
    <dataValidation type="list" allowBlank="1" showInputMessage="1" showErrorMessage="1" sqref="H20:O20" xr:uid="{371BD177-5661-4B17-B20A-2CF8FCE8A1A3}">
      <formula1>七通一平</formula1>
    </dataValidation>
    <dataValidation type="list" allowBlank="1" showInputMessage="1" showErrorMessage="1" sqref="J23" xr:uid="{408BBB4C-D3E2-4AE2-96B3-E66DB8C9AAC9}">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2580</v>
      </c>
      <c r="B1" s="2808" t="s">
        <v>2581</v>
      </c>
      <c r="C1" s="2808" t="s">
        <v>2582</v>
      </c>
      <c r="D1" s="2808" t="s">
        <v>2583</v>
      </c>
      <c r="E1" s="2808" t="s">
        <v>2584</v>
      </c>
      <c r="F1" s="2808" t="s">
        <v>2585</v>
      </c>
      <c r="G1" s="2808" t="s">
        <v>2586</v>
      </c>
      <c r="H1" s="2808" t="s">
        <v>2587</v>
      </c>
      <c r="I1" s="2808" t="s">
        <v>2588</v>
      </c>
      <c r="J1" s="2808" t="s">
        <v>2589</v>
      </c>
      <c r="K1" s="2808" t="s">
        <v>2590</v>
      </c>
      <c r="L1" s="2808" t="s">
        <v>2591</v>
      </c>
      <c r="M1" s="2809" t="s">
        <v>2592</v>
      </c>
    </row>
    <row r="2" spans="1:13" ht="19.5" customHeight="1">
      <c r="A2" s="2811" t="s">
        <v>2593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2597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2598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2599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2607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2608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2609</v>
      </c>
      <c r="B18" s="2833"/>
      <c r="C18" s="2834"/>
      <c r="D18" s="2834"/>
      <c r="E18" s="2833"/>
      <c r="F18" s="2834"/>
      <c r="G18" s="2834"/>
    </row>
    <row r="19" spans="1:13" ht="19.5" customHeight="1" thickBot="1">
      <c r="A19" s="2831" t="s">
        <v>2610</v>
      </c>
      <c r="B19" s="2836" t="s">
        <v>2611</v>
      </c>
      <c r="C19" s="2836" t="s">
        <v>2612</v>
      </c>
      <c r="D19" s="2837"/>
      <c r="E19" s="2831" t="s">
        <v>2613</v>
      </c>
      <c r="F19" s="2838"/>
      <c r="G19" s="2838"/>
    </row>
    <row r="20" spans="1:13" ht="19.5" customHeight="1">
      <c r="A20" s="3500" t="s">
        <v>2593</v>
      </c>
      <c r="B20" s="3495" t="s">
        <v>2614</v>
      </c>
      <c r="C20" s="2839" t="s">
        <v>2425</v>
      </c>
      <c r="D20" s="2840"/>
      <c r="E20" s="2841">
        <v>1</v>
      </c>
      <c r="F20" s="2842" t="s">
        <v>2426</v>
      </c>
      <c r="G20" s="2842"/>
    </row>
    <row r="21" spans="1:13" ht="19.5" customHeight="1">
      <c r="A21" s="3501"/>
      <c r="B21" s="3494"/>
      <c r="C21" s="2843" t="s">
        <v>2427</v>
      </c>
      <c r="D21" s="2844"/>
      <c r="E21" s="2845">
        <v>1</v>
      </c>
      <c r="F21" s="2842" t="s">
        <v>2428</v>
      </c>
      <c r="G21" s="2842"/>
    </row>
    <row r="22" spans="1:13" ht="19.5" customHeight="1">
      <c r="A22" s="3501"/>
      <c r="B22" s="3494"/>
      <c r="C22" s="2843" t="s">
        <v>2429</v>
      </c>
      <c r="D22" s="2844"/>
      <c r="E22" s="2845">
        <v>0.9</v>
      </c>
      <c r="F22" s="2842" t="s">
        <v>2430</v>
      </c>
      <c r="G22" s="2842"/>
    </row>
    <row r="23" spans="1:13" ht="19.5" customHeight="1">
      <c r="A23" s="3501"/>
      <c r="B23" s="3494"/>
      <c r="C23" s="2843" t="s">
        <v>2431</v>
      </c>
      <c r="D23" s="2844"/>
      <c r="E23" s="2845">
        <v>0.9</v>
      </c>
      <c r="F23" s="2842" t="s">
        <v>2432</v>
      </c>
      <c r="G23" s="2842"/>
    </row>
    <row r="24" spans="1:13" ht="19.5" customHeight="1">
      <c r="A24" s="3501"/>
      <c r="B24" s="3494"/>
      <c r="C24" s="2843" t="s">
        <v>2433</v>
      </c>
      <c r="D24" s="2844"/>
      <c r="E24" s="2845">
        <v>0.8</v>
      </c>
      <c r="F24" s="2842" t="s">
        <v>2434</v>
      </c>
      <c r="G24" s="2842"/>
    </row>
    <row r="25" spans="1:13" ht="19.5" customHeight="1" thickBot="1">
      <c r="A25" s="3502"/>
      <c r="B25" s="3496"/>
      <c r="C25" s="2846" t="s">
        <v>2435</v>
      </c>
      <c r="D25" s="2847"/>
      <c r="E25" s="2848">
        <v>0.8</v>
      </c>
      <c r="F25" s="2842" t="s">
        <v>2436</v>
      </c>
      <c r="G25" s="2842"/>
    </row>
    <row r="26" spans="1:13" ht="19.5" customHeight="1" thickBot="1">
      <c r="A26" s="2849" t="s">
        <v>2615</v>
      </c>
      <c r="B26" s="2850" t="s">
        <v>2614</v>
      </c>
      <c r="C26" s="2851" t="s">
        <v>2616</v>
      </c>
      <c r="D26" s="2852"/>
      <c r="E26" s="2853">
        <v>1</v>
      </c>
      <c r="F26" s="2842" t="s">
        <v>2437</v>
      </c>
      <c r="G26" s="2842"/>
    </row>
    <row r="27" spans="1:13" ht="19.5" customHeight="1">
      <c r="A27" s="3497" t="s">
        <v>2617</v>
      </c>
      <c r="B27" s="3495" t="s">
        <v>2598</v>
      </c>
      <c r="C27" s="2839" t="s">
        <v>2438</v>
      </c>
      <c r="D27" s="2840"/>
      <c r="E27" s="2841">
        <v>1</v>
      </c>
      <c r="F27" s="2842" t="s">
        <v>2439</v>
      </c>
      <c r="G27" s="2842"/>
    </row>
    <row r="28" spans="1:13" ht="19.5" customHeight="1">
      <c r="A28" s="3498"/>
      <c r="B28" s="3494"/>
      <c r="C28" s="2843" t="s">
        <v>2440</v>
      </c>
      <c r="D28" s="2844"/>
      <c r="E28" s="2845">
        <v>1</v>
      </c>
      <c r="F28" s="2842" t="s">
        <v>2441</v>
      </c>
      <c r="G28" s="2842"/>
    </row>
    <row r="29" spans="1:13" ht="19.5" customHeight="1">
      <c r="A29" s="3498"/>
      <c r="B29" s="3494"/>
      <c r="C29" s="2843" t="s">
        <v>2442</v>
      </c>
      <c r="D29" s="2844"/>
      <c r="E29" s="2845">
        <v>0.8</v>
      </c>
      <c r="F29" s="2842" t="s">
        <v>2443</v>
      </c>
      <c r="G29" s="2842"/>
    </row>
    <row r="30" spans="1:13" ht="19.5" customHeight="1">
      <c r="A30" s="3498"/>
      <c r="B30" s="3494"/>
      <c r="C30" s="2843" t="s">
        <v>2444</v>
      </c>
      <c r="D30" s="2844"/>
      <c r="E30" s="2845">
        <v>0.8</v>
      </c>
      <c r="F30" s="2842" t="s">
        <v>2445</v>
      </c>
      <c r="G30" s="2842"/>
    </row>
    <row r="31" spans="1:13" ht="19.5" customHeight="1">
      <c r="A31" s="3498"/>
      <c r="B31" s="3494"/>
      <c r="C31" s="2843" t="s">
        <v>2446</v>
      </c>
      <c r="D31" s="2844"/>
      <c r="E31" s="2845">
        <v>0.8</v>
      </c>
      <c r="F31" s="2842" t="s">
        <v>2447</v>
      </c>
      <c r="G31" s="2842"/>
    </row>
    <row r="32" spans="1:13" ht="19.5" customHeight="1">
      <c r="A32" s="3498"/>
      <c r="B32" s="3494"/>
      <c r="C32" s="2843" t="s">
        <v>2448</v>
      </c>
      <c r="D32" s="2844"/>
      <c r="E32" s="2845">
        <v>0.7</v>
      </c>
      <c r="F32" s="2842" t="s">
        <v>2449</v>
      </c>
      <c r="G32" s="2842"/>
    </row>
    <row r="33" spans="1:7" ht="19.5" customHeight="1">
      <c r="A33" s="3498"/>
      <c r="B33" s="3494"/>
      <c r="C33" s="2843" t="s">
        <v>2450</v>
      </c>
      <c r="D33" s="2844"/>
      <c r="E33" s="2845">
        <v>0.8</v>
      </c>
      <c r="F33" s="2842" t="s">
        <v>2451</v>
      </c>
      <c r="G33" s="2842"/>
    </row>
    <row r="34" spans="1:7" ht="19.5" customHeight="1">
      <c r="A34" s="3498"/>
      <c r="B34" s="3494"/>
      <c r="C34" s="2843" t="s">
        <v>2452</v>
      </c>
      <c r="D34" s="2844"/>
      <c r="E34" s="2845">
        <v>0.6</v>
      </c>
      <c r="F34" s="2842" t="s">
        <v>2453</v>
      </c>
      <c r="G34" s="2842"/>
    </row>
    <row r="35" spans="1:7" ht="19.5" customHeight="1">
      <c r="A35" s="3498"/>
      <c r="B35" s="3494"/>
      <c r="C35" s="2843" t="s">
        <v>2454</v>
      </c>
      <c r="D35" s="2844"/>
      <c r="E35" s="2845">
        <v>0.2</v>
      </c>
      <c r="F35" s="2842" t="s">
        <v>2455</v>
      </c>
      <c r="G35" s="2842"/>
    </row>
    <row r="36" spans="1:7" ht="19.5" customHeight="1">
      <c r="A36" s="3498"/>
      <c r="B36" s="3494"/>
      <c r="C36" s="2843" t="s">
        <v>2456</v>
      </c>
      <c r="D36" s="2844"/>
      <c r="E36" s="2845">
        <v>0.2</v>
      </c>
      <c r="F36" s="2842" t="s">
        <v>2457</v>
      </c>
      <c r="G36" s="2842"/>
    </row>
    <row r="37" spans="1:7" ht="19.5" customHeight="1">
      <c r="A37" s="3498"/>
      <c r="B37" s="3492" t="s">
        <v>2618</v>
      </c>
      <c r="C37" s="2843" t="s">
        <v>2458</v>
      </c>
      <c r="D37" s="2844"/>
      <c r="E37" s="2845">
        <v>0.6</v>
      </c>
      <c r="F37" s="2842" t="s">
        <v>2459</v>
      </c>
      <c r="G37" s="2842"/>
    </row>
    <row r="38" spans="1:7" ht="19.5" customHeight="1">
      <c r="A38" s="3498"/>
      <c r="B38" s="3494"/>
      <c r="C38" s="2843" t="s">
        <v>2460</v>
      </c>
      <c r="D38" s="2844"/>
      <c r="E38" s="2845">
        <v>0.6</v>
      </c>
      <c r="F38" s="2842" t="s">
        <v>2461</v>
      </c>
      <c r="G38" s="2842"/>
    </row>
    <row r="39" spans="1:7" ht="19.5" customHeight="1" thickBot="1">
      <c r="A39" s="3499"/>
      <c r="B39" s="3496"/>
      <c r="C39" s="2846" t="s">
        <v>2462</v>
      </c>
      <c r="D39" s="2847"/>
      <c r="E39" s="2848">
        <v>0.6</v>
      </c>
      <c r="F39" s="2842" t="s">
        <v>2463</v>
      </c>
      <c r="G39" s="2842"/>
    </row>
    <row r="40" spans="1:7" ht="19.5" customHeight="1" thickBot="1">
      <c r="A40" s="2849" t="s">
        <v>2595</v>
      </c>
      <c r="B40" s="2850" t="s">
        <v>2595</v>
      </c>
      <c r="C40" s="2851" t="s">
        <v>2619</v>
      </c>
      <c r="D40" s="2852"/>
      <c r="E40" s="2853">
        <v>1</v>
      </c>
      <c r="F40" s="2842" t="s">
        <v>2464</v>
      </c>
      <c r="G40" s="2842"/>
    </row>
    <row r="41" spans="1:7" ht="19.5" customHeight="1">
      <c r="A41" s="3500" t="s">
        <v>2596</v>
      </c>
      <c r="B41" s="3495" t="s">
        <v>2620</v>
      </c>
      <c r="C41" s="2839" t="s">
        <v>2465</v>
      </c>
      <c r="D41" s="2840"/>
      <c r="E41" s="2841">
        <v>1</v>
      </c>
      <c r="F41" s="2842" t="s">
        <v>2466</v>
      </c>
      <c r="G41" s="2842"/>
    </row>
    <row r="42" spans="1:7" ht="19.5" customHeight="1">
      <c r="A42" s="3501"/>
      <c r="B42" s="3494"/>
      <c r="C42" s="2843" t="s">
        <v>2467</v>
      </c>
      <c r="D42" s="2844"/>
      <c r="E42" s="2845">
        <v>1</v>
      </c>
      <c r="F42" s="2842" t="s">
        <v>2468</v>
      </c>
      <c r="G42" s="2842"/>
    </row>
    <row r="43" spans="1:7" ht="19.5" customHeight="1">
      <c r="A43" s="3501"/>
      <c r="B43" s="3493"/>
      <c r="C43" s="2843" t="s">
        <v>2469</v>
      </c>
      <c r="D43" s="2844"/>
      <c r="E43" s="2845">
        <v>1.5</v>
      </c>
      <c r="F43" s="2842" t="s">
        <v>2470</v>
      </c>
      <c r="G43" s="2842"/>
    </row>
    <row r="44" spans="1:7" ht="19.5" customHeight="1">
      <c r="A44" s="3501"/>
      <c r="B44" s="2854" t="s">
        <v>2621</v>
      </c>
      <c r="C44" s="2843" t="s">
        <v>2622</v>
      </c>
      <c r="D44" s="2844"/>
      <c r="E44" s="2845">
        <v>2</v>
      </c>
      <c r="F44" s="2842" t="s">
        <v>2471</v>
      </c>
      <c r="G44" s="2842"/>
    </row>
    <row r="45" spans="1:7" ht="19.5" customHeight="1">
      <c r="A45" s="3501"/>
      <c r="B45" s="3492" t="s">
        <v>2623</v>
      </c>
      <c r="C45" s="2843" t="s">
        <v>2472</v>
      </c>
      <c r="D45" s="2844"/>
      <c r="E45" s="2845">
        <v>1</v>
      </c>
      <c r="F45" s="2842" t="s">
        <v>2473</v>
      </c>
      <c r="G45" s="2842"/>
    </row>
    <row r="46" spans="1:7" ht="19.5" customHeight="1">
      <c r="A46" s="3501"/>
      <c r="B46" s="3494"/>
      <c r="C46" s="2843" t="s">
        <v>2474</v>
      </c>
      <c r="D46" s="2844"/>
      <c r="E46" s="2845">
        <v>1</v>
      </c>
      <c r="F46" s="2842" t="s">
        <v>2475</v>
      </c>
      <c r="G46" s="2842"/>
    </row>
    <row r="47" spans="1:7" ht="19.5" customHeight="1">
      <c r="A47" s="3501"/>
      <c r="B47" s="3494"/>
      <c r="C47" s="2843" t="s">
        <v>2476</v>
      </c>
      <c r="D47" s="2844"/>
      <c r="E47" s="2845">
        <v>1</v>
      </c>
      <c r="F47" s="2842" t="s">
        <v>2477</v>
      </c>
      <c r="G47" s="2842"/>
    </row>
    <row r="48" spans="1:7" ht="19.5" customHeight="1">
      <c r="A48" s="3501"/>
      <c r="B48" s="3494"/>
      <c r="C48" s="2843" t="s">
        <v>2478</v>
      </c>
      <c r="D48" s="2844"/>
      <c r="E48" s="2845">
        <v>1</v>
      </c>
      <c r="F48" s="2842" t="s">
        <v>2479</v>
      </c>
      <c r="G48" s="2842"/>
    </row>
    <row r="49" spans="1:7" ht="19.5" customHeight="1">
      <c r="A49" s="3501"/>
      <c r="B49" s="3494"/>
      <c r="C49" s="2843" t="s">
        <v>2480</v>
      </c>
      <c r="D49" s="2844"/>
      <c r="E49" s="2845">
        <v>1</v>
      </c>
      <c r="F49" s="2842" t="s">
        <v>2481</v>
      </c>
      <c r="G49" s="2842"/>
    </row>
    <row r="50" spans="1:7" ht="19.5" customHeight="1">
      <c r="A50" s="3501"/>
      <c r="B50" s="3494"/>
      <c r="C50" s="2843" t="s">
        <v>2482</v>
      </c>
      <c r="D50" s="2844"/>
      <c r="E50" s="2845">
        <v>1</v>
      </c>
      <c r="F50" s="2842" t="s">
        <v>2483</v>
      </c>
      <c r="G50" s="2842"/>
    </row>
    <row r="51" spans="1:7" ht="19.5" customHeight="1" thickBot="1">
      <c r="A51" s="3502"/>
      <c r="B51" s="3496"/>
      <c r="C51" s="2846" t="s">
        <v>2484</v>
      </c>
      <c r="D51" s="2847"/>
      <c r="E51" s="2848">
        <v>1</v>
      </c>
      <c r="F51" s="2842" t="s">
        <v>2485</v>
      </c>
      <c r="G51" s="2842"/>
    </row>
    <row r="52" spans="1:7" ht="19.5" customHeight="1">
      <c r="A52" s="2855"/>
      <c r="B52" s="2855"/>
      <c r="C52" s="2855"/>
      <c r="D52" s="2855"/>
      <c r="E52" s="2855"/>
      <c r="F52" s="2855"/>
      <c r="G52" s="2855"/>
    </row>
    <row r="54" spans="1:7" ht="19.5" customHeight="1">
      <c r="A54" s="2856"/>
      <c r="B54" s="2828" t="s">
        <v>2624</v>
      </c>
      <c r="C54" s="2828" t="s">
        <v>2624</v>
      </c>
      <c r="D54" s="2828" t="s">
        <v>2624</v>
      </c>
      <c r="E54" s="2831" t="s">
        <v>2624</v>
      </c>
      <c r="F54" s="2831" t="s">
        <v>2625</v>
      </c>
      <c r="G54" s="2831" t="s">
        <v>2626</v>
      </c>
    </row>
    <row r="55" spans="1:7" ht="19.5" customHeight="1">
      <c r="A55" s="2857"/>
      <c r="B55" s="2831" t="s">
        <v>2593</v>
      </c>
      <c r="C55" s="2831" t="s">
        <v>2593</v>
      </c>
      <c r="D55" s="2831" t="s">
        <v>2593</v>
      </c>
      <c r="E55" s="2828" t="s">
        <v>2594</v>
      </c>
      <c r="F55" s="2828" t="s">
        <v>2596</v>
      </c>
      <c r="G55" s="2828" t="s">
        <v>2627</v>
      </c>
    </row>
    <row r="56" spans="1:7" ht="19.5" customHeight="1">
      <c r="A56" s="2858"/>
      <c r="B56" s="2828">
        <v>1</v>
      </c>
      <c r="C56" s="2828">
        <v>2</v>
      </c>
      <c r="D56" s="2828">
        <v>3</v>
      </c>
      <c r="E56" s="2859" t="s">
        <v>2628</v>
      </c>
      <c r="F56" s="2859" t="s">
        <v>2628</v>
      </c>
      <c r="G56" s="2859" t="s">
        <v>2628</v>
      </c>
    </row>
    <row r="57" spans="1:7" ht="19.5" customHeight="1">
      <c r="A57" s="2860" t="s">
        <v>2581</v>
      </c>
      <c r="B57" s="2828">
        <v>0.7</v>
      </c>
      <c r="C57" s="2828">
        <v>0.4</v>
      </c>
      <c r="D57" s="2828">
        <v>0.3</v>
      </c>
      <c r="E57" s="2859">
        <v>0.3</v>
      </c>
      <c r="F57" s="2828">
        <v>0.3</v>
      </c>
      <c r="G57" s="2828">
        <v>0.2</v>
      </c>
    </row>
    <row r="58" spans="1:7" ht="19.5" customHeight="1">
      <c r="A58" s="2860" t="s">
        <v>2582</v>
      </c>
      <c r="B58" s="2828">
        <v>0.7</v>
      </c>
      <c r="C58" s="2828">
        <v>0.4</v>
      </c>
      <c r="D58" s="2828">
        <v>0.3</v>
      </c>
      <c r="E58" s="2828">
        <v>0.3</v>
      </c>
      <c r="F58" s="2828">
        <v>0.3</v>
      </c>
      <c r="G58" s="2828">
        <v>0.2</v>
      </c>
    </row>
    <row r="59" spans="1:7" ht="19.5" customHeight="1">
      <c r="A59" s="2860" t="s">
        <v>2583</v>
      </c>
      <c r="B59" s="2828">
        <v>0.6</v>
      </c>
      <c r="C59" s="2828">
        <v>0.3</v>
      </c>
      <c r="D59" s="2828">
        <v>0.25</v>
      </c>
      <c r="E59" s="2828">
        <v>0.25</v>
      </c>
      <c r="F59" s="2828">
        <v>0.25</v>
      </c>
      <c r="G59" s="2828">
        <v>0.15</v>
      </c>
    </row>
    <row r="60" spans="1:7" ht="19.5" customHeight="1">
      <c r="A60" s="2860" t="s">
        <v>2584</v>
      </c>
      <c r="B60" s="2828">
        <v>0.6</v>
      </c>
      <c r="C60" s="2828">
        <v>0.3</v>
      </c>
      <c r="D60" s="2828">
        <v>0.25</v>
      </c>
      <c r="E60" s="2828">
        <v>0.25</v>
      </c>
      <c r="F60" s="2828">
        <v>0.25</v>
      </c>
      <c r="G60" s="2828">
        <v>0.15</v>
      </c>
    </row>
    <row r="61" spans="1:7" ht="19.5" customHeight="1">
      <c r="A61" s="2860" t="s">
        <v>2585</v>
      </c>
      <c r="B61" s="2828">
        <v>0.6</v>
      </c>
      <c r="C61" s="2828">
        <v>0.3</v>
      </c>
      <c r="D61" s="2828">
        <v>0.25</v>
      </c>
      <c r="E61" s="2828">
        <v>0.25</v>
      </c>
      <c r="F61" s="2828">
        <v>0.25</v>
      </c>
      <c r="G61" s="2828">
        <v>0.15</v>
      </c>
    </row>
    <row r="62" spans="1:7" ht="19.5" customHeight="1">
      <c r="A62" s="2860" t="s">
        <v>2586</v>
      </c>
      <c r="B62" s="2828">
        <v>0.6</v>
      </c>
      <c r="C62" s="2828">
        <v>0.3</v>
      </c>
      <c r="D62" s="2828">
        <v>0.25</v>
      </c>
      <c r="E62" s="2828">
        <v>0.25</v>
      </c>
      <c r="F62" s="2828">
        <v>0.25</v>
      </c>
      <c r="G62" s="2828">
        <v>0.15</v>
      </c>
    </row>
    <row r="63" spans="1:7" ht="19.5" customHeight="1">
      <c r="A63" s="2860" t="s">
        <v>2587</v>
      </c>
      <c r="B63" s="2828">
        <v>0.6</v>
      </c>
      <c r="C63" s="2828">
        <v>0.3</v>
      </c>
      <c r="D63" s="2828">
        <v>0.25</v>
      </c>
      <c r="E63" s="2828">
        <v>0.25</v>
      </c>
      <c r="F63" s="2828">
        <v>0.25</v>
      </c>
      <c r="G63" s="2828">
        <v>0.15</v>
      </c>
    </row>
    <row r="64" spans="1:7" ht="19.5" customHeight="1">
      <c r="A64" s="2860" t="s">
        <v>2588</v>
      </c>
      <c r="B64" s="2828">
        <v>0.5</v>
      </c>
      <c r="C64" s="2828">
        <v>0.2</v>
      </c>
      <c r="D64" s="2828">
        <v>0.2</v>
      </c>
      <c r="E64" s="2828">
        <v>0.2</v>
      </c>
      <c r="F64" s="2828">
        <v>0.2</v>
      </c>
      <c r="G64" s="2828">
        <v>0.1</v>
      </c>
    </row>
    <row r="65" spans="1:7" ht="19.5" customHeight="1">
      <c r="A65" s="2860" t="s">
        <v>2589</v>
      </c>
      <c r="B65" s="2828">
        <v>0.5</v>
      </c>
      <c r="C65" s="2828">
        <v>0.2</v>
      </c>
      <c r="D65" s="2828">
        <v>0.2</v>
      </c>
      <c r="E65" s="2828">
        <v>0.2</v>
      </c>
      <c r="F65" s="2828">
        <v>0.2</v>
      </c>
      <c r="G65" s="2828">
        <v>0.1</v>
      </c>
    </row>
    <row r="66" spans="1:7" ht="19.5" customHeight="1">
      <c r="A66" s="2860" t="s">
        <v>2590</v>
      </c>
      <c r="B66" s="2828">
        <v>0.5</v>
      </c>
      <c r="C66" s="2828">
        <v>0.2</v>
      </c>
      <c r="D66" s="2828">
        <v>0.2</v>
      </c>
      <c r="E66" s="2828">
        <v>0.2</v>
      </c>
      <c r="F66" s="2828">
        <v>0.2</v>
      </c>
      <c r="G66" s="2828">
        <v>0.1</v>
      </c>
    </row>
    <row r="67" spans="1:7" ht="19.5" customHeight="1">
      <c r="A67" s="2860" t="s">
        <v>2591</v>
      </c>
      <c r="B67" s="2828">
        <v>0.5</v>
      </c>
      <c r="C67" s="2828">
        <v>0.2</v>
      </c>
      <c r="D67" s="2828">
        <v>0.2</v>
      </c>
      <c r="E67" s="2828">
        <v>0.2</v>
      </c>
      <c r="F67" s="2828">
        <v>0.2</v>
      </c>
      <c r="G67" s="2828">
        <v>0.1</v>
      </c>
    </row>
    <row r="68" spans="1:7" ht="19.5" customHeight="1">
      <c r="A68" s="2860" t="s">
        <v>2592</v>
      </c>
      <c r="B68" s="2828">
        <v>0.5</v>
      </c>
      <c r="C68" s="2828">
        <v>0.2</v>
      </c>
      <c r="D68" s="2828">
        <v>0.2</v>
      </c>
      <c r="E68" s="2828">
        <v>0.2</v>
      </c>
      <c r="F68" s="2828">
        <v>0.2</v>
      </c>
      <c r="G68" s="2828">
        <v>0.1</v>
      </c>
    </row>
    <row r="70" spans="1:7" ht="19.5" customHeight="1">
      <c r="A70" s="2842"/>
      <c r="B70" s="2861"/>
      <c r="C70" s="2861"/>
      <c r="D70" s="2861" t="s">
        <v>2629</v>
      </c>
      <c r="E70" s="2861"/>
      <c r="F70" s="2861"/>
    </row>
    <row r="71" spans="1:7" ht="19.5" customHeight="1">
      <c r="A71" s="2854" t="s">
        <v>2630</v>
      </c>
      <c r="B71" s="2854" t="s">
        <v>2631</v>
      </c>
      <c r="C71" s="2854" t="s">
        <v>2632</v>
      </c>
      <c r="D71" s="2854" t="s">
        <v>2633</v>
      </c>
      <c r="E71" s="2854" t="s">
        <v>2634</v>
      </c>
      <c r="F71" s="2854" t="s">
        <v>2635</v>
      </c>
    </row>
    <row r="72" spans="1:7" ht="13.5">
      <c r="A72" s="2854"/>
      <c r="B72" s="2854"/>
      <c r="C72" s="2854" t="s">
        <v>2636</v>
      </c>
      <c r="D72" s="2854"/>
      <c r="E72" s="2854" t="s">
        <v>2607</v>
      </c>
      <c r="F72" s="2854" t="s">
        <v>2607</v>
      </c>
    </row>
    <row r="73" spans="1:7" ht="13.5">
      <c r="A73" s="2854">
        <v>1</v>
      </c>
      <c r="B73" s="3492" t="s">
        <v>2637</v>
      </c>
      <c r="C73" s="2828" t="s">
        <v>2638</v>
      </c>
      <c r="D73" s="2828" t="s">
        <v>2639</v>
      </c>
      <c r="E73" s="2854">
        <v>0.2</v>
      </c>
      <c r="F73" s="2854">
        <v>25</v>
      </c>
    </row>
    <row r="74" spans="1:7" ht="24">
      <c r="A74" s="2854">
        <v>2</v>
      </c>
      <c r="B74" s="3494"/>
      <c r="C74" s="2828" t="s">
        <v>2640</v>
      </c>
      <c r="D74" s="2828" t="s">
        <v>2641</v>
      </c>
      <c r="E74" s="2854">
        <v>0.2</v>
      </c>
      <c r="F74" s="2854">
        <v>25</v>
      </c>
    </row>
    <row r="75" spans="1:7" ht="24">
      <c r="A75" s="2854">
        <v>3</v>
      </c>
      <c r="B75" s="3494"/>
      <c r="C75" s="2828" t="s">
        <v>2642</v>
      </c>
      <c r="D75" s="2828" t="s">
        <v>2643</v>
      </c>
      <c r="E75" s="2854">
        <v>0.2</v>
      </c>
      <c r="F75" s="2854">
        <v>25</v>
      </c>
    </row>
    <row r="76" spans="1:7" ht="13.5">
      <c r="A76" s="2854">
        <v>4</v>
      </c>
      <c r="B76" s="3494"/>
      <c r="C76" s="2828" t="s">
        <v>2644</v>
      </c>
      <c r="D76" s="2828" t="s">
        <v>2645</v>
      </c>
      <c r="E76" s="2854">
        <v>0.15</v>
      </c>
      <c r="F76" s="2854">
        <v>20</v>
      </c>
    </row>
    <row r="77" spans="1:7" ht="24">
      <c r="A77" s="2854">
        <v>5</v>
      </c>
      <c r="B77" s="3494"/>
      <c r="C77" s="2828" t="s">
        <v>2646</v>
      </c>
      <c r="D77" s="2828" t="s">
        <v>2647</v>
      </c>
      <c r="E77" s="2854">
        <v>0.15</v>
      </c>
      <c r="F77" s="2854">
        <v>20</v>
      </c>
    </row>
    <row r="78" spans="1:7" ht="24">
      <c r="A78" s="2854">
        <v>6</v>
      </c>
      <c r="B78" s="3494"/>
      <c r="C78" s="2828" t="s">
        <v>2648</v>
      </c>
      <c r="D78" s="2828" t="s">
        <v>2649</v>
      </c>
      <c r="E78" s="2854">
        <v>0.15</v>
      </c>
      <c r="F78" s="2854">
        <v>20</v>
      </c>
    </row>
    <row r="79" spans="1:7" ht="24">
      <c r="A79" s="2854">
        <v>7</v>
      </c>
      <c r="B79" s="3494"/>
      <c r="C79" s="2828" t="s">
        <v>2650</v>
      </c>
      <c r="D79" s="2828" t="s">
        <v>2651</v>
      </c>
      <c r="E79" s="2854">
        <v>0.15</v>
      </c>
      <c r="F79" s="2854">
        <v>20</v>
      </c>
    </row>
    <row r="80" spans="1:7" ht="24">
      <c r="A80" s="2854">
        <v>8</v>
      </c>
      <c r="B80" s="3494"/>
      <c r="C80" s="2828" t="s">
        <v>2652</v>
      </c>
      <c r="D80" s="2828" t="s">
        <v>2653</v>
      </c>
      <c r="E80" s="2854">
        <v>0.1</v>
      </c>
      <c r="F80" s="2854">
        <v>15</v>
      </c>
    </row>
    <row r="81" spans="1:6" ht="24">
      <c r="A81" s="2854">
        <v>9</v>
      </c>
      <c r="B81" s="3494"/>
      <c r="C81" s="2828" t="s">
        <v>2654</v>
      </c>
      <c r="D81" s="2828" t="s">
        <v>2655</v>
      </c>
      <c r="E81" s="2854">
        <v>0.1</v>
      </c>
      <c r="F81" s="2854">
        <v>15</v>
      </c>
    </row>
    <row r="82" spans="1:6" ht="24">
      <c r="A82" s="2854">
        <v>10</v>
      </c>
      <c r="B82" s="3494"/>
      <c r="C82" s="2828" t="s">
        <v>2656</v>
      </c>
      <c r="D82" s="2828" t="s">
        <v>2657</v>
      </c>
      <c r="E82" s="2854">
        <v>0.1</v>
      </c>
      <c r="F82" s="2854">
        <v>15</v>
      </c>
    </row>
    <row r="83" spans="1:6" ht="24">
      <c r="A83" s="2854">
        <v>11</v>
      </c>
      <c r="B83" s="3494"/>
      <c r="C83" s="2828" t="s">
        <v>2658</v>
      </c>
      <c r="D83" s="2828" t="s">
        <v>2659</v>
      </c>
      <c r="E83" s="2854">
        <v>0.1</v>
      </c>
      <c r="F83" s="2854">
        <v>15</v>
      </c>
    </row>
    <row r="84" spans="1:6" ht="24">
      <c r="A84" s="2854">
        <v>12</v>
      </c>
      <c r="B84" s="3494"/>
      <c r="C84" s="2828" t="s">
        <v>2660</v>
      </c>
      <c r="D84" s="2828" t="s">
        <v>2661</v>
      </c>
      <c r="E84" s="2854">
        <v>0.1</v>
      </c>
      <c r="F84" s="2854">
        <v>15</v>
      </c>
    </row>
    <row r="85" spans="1:6" ht="13.5">
      <c r="A85" s="2854">
        <v>13</v>
      </c>
      <c r="B85" s="3494"/>
      <c r="C85" s="2828" t="s">
        <v>2662</v>
      </c>
      <c r="D85" s="2828" t="s">
        <v>2663</v>
      </c>
      <c r="E85" s="2854">
        <v>0.1</v>
      </c>
      <c r="F85" s="2854">
        <v>15</v>
      </c>
    </row>
    <row r="86" spans="1:6" ht="13.5">
      <c r="A86" s="2854">
        <v>14</v>
      </c>
      <c r="B86" s="3494"/>
      <c r="C86" s="2828" t="s">
        <v>2664</v>
      </c>
      <c r="D86" s="2828" t="s">
        <v>2665</v>
      </c>
      <c r="E86" s="2854">
        <v>0.1</v>
      </c>
      <c r="F86" s="2854">
        <v>15</v>
      </c>
    </row>
    <row r="87" spans="1:6" ht="13.5">
      <c r="A87" s="2854">
        <v>15</v>
      </c>
      <c r="B87" s="3494"/>
      <c r="C87" s="2828" t="s">
        <v>2666</v>
      </c>
      <c r="D87" s="2828" t="s">
        <v>2667</v>
      </c>
      <c r="E87" s="2854">
        <v>0.1</v>
      </c>
      <c r="F87" s="2854">
        <v>15</v>
      </c>
    </row>
    <row r="88" spans="1:6" ht="24">
      <c r="A88" s="2854">
        <v>16</v>
      </c>
      <c r="B88" s="3494"/>
      <c r="C88" s="2828" t="s">
        <v>2668</v>
      </c>
      <c r="D88" s="2828" t="s">
        <v>2669</v>
      </c>
      <c r="E88" s="2854">
        <v>0.1</v>
      </c>
      <c r="F88" s="2854">
        <v>15</v>
      </c>
    </row>
    <row r="89" spans="1:6" ht="24">
      <c r="A89" s="2854">
        <v>17</v>
      </c>
      <c r="B89" s="3493"/>
      <c r="C89" s="2828" t="s">
        <v>2670</v>
      </c>
      <c r="D89" s="2828" t="s">
        <v>2671</v>
      </c>
      <c r="E89" s="2854">
        <v>0.1</v>
      </c>
      <c r="F89" s="2854">
        <v>15</v>
      </c>
    </row>
    <row r="90" spans="1:6" ht="13.5">
      <c r="A90" s="2854">
        <v>18</v>
      </c>
      <c r="B90" s="3492" t="s">
        <v>2672</v>
      </c>
      <c r="C90" s="2828" t="s">
        <v>2673</v>
      </c>
      <c r="D90" s="2828" t="s">
        <v>2674</v>
      </c>
      <c r="E90" s="2854">
        <v>0.2</v>
      </c>
      <c r="F90" s="2854">
        <v>25</v>
      </c>
    </row>
    <row r="91" spans="1:6" ht="24">
      <c r="A91" s="2854">
        <v>19</v>
      </c>
      <c r="B91" s="3494"/>
      <c r="C91" s="2828" t="s">
        <v>2675</v>
      </c>
      <c r="D91" s="2828" t="s">
        <v>2676</v>
      </c>
      <c r="E91" s="2854">
        <v>0.2</v>
      </c>
      <c r="F91" s="2854">
        <v>25</v>
      </c>
    </row>
    <row r="92" spans="1:6" ht="13.5">
      <c r="A92" s="2854">
        <v>20</v>
      </c>
      <c r="B92" s="3494"/>
      <c r="C92" s="2828" t="s">
        <v>2677</v>
      </c>
      <c r="D92" s="2828" t="s">
        <v>2678</v>
      </c>
      <c r="E92" s="2854">
        <v>0.15</v>
      </c>
      <c r="F92" s="2854">
        <v>20</v>
      </c>
    </row>
    <row r="93" spans="1:6" ht="13.5">
      <c r="A93" s="2854">
        <v>21</v>
      </c>
      <c r="B93" s="3494"/>
      <c r="C93" s="2828" t="s">
        <v>2679</v>
      </c>
      <c r="D93" s="2828" t="s">
        <v>2680</v>
      </c>
      <c r="E93" s="2854">
        <v>0.15</v>
      </c>
      <c r="F93" s="2854">
        <v>20</v>
      </c>
    </row>
    <row r="94" spans="1:6" ht="13.5">
      <c r="A94" s="2854">
        <v>22</v>
      </c>
      <c r="B94" s="3494"/>
      <c r="C94" s="2828" t="s">
        <v>2681</v>
      </c>
      <c r="D94" s="2828" t="s">
        <v>2682</v>
      </c>
      <c r="E94" s="2854">
        <v>0.15</v>
      </c>
      <c r="F94" s="2854">
        <v>20</v>
      </c>
    </row>
    <row r="95" spans="1:6" ht="36">
      <c r="A95" s="2854">
        <v>23</v>
      </c>
      <c r="B95" s="3494"/>
      <c r="C95" s="2828" t="s">
        <v>2683</v>
      </c>
      <c r="D95" s="2828" t="s">
        <v>2684</v>
      </c>
      <c r="E95" s="2854">
        <v>0.15</v>
      </c>
      <c r="F95" s="2854">
        <v>20</v>
      </c>
    </row>
    <row r="96" spans="1:6" ht="13.5">
      <c r="A96" s="2854">
        <v>24</v>
      </c>
      <c r="B96" s="3494"/>
      <c r="C96" s="2828" t="s">
        <v>2685</v>
      </c>
      <c r="D96" s="2828" t="s">
        <v>2686</v>
      </c>
      <c r="E96" s="2854">
        <v>0.1</v>
      </c>
      <c r="F96" s="2854">
        <v>15</v>
      </c>
    </row>
    <row r="97" spans="1:6" ht="13.5">
      <c r="A97" s="2854">
        <v>25</v>
      </c>
      <c r="B97" s="3494"/>
      <c r="C97" s="2828" t="s">
        <v>2687</v>
      </c>
      <c r="D97" s="2828" t="s">
        <v>2688</v>
      </c>
      <c r="E97" s="2854">
        <v>0.1</v>
      </c>
      <c r="F97" s="2854">
        <v>15</v>
      </c>
    </row>
    <row r="98" spans="1:6" ht="24">
      <c r="A98" s="2854">
        <v>26</v>
      </c>
      <c r="B98" s="3494"/>
      <c r="C98" s="2828" t="s">
        <v>2689</v>
      </c>
      <c r="D98" s="2828" t="s">
        <v>2690</v>
      </c>
      <c r="E98" s="2854">
        <v>0.1</v>
      </c>
      <c r="F98" s="2854">
        <v>15</v>
      </c>
    </row>
    <row r="99" spans="1:6" ht="24">
      <c r="A99" s="2854">
        <v>27</v>
      </c>
      <c r="B99" s="3494"/>
      <c r="C99" s="2828" t="s">
        <v>2691</v>
      </c>
      <c r="D99" s="2828" t="s">
        <v>2692</v>
      </c>
      <c r="E99" s="2854">
        <v>0.1</v>
      </c>
      <c r="F99" s="2854">
        <v>15</v>
      </c>
    </row>
    <row r="100" spans="1:6" ht="13.5">
      <c r="A100" s="2854">
        <v>28</v>
      </c>
      <c r="B100" s="3494"/>
      <c r="C100" s="2828" t="s">
        <v>2693</v>
      </c>
      <c r="D100" s="2828" t="s">
        <v>2694</v>
      </c>
      <c r="E100" s="2854">
        <v>0.1</v>
      </c>
      <c r="F100" s="2854">
        <v>15</v>
      </c>
    </row>
    <row r="101" spans="1:6" ht="13.5">
      <c r="A101" s="2854">
        <v>29</v>
      </c>
      <c r="B101" s="3494"/>
      <c r="C101" s="2828" t="s">
        <v>2695</v>
      </c>
      <c r="D101" s="2828" t="s">
        <v>2696</v>
      </c>
      <c r="E101" s="2854">
        <v>0.1</v>
      </c>
      <c r="F101" s="2854">
        <v>15</v>
      </c>
    </row>
    <row r="102" spans="1:6" ht="13.5">
      <c r="A102" s="2854">
        <v>30</v>
      </c>
      <c r="B102" s="3494"/>
      <c r="C102" s="2828" t="s">
        <v>2697</v>
      </c>
      <c r="D102" s="2828" t="s">
        <v>2698</v>
      </c>
      <c r="E102" s="2854">
        <v>0.1</v>
      </c>
      <c r="F102" s="2854">
        <v>15</v>
      </c>
    </row>
    <row r="103" spans="1:6" ht="24">
      <c r="A103" s="2854">
        <v>31</v>
      </c>
      <c r="B103" s="3494"/>
      <c r="C103" s="2828" t="s">
        <v>2699</v>
      </c>
      <c r="D103" s="2828" t="s">
        <v>2700</v>
      </c>
      <c r="E103" s="2854">
        <v>0.1</v>
      </c>
      <c r="F103" s="2854">
        <v>15</v>
      </c>
    </row>
    <row r="104" spans="1:6" ht="24">
      <c r="A104" s="2854">
        <v>32</v>
      </c>
      <c r="B104" s="3494"/>
      <c r="C104" s="2828" t="s">
        <v>2701</v>
      </c>
      <c r="D104" s="2828" t="s">
        <v>2702</v>
      </c>
      <c r="E104" s="2854">
        <v>0.1</v>
      </c>
      <c r="F104" s="2854">
        <v>15</v>
      </c>
    </row>
    <row r="105" spans="1:6" ht="24">
      <c r="A105" s="2854">
        <v>33</v>
      </c>
      <c r="B105" s="3494"/>
      <c r="C105" s="2828" t="s">
        <v>2703</v>
      </c>
      <c r="D105" s="2828" t="s">
        <v>2704</v>
      </c>
      <c r="E105" s="2854">
        <v>0.1</v>
      </c>
      <c r="F105" s="2854">
        <v>15</v>
      </c>
    </row>
    <row r="106" spans="1:6" ht="24">
      <c r="A106" s="2854">
        <v>34</v>
      </c>
      <c r="B106" s="3493"/>
      <c r="C106" s="2828" t="s">
        <v>2705</v>
      </c>
      <c r="D106" s="2828" t="s">
        <v>2706</v>
      </c>
      <c r="E106" s="2854">
        <v>0.1</v>
      </c>
      <c r="F106" s="2854">
        <v>15</v>
      </c>
    </row>
    <row r="107" spans="1:6" ht="24">
      <c r="A107" s="2854">
        <v>35</v>
      </c>
      <c r="B107" s="3492" t="s">
        <v>2707</v>
      </c>
      <c r="C107" s="2854" t="s">
        <v>2708</v>
      </c>
      <c r="D107" s="2828" t="s">
        <v>2709</v>
      </c>
      <c r="E107" s="2854">
        <v>0.15</v>
      </c>
      <c r="F107" s="2854">
        <v>20</v>
      </c>
    </row>
    <row r="108" spans="1:6" ht="13.5">
      <c r="A108" s="2854">
        <v>36</v>
      </c>
      <c r="B108" s="3494"/>
      <c r="C108" s="2854" t="s">
        <v>2710</v>
      </c>
      <c r="D108" s="2828" t="s">
        <v>2711</v>
      </c>
      <c r="E108" s="2854">
        <v>0.15</v>
      </c>
      <c r="F108" s="2854">
        <v>20</v>
      </c>
    </row>
    <row r="109" spans="1:6" ht="13.5">
      <c r="A109" s="2854">
        <v>37</v>
      </c>
      <c r="B109" s="3494"/>
      <c r="C109" s="2854" t="s">
        <v>2712</v>
      </c>
      <c r="D109" s="2828" t="s">
        <v>2713</v>
      </c>
      <c r="E109" s="2854">
        <v>0.15</v>
      </c>
      <c r="F109" s="2854">
        <v>20</v>
      </c>
    </row>
    <row r="110" spans="1:6" ht="13.5">
      <c r="A110" s="2854">
        <v>38</v>
      </c>
      <c r="B110" s="3494"/>
      <c r="C110" s="2854" t="s">
        <v>2714</v>
      </c>
      <c r="D110" s="2828" t="s">
        <v>2715</v>
      </c>
      <c r="E110" s="2854">
        <v>0.1</v>
      </c>
      <c r="F110" s="2854">
        <v>15</v>
      </c>
    </row>
    <row r="111" spans="1:6" ht="24">
      <c r="A111" s="2854">
        <v>39</v>
      </c>
      <c r="B111" s="3494"/>
      <c r="C111" s="2854" t="s">
        <v>2716</v>
      </c>
      <c r="D111" s="2828" t="s">
        <v>2717</v>
      </c>
      <c r="E111" s="2854">
        <v>0.1</v>
      </c>
      <c r="F111" s="2854">
        <v>15</v>
      </c>
    </row>
    <row r="112" spans="1:6" ht="24">
      <c r="A112" s="2854">
        <v>40</v>
      </c>
      <c r="B112" s="3493"/>
      <c r="C112" s="2854" t="s">
        <v>2718</v>
      </c>
      <c r="D112" s="2828" t="s">
        <v>2719</v>
      </c>
      <c r="E112" s="2854">
        <v>0.1</v>
      </c>
      <c r="F112" s="2854">
        <v>15</v>
      </c>
    </row>
    <row r="113" spans="1:6" ht="13.5">
      <c r="A113" s="2854">
        <v>41</v>
      </c>
      <c r="B113" s="3491" t="s">
        <v>2720</v>
      </c>
      <c r="C113" s="2854" t="s">
        <v>2721</v>
      </c>
      <c r="D113" s="2828" t="s">
        <v>2722</v>
      </c>
      <c r="E113" s="2854">
        <v>0.1</v>
      </c>
      <c r="F113" s="2854">
        <v>15</v>
      </c>
    </row>
    <row r="114" spans="1:6" ht="13.5">
      <c r="A114" s="2854">
        <v>42</v>
      </c>
      <c r="B114" s="3491"/>
      <c r="C114" s="2854" t="s">
        <v>2723</v>
      </c>
      <c r="D114" s="2828" t="s">
        <v>2724</v>
      </c>
      <c r="E114" s="2854">
        <v>0.1</v>
      </c>
      <c r="F114" s="2854">
        <v>15</v>
      </c>
    </row>
    <row r="115" spans="1:6" ht="24">
      <c r="A115" s="2854">
        <v>43</v>
      </c>
      <c r="B115" s="3491"/>
      <c r="C115" s="2854" t="s">
        <v>2725</v>
      </c>
      <c r="D115" s="2828" t="s">
        <v>2726</v>
      </c>
      <c r="E115" s="2854">
        <v>0.1</v>
      </c>
      <c r="F115" s="2854">
        <v>15</v>
      </c>
    </row>
    <row r="116" spans="1:6" ht="13.5">
      <c r="A116" s="2854">
        <v>44</v>
      </c>
      <c r="B116" s="3492" t="s">
        <v>2727</v>
      </c>
      <c r="C116" s="2854" t="s">
        <v>2728</v>
      </c>
      <c r="D116" s="2828" t="s">
        <v>2729</v>
      </c>
      <c r="E116" s="2854">
        <v>0.1</v>
      </c>
      <c r="F116" s="2854">
        <v>15</v>
      </c>
    </row>
    <row r="117" spans="1:6" ht="24">
      <c r="A117" s="2854">
        <v>45</v>
      </c>
      <c r="B117" s="3493"/>
      <c r="C117" s="2828" t="s">
        <v>2730</v>
      </c>
      <c r="D117" s="2828" t="s">
        <v>2731</v>
      </c>
      <c r="E117" s="2854">
        <v>0.1</v>
      </c>
      <c r="F117" s="2854">
        <v>15</v>
      </c>
    </row>
    <row r="118" spans="1:6" ht="24">
      <c r="A118" s="2854">
        <v>46</v>
      </c>
      <c r="B118" s="3492" t="s">
        <v>2732</v>
      </c>
      <c r="C118" s="2854" t="s">
        <v>2733</v>
      </c>
      <c r="D118" s="2828" t="s">
        <v>2734</v>
      </c>
      <c r="E118" s="2854">
        <v>0.1</v>
      </c>
      <c r="F118" s="2854">
        <v>15</v>
      </c>
    </row>
    <row r="119" spans="1:6" ht="24">
      <c r="A119" s="2854">
        <v>47</v>
      </c>
      <c r="B119" s="3493"/>
      <c r="C119" s="2854" t="s">
        <v>2735</v>
      </c>
      <c r="D119" s="2828" t="s">
        <v>2736</v>
      </c>
      <c r="E119" s="2854">
        <v>0.1</v>
      </c>
      <c r="F119" s="2854">
        <v>15</v>
      </c>
    </row>
    <row r="120" spans="1:6" ht="13.5">
      <c r="A120" s="2854">
        <v>48</v>
      </c>
      <c r="B120" s="3492" t="s">
        <v>2737</v>
      </c>
      <c r="C120" s="2854" t="s">
        <v>2738</v>
      </c>
      <c r="D120" s="2828" t="s">
        <v>2739</v>
      </c>
      <c r="E120" s="2854">
        <v>0.1</v>
      </c>
      <c r="F120" s="2854">
        <v>15</v>
      </c>
    </row>
    <row r="121" spans="1:6" ht="13.5">
      <c r="A121" s="2854">
        <v>49</v>
      </c>
      <c r="B121" s="3493"/>
      <c r="C121" s="2854" t="s">
        <v>2740</v>
      </c>
      <c r="D121" s="2828" t="s">
        <v>2741</v>
      </c>
      <c r="E121" s="2854">
        <v>0.1</v>
      </c>
      <c r="F121" s="2854">
        <v>15</v>
      </c>
    </row>
    <row r="122" spans="1:6" ht="24">
      <c r="A122" s="2854">
        <v>50</v>
      </c>
      <c r="B122" s="3491" t="s">
        <v>2742</v>
      </c>
      <c r="C122" s="2854" t="s">
        <v>2743</v>
      </c>
      <c r="D122" s="2828" t="s">
        <v>2744</v>
      </c>
      <c r="E122" s="2854">
        <v>0.1</v>
      </c>
      <c r="F122" s="2854">
        <v>15</v>
      </c>
    </row>
    <row r="123" spans="1:6" ht="24">
      <c r="A123" s="2854">
        <v>51</v>
      </c>
      <c r="B123" s="3491"/>
      <c r="C123" s="2854" t="s">
        <v>2745</v>
      </c>
      <c r="D123" s="2828" t="s">
        <v>2746</v>
      </c>
      <c r="E123" s="2854">
        <v>0.1</v>
      </c>
      <c r="F123" s="2854">
        <v>15</v>
      </c>
    </row>
    <row r="124" spans="1:6" ht="24">
      <c r="A124" s="2854">
        <v>52</v>
      </c>
      <c r="B124" s="3491" t="s">
        <v>2747</v>
      </c>
      <c r="C124" s="2854" t="s">
        <v>2748</v>
      </c>
      <c r="D124" s="2828" t="s">
        <v>2749</v>
      </c>
      <c r="E124" s="2854">
        <v>0.1</v>
      </c>
      <c r="F124" s="2854">
        <v>15</v>
      </c>
    </row>
    <row r="125" spans="1:6" ht="24">
      <c r="A125" s="2854">
        <v>53</v>
      </c>
      <c r="B125" s="3491"/>
      <c r="C125" s="2854" t="s">
        <v>2750</v>
      </c>
      <c r="D125" s="2828" t="s">
        <v>2751</v>
      </c>
      <c r="E125" s="2854">
        <v>0.1</v>
      </c>
      <c r="F125" s="2854">
        <v>15</v>
      </c>
    </row>
    <row r="126" spans="1:6" ht="13.5">
      <c r="A126" s="2854">
        <v>54</v>
      </c>
      <c r="B126" s="2854" t="s">
        <v>2752</v>
      </c>
      <c r="C126" s="2854" t="s">
        <v>2753</v>
      </c>
      <c r="D126" s="2828" t="s">
        <v>2754</v>
      </c>
      <c r="E126" s="2854">
        <v>0.1</v>
      </c>
      <c r="F126" s="2854">
        <v>15</v>
      </c>
    </row>
    <row r="127" spans="1:6" ht="13.5">
      <c r="A127" s="2854">
        <v>55</v>
      </c>
      <c r="B127" s="3491" t="s">
        <v>2755</v>
      </c>
      <c r="C127" s="2854" t="s">
        <v>2756</v>
      </c>
      <c r="D127" s="2828" t="s">
        <v>2757</v>
      </c>
      <c r="E127" s="2854">
        <v>0.1</v>
      </c>
      <c r="F127" s="2854">
        <v>15</v>
      </c>
    </row>
    <row r="128" spans="1:6" ht="13.5">
      <c r="A128" s="2854">
        <v>56</v>
      </c>
      <c r="B128" s="3491"/>
      <c r="C128" s="2854" t="s">
        <v>2758</v>
      </c>
      <c r="D128" s="2828" t="s">
        <v>2759</v>
      </c>
      <c r="E128" s="2854">
        <v>0.1</v>
      </c>
      <c r="F128" s="2854">
        <v>15</v>
      </c>
    </row>
    <row r="129" spans="1:6" ht="24">
      <c r="A129" s="2854">
        <v>57</v>
      </c>
      <c r="B129" s="3491"/>
      <c r="C129" s="2854" t="s">
        <v>2760</v>
      </c>
      <c r="D129" s="2828" t="s">
        <v>2761</v>
      </c>
      <c r="E129" s="2854">
        <v>0.1</v>
      </c>
      <c r="F129" s="2854">
        <v>15</v>
      </c>
    </row>
    <row r="130" spans="1:6" ht="24">
      <c r="A130" s="2854">
        <v>58</v>
      </c>
      <c r="B130" s="3491" t="s">
        <v>2762</v>
      </c>
      <c r="C130" s="2854" t="s">
        <v>2763</v>
      </c>
      <c r="D130" s="2828" t="s">
        <v>2764</v>
      </c>
      <c r="E130" s="2854">
        <v>0.1</v>
      </c>
      <c r="F130" s="2854">
        <v>15</v>
      </c>
    </row>
    <row r="131" spans="1:6" ht="13.5">
      <c r="A131" s="2854">
        <v>59</v>
      </c>
      <c r="B131" s="3491"/>
      <c r="C131" s="2854" t="s">
        <v>2765</v>
      </c>
      <c r="D131" s="2828" t="s">
        <v>2766</v>
      </c>
      <c r="E131" s="2854">
        <v>0.1</v>
      </c>
      <c r="F131" s="2854">
        <v>15</v>
      </c>
    </row>
    <row r="132" spans="1:6" ht="13.5">
      <c r="A132" s="2854">
        <v>60</v>
      </c>
      <c r="B132" s="3492" t="s">
        <v>2767</v>
      </c>
      <c r="C132" s="2854" t="s">
        <v>2768</v>
      </c>
      <c r="D132" s="2828" t="s">
        <v>2769</v>
      </c>
      <c r="E132" s="2854">
        <v>0.1</v>
      </c>
      <c r="F132" s="2854">
        <v>15</v>
      </c>
    </row>
    <row r="133" spans="1:6" ht="13.5">
      <c r="A133" s="2854">
        <v>61</v>
      </c>
      <c r="B133" s="3493"/>
      <c r="C133" s="2854" t="s">
        <v>2770</v>
      </c>
      <c r="D133" s="2828" t="s">
        <v>2771</v>
      </c>
      <c r="E133" s="2854">
        <v>0.1</v>
      </c>
      <c r="F133" s="2854">
        <v>15</v>
      </c>
    </row>
    <row r="134" spans="1:6" ht="24">
      <c r="A134" s="2854">
        <v>62</v>
      </c>
      <c r="B134" s="2854" t="s">
        <v>2772</v>
      </c>
      <c r="C134" s="2854" t="s">
        <v>2773</v>
      </c>
      <c r="D134" s="2828" t="s">
        <v>2774</v>
      </c>
      <c r="E134" s="2854">
        <v>0.1</v>
      </c>
      <c r="F134" s="2854">
        <v>15</v>
      </c>
    </row>
    <row r="135" spans="1:6" ht="13.5">
      <c r="A135" s="2854">
        <v>63</v>
      </c>
      <c r="B135" s="3491" t="s">
        <v>2775</v>
      </c>
      <c r="C135" s="2854" t="s">
        <v>2776</v>
      </c>
      <c r="D135" s="2828" t="s">
        <v>2777</v>
      </c>
      <c r="E135" s="2854">
        <v>0.1</v>
      </c>
      <c r="F135" s="2854">
        <v>15</v>
      </c>
    </row>
    <row r="136" spans="1:6" ht="13.5">
      <c r="A136" s="2854">
        <v>64</v>
      </c>
      <c r="B136" s="3491"/>
      <c r="C136" s="2854" t="s">
        <v>2778</v>
      </c>
      <c r="D136" s="2828" t="s">
        <v>2779</v>
      </c>
      <c r="E136" s="2854">
        <v>0.1</v>
      </c>
      <c r="F136" s="2854">
        <v>15</v>
      </c>
    </row>
    <row r="137" spans="1:6" ht="13.5">
      <c r="A137" s="2854">
        <v>65</v>
      </c>
      <c r="B137" s="2854" t="s">
        <v>2780</v>
      </c>
      <c r="C137" s="2854" t="s">
        <v>2781</v>
      </c>
      <c r="D137" s="2828" t="s">
        <v>2782</v>
      </c>
      <c r="E137" s="2854">
        <v>0.1</v>
      </c>
      <c r="F137" s="2854">
        <v>15</v>
      </c>
    </row>
    <row r="138" spans="1:6" ht="13.5">
      <c r="A138" s="2854"/>
      <c r="B138" s="2854"/>
      <c r="C138" s="2854"/>
      <c r="D138" s="2854"/>
      <c r="E138" s="2854" t="s">
        <v>2783</v>
      </c>
      <c r="F138" s="2854" t="s">
        <v>2783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2784</v>
      </c>
      <c r="B1" s="2862"/>
      <c r="C1" s="2862"/>
      <c r="D1" s="2862"/>
      <c r="E1" s="2862"/>
      <c r="F1" s="2862"/>
      <c r="G1" s="2862"/>
      <c r="H1" s="2862"/>
      <c r="I1" s="2862"/>
      <c r="J1" s="2862"/>
      <c r="K1" s="2862"/>
      <c r="L1" s="2862"/>
      <c r="M1" s="2862"/>
      <c r="N1" s="705"/>
    </row>
    <row r="2" spans="1:20">
      <c r="A2" s="2863" t="s">
        <v>2785</v>
      </c>
      <c r="B2" s="2864" t="s">
        <v>2581</v>
      </c>
      <c r="C2" s="2864" t="s">
        <v>2582</v>
      </c>
      <c r="D2" s="2864" t="s">
        <v>2583</v>
      </c>
      <c r="E2" s="2864" t="s">
        <v>2584</v>
      </c>
      <c r="F2" s="2864" t="s">
        <v>2585</v>
      </c>
      <c r="G2" s="2864" t="s">
        <v>2586</v>
      </c>
      <c r="H2" s="2865" t="s">
        <v>2587</v>
      </c>
      <c r="I2" s="2865" t="s">
        <v>2588</v>
      </c>
      <c r="J2" s="2866" t="s">
        <v>2589</v>
      </c>
      <c r="K2" s="2866" t="s">
        <v>2590</v>
      </c>
      <c r="L2" s="2866" t="s">
        <v>2591</v>
      </c>
      <c r="M2" s="2867" t="s">
        <v>2592</v>
      </c>
      <c r="Q2" s="2877" t="s">
        <v>2790</v>
      </c>
      <c r="R2" s="2877" t="s">
        <v>2791</v>
      </c>
      <c r="S2" s="2877" t="s">
        <v>2792</v>
      </c>
      <c r="T2" s="2877" t="s">
        <v>2793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2786</v>
      </c>
      <c r="B93" s="2862"/>
      <c r="C93" s="2862"/>
      <c r="D93" s="2862"/>
      <c r="E93" s="2862"/>
      <c r="F93" s="2862"/>
      <c r="G93" s="2862"/>
      <c r="H93" s="2862"/>
      <c r="I93" s="2862"/>
      <c r="J93" s="2862"/>
      <c r="K93" s="2862"/>
      <c r="L93" s="2862"/>
      <c r="M93" s="2862"/>
    </row>
    <row r="94" spans="1:20">
      <c r="A94" s="2863" t="s">
        <v>2785</v>
      </c>
      <c r="B94" s="2864" t="s">
        <v>2581</v>
      </c>
      <c r="C94" s="2864" t="s">
        <v>2582</v>
      </c>
      <c r="D94" s="2864" t="s">
        <v>2583</v>
      </c>
      <c r="E94" s="2864" t="s">
        <v>2584</v>
      </c>
      <c r="F94" s="2864" t="s">
        <v>2585</v>
      </c>
      <c r="G94" s="2864" t="s">
        <v>2586</v>
      </c>
      <c r="H94" s="2865" t="s">
        <v>2587</v>
      </c>
      <c r="I94" s="2865" t="s">
        <v>2588</v>
      </c>
      <c r="J94" s="2866" t="s">
        <v>2589</v>
      </c>
      <c r="K94" s="2866" t="s">
        <v>2590</v>
      </c>
      <c r="L94" s="2866" t="s">
        <v>2591</v>
      </c>
      <c r="M94" s="2867" t="s">
        <v>2592</v>
      </c>
      <c r="N94">
        <f>SUMPRODUCT((A95:A184=ROUNDDOWN('商业-基准地价修正'!G3,1))*(B94:M94='商业-基准地价修正'!G2)*(B95:M184))</f>
        <v>0.91339999999999999</v>
      </c>
      <c r="Q94" s="2877" t="s">
        <v>2790</v>
      </c>
      <c r="R94" s="2877" t="s">
        <v>2791</v>
      </c>
      <c r="S94" s="2877" t="s">
        <v>2792</v>
      </c>
      <c r="T94" s="2877" t="s">
        <v>2793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5"/>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5"/>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2787</v>
      </c>
      <c r="B185" s="2862"/>
      <c r="C185" s="2862"/>
      <c r="D185" s="2862"/>
      <c r="E185" s="2862"/>
      <c r="F185" s="2862"/>
      <c r="G185" s="2862"/>
      <c r="H185" s="2862"/>
      <c r="I185" s="2862"/>
      <c r="J185" s="2862"/>
      <c r="K185" s="2862"/>
      <c r="L185" s="2862"/>
      <c r="M185" s="2862"/>
    </row>
    <row r="186" spans="1:20">
      <c r="A186" s="2863" t="s">
        <v>2785</v>
      </c>
      <c r="B186" s="2864" t="s">
        <v>2581</v>
      </c>
      <c r="C186" s="2864" t="s">
        <v>2582</v>
      </c>
      <c r="D186" s="2864" t="s">
        <v>2583</v>
      </c>
      <c r="E186" s="2864" t="s">
        <v>2584</v>
      </c>
      <c r="F186" s="2864" t="s">
        <v>2585</v>
      </c>
      <c r="G186" s="2864" t="s">
        <v>2586</v>
      </c>
      <c r="H186" s="2865" t="s">
        <v>2587</v>
      </c>
      <c r="I186" s="2865" t="s">
        <v>2588</v>
      </c>
      <c r="J186" s="2866" t="s">
        <v>2589</v>
      </c>
      <c r="K186" s="2866" t="s">
        <v>2590</v>
      </c>
      <c r="L186" s="2866" t="s">
        <v>2591</v>
      </c>
      <c r="M186" s="2867" t="s">
        <v>2592</v>
      </c>
      <c r="Q186" s="2877" t="s">
        <v>2790</v>
      </c>
      <c r="R186" s="2877" t="s">
        <v>2791</v>
      </c>
      <c r="S186" s="2877" t="s">
        <v>2792</v>
      </c>
      <c r="T186" s="2877" t="s">
        <v>2793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2788</v>
      </c>
      <c r="B277" s="2862"/>
      <c r="C277" s="2862"/>
      <c r="D277" s="2862"/>
      <c r="E277" s="2862"/>
      <c r="F277" s="2862"/>
      <c r="G277" s="2862"/>
      <c r="H277" s="2862"/>
      <c r="I277" s="2862"/>
      <c r="J277" s="2862"/>
      <c r="K277" s="2862"/>
      <c r="L277" s="2862"/>
      <c r="M277" s="2862"/>
    </row>
    <row r="278" spans="1:21">
      <c r="A278" s="2863" t="s">
        <v>2785</v>
      </c>
      <c r="B278" s="2864" t="s">
        <v>2581</v>
      </c>
      <c r="C278" s="2864" t="s">
        <v>2582</v>
      </c>
      <c r="D278" s="2864" t="s">
        <v>2583</v>
      </c>
      <c r="E278" s="2864" t="s">
        <v>2584</v>
      </c>
      <c r="F278" s="2864" t="s">
        <v>2585</v>
      </c>
      <c r="G278" s="2864" t="s">
        <v>2586</v>
      </c>
      <c r="H278" s="2865" t="s">
        <v>2587</v>
      </c>
      <c r="I278" s="2865" t="s">
        <v>2588</v>
      </c>
      <c r="J278" s="2866" t="s">
        <v>2589</v>
      </c>
      <c r="K278" s="2866" t="s">
        <v>2590</v>
      </c>
      <c r="L278" s="2866" t="s">
        <v>2591</v>
      </c>
      <c r="M278" s="2867" t="s">
        <v>2592</v>
      </c>
      <c r="Q278" s="2877" t="s">
        <v>2790</v>
      </c>
      <c r="R278" s="2877" t="s">
        <v>2791</v>
      </c>
      <c r="S278" s="2877" t="s">
        <v>2794</v>
      </c>
      <c r="T278" s="2877" t="s">
        <v>2795</v>
      </c>
      <c r="U278" s="2877" t="s">
        <v>2793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2789</v>
      </c>
      <c r="B369" s="2875"/>
      <c r="C369" s="2875"/>
      <c r="D369" s="2875"/>
      <c r="E369" s="2875"/>
      <c r="F369" s="2875"/>
      <c r="G369" s="2875"/>
      <c r="H369" s="2875"/>
      <c r="I369" s="2875"/>
      <c r="J369" s="2875"/>
      <c r="K369" s="2875"/>
      <c r="L369" s="2875"/>
      <c r="M369" s="2875"/>
    </row>
    <row r="370" spans="1:20">
      <c r="A370" s="2863" t="s">
        <v>2785</v>
      </c>
      <c r="B370" s="2864" t="s">
        <v>2581</v>
      </c>
      <c r="C370" s="2864" t="s">
        <v>2582</v>
      </c>
      <c r="D370" s="2864" t="s">
        <v>2583</v>
      </c>
      <c r="E370" s="2864" t="s">
        <v>2584</v>
      </c>
      <c r="F370" s="2864" t="s">
        <v>2585</v>
      </c>
      <c r="G370" s="2864" t="s">
        <v>2586</v>
      </c>
      <c r="H370" s="2865" t="s">
        <v>2587</v>
      </c>
      <c r="I370" s="2865" t="s">
        <v>2588</v>
      </c>
      <c r="J370" s="2866" t="s">
        <v>2589</v>
      </c>
      <c r="K370" s="2866" t="s">
        <v>2590</v>
      </c>
      <c r="L370" s="2866" t="s">
        <v>2591</v>
      </c>
      <c r="M370" s="2867" t="s">
        <v>2592</v>
      </c>
      <c r="N370">
        <f>SUMPRODUCT((A371:A460=ROUNDDOWN('商业-基准地价修正'!G3,1))*(B370:M370='商业-基准地价修正'!G2)*(B371:M460))</f>
        <v>0.86509999999999998</v>
      </c>
      <c r="Q370" s="2877" t="s">
        <v>2790</v>
      </c>
      <c r="R370" s="2877" t="s">
        <v>2791</v>
      </c>
      <c r="S370" s="2877" t="s">
        <v>2792</v>
      </c>
      <c r="T370" s="2877" t="s">
        <v>2793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140599</v>
      </c>
      <c r="C2" s="2" t="s">
        <v>106</v>
      </c>
      <c r="D2" s="191"/>
      <c r="E2" s="191"/>
      <c r="F2" s="191"/>
      <c r="G2" s="191"/>
    </row>
    <row r="3" spans="1:7" s="192" customFormat="1" ht="18" customHeight="1" thickBot="1">
      <c r="A3" s="195" t="s">
        <v>58</v>
      </c>
      <c r="B3" s="196">
        <f ca="1">ROUND(B2*10000/'数据-汇总表'!E3,0)</f>
        <v>10070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160</v>
      </c>
      <c r="F9" s="213"/>
      <c r="G9" s="218"/>
    </row>
    <row r="10" spans="1:7" s="206" customFormat="1" ht="13.5" customHeight="1">
      <c r="A10" s="731" t="s">
        <v>356</v>
      </c>
      <c r="B10" s="216" t="s">
        <v>67</v>
      </c>
      <c r="C10" s="217">
        <f>ROUND(D10*E10/10000,0)</f>
        <v>2792</v>
      </c>
      <c r="D10" s="793">
        <f>'数据-汇总表'!E6</f>
        <v>139616.6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2792</v>
      </c>
      <c r="D19" s="204">
        <f>'数据-汇总表'!E3</f>
        <v>139616.6</v>
      </c>
      <c r="E19" s="203">
        <f>'数据-取费表'!B31</f>
        <v>200</v>
      </c>
      <c r="F19" s="223"/>
      <c r="G19" s="1" t="s">
        <v>436</v>
      </c>
    </row>
    <row r="20" spans="1:7" s="206" customFormat="1" ht="13.5" customHeight="1">
      <c r="A20" s="729" t="s">
        <v>419</v>
      </c>
      <c r="B20" s="202" t="s">
        <v>77</v>
      </c>
      <c r="C20" s="224">
        <f>ROUND((C5+C19)*F20,0)</f>
        <v>702</v>
      </c>
      <c r="D20" s="224"/>
      <c r="E20" s="224"/>
      <c r="F20" s="225">
        <f>'数据-取费表'!B37</f>
        <v>0.03</v>
      </c>
      <c r="G20" s="1002" t="s">
        <v>430</v>
      </c>
    </row>
    <row r="21" spans="1:7" s="206" customFormat="1" ht="13.5" customHeight="1">
      <c r="A21" s="729" t="s">
        <v>421</v>
      </c>
      <c r="B21" s="202" t="s">
        <v>78</v>
      </c>
      <c r="C21" s="227">
        <f>F21</f>
        <v>0.03</v>
      </c>
      <c r="D21" s="228" t="s">
        <v>99</v>
      </c>
      <c r="E21" s="224"/>
      <c r="F21" s="225">
        <f>'数据-取费表'!B38</f>
        <v>0.03</v>
      </c>
      <c r="G21" s="226" t="s">
        <v>79</v>
      </c>
    </row>
    <row r="22" spans="1:7" s="206" customFormat="1" ht="13.5" customHeight="1">
      <c r="A22" s="729" t="s">
        <v>341</v>
      </c>
      <c r="B22" s="202" t="s">
        <v>80</v>
      </c>
      <c r="C22" s="1039">
        <f ca="1">ROUND(SUM(C23:C25),0)</f>
        <v>1821</v>
      </c>
      <c r="D22" s="227">
        <f ca="1">C26</f>
        <v>1.1000000000000001E-3</v>
      </c>
      <c r="E22" s="228" t="s">
        <v>99</v>
      </c>
      <c r="F22" s="229">
        <f ca="1">'数据-取费表'!B40</f>
        <v>0.03</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1581</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214</v>
      </c>
      <c r="D24" s="230"/>
      <c r="E24" s="230"/>
      <c r="F24" s="231"/>
      <c r="G24" s="232" t="s">
        <v>82</v>
      </c>
    </row>
    <row r="25" spans="1:7" s="206" customFormat="1" ht="24">
      <c r="A25" s="732" t="s">
        <v>348</v>
      </c>
      <c r="B25" s="207" t="s">
        <v>420</v>
      </c>
      <c r="C25" s="1040">
        <f ca="1">ROUND(IF('数据-取费表'!B22&lt;=1,C20*F22*'数据-取费表'!B23/2,C20*(POWER((1+F22),'数据-取费表'!B23/2)-1)),0)</f>
        <v>26</v>
      </c>
      <c r="D25" s="230"/>
      <c r="E25" s="233"/>
      <c r="F25" s="231"/>
      <c r="G25" s="234" t="s">
        <v>83</v>
      </c>
    </row>
    <row r="26" spans="1:7" s="206" customFormat="1">
      <c r="A26" s="732" t="s">
        <v>350</v>
      </c>
      <c r="B26" s="207" t="s">
        <v>422</v>
      </c>
      <c r="C26" s="230">
        <f ca="1">ROUND(IF('数据-取费表'!B22&lt;=1,F21*F22*'数据-取费表'!B23/2,F21*(POWER((1+F22),'数据-取费表'!B23/2)-1)),4)</f>
        <v>1.1000000000000001E-3</v>
      </c>
      <c r="D26" s="230"/>
      <c r="E26" s="233"/>
      <c r="F26" s="231"/>
      <c r="G26" s="235"/>
    </row>
    <row r="27" spans="1:7" s="206" customFormat="1" ht="24.75">
      <c r="A27" s="729" t="s">
        <v>342</v>
      </c>
      <c r="B27" s="236" t="s">
        <v>85</v>
      </c>
      <c r="C27" s="237">
        <f>C28</f>
        <v>5303</v>
      </c>
      <c r="D27" s="227">
        <f>C29</f>
        <v>6.6E-3</v>
      </c>
      <c r="E27" s="228" t="s">
        <v>99</v>
      </c>
      <c r="F27" s="238">
        <f>'数据-取费表'!Q16</f>
        <v>0.22</v>
      </c>
      <c r="G27" s="239" t="s">
        <v>431</v>
      </c>
    </row>
    <row r="28" spans="1:7" s="206" customFormat="1" ht="13.5" customHeight="1">
      <c r="A28" s="732" t="s">
        <v>349</v>
      </c>
      <c r="B28" s="240" t="s">
        <v>424</v>
      </c>
      <c r="C28" s="241">
        <f>ROUND((C5+C19+C20)*F27*'数据-取费表'!B21/'数据-取费表'!B20,0)</f>
        <v>5303</v>
      </c>
      <c r="D28" s="227"/>
      <c r="E28" s="228"/>
      <c r="F28" s="238"/>
      <c r="G28" s="239"/>
    </row>
    <row r="29" spans="1:7" s="206" customFormat="1" ht="13.5" customHeight="1">
      <c r="A29" s="732" t="s">
        <v>347</v>
      </c>
      <c r="B29" s="240" t="s">
        <v>425</v>
      </c>
      <c r="C29" s="230">
        <f>ROUND(C21*F27*'数据-取费表'!B21/'数据-取费表'!B20,4)</f>
        <v>6.6E-3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34355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97453</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83771</v>
      </c>
      <c r="D34" s="209"/>
      <c r="E34" s="212"/>
      <c r="F34" s="249">
        <f>IF('数据-取费表'!B24=0,1,'数据-取费表'!N16)</f>
        <v>1</v>
      </c>
      <c r="G34" s="211" t="s">
        <v>89</v>
      </c>
    </row>
    <row r="35" spans="1:7" ht="13.5" customHeight="1">
      <c r="A35" s="732" t="s">
        <v>351</v>
      </c>
      <c r="B35" s="207" t="s">
        <v>33</v>
      </c>
      <c r="C35" s="212">
        <f>ROUND(C34*F35,0)</f>
        <v>8377</v>
      </c>
      <c r="D35" s="212"/>
      <c r="E35" s="212"/>
      <c r="F35" s="251">
        <f>'数据-取费表'!B33</f>
        <v>0.1</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2792</v>
      </c>
      <c r="D37" s="209">
        <f>'数据-汇总表'!E3</f>
        <v>139616.6</v>
      </c>
      <c r="E37" s="241">
        <f>'数据-取费表'!B35</f>
        <v>200</v>
      </c>
      <c r="F37" s="251"/>
      <c r="G37" s="253" t="s">
        <v>92</v>
      </c>
    </row>
    <row r="38" spans="1:7" ht="13.5" customHeight="1">
      <c r="A38" s="732" t="s">
        <v>354</v>
      </c>
      <c r="B38" s="207" t="s">
        <v>36</v>
      </c>
      <c r="C38" s="212">
        <f>ROUND(C34*F38,0)</f>
        <v>2513</v>
      </c>
      <c r="D38" s="212"/>
      <c r="E38" s="212"/>
      <c r="F38" s="251">
        <f>'数据-取费表'!B36</f>
        <v>0.03</v>
      </c>
      <c r="G38" s="211" t="s">
        <v>90</v>
      </c>
    </row>
    <row r="39" spans="1:7" s="206" customFormat="1" ht="13.5" customHeight="1">
      <c r="A39" s="729" t="s">
        <v>338</v>
      </c>
      <c r="B39" s="202" t="s">
        <v>77</v>
      </c>
      <c r="C39" s="224">
        <f>ROUND(C33*F20,0)</f>
        <v>2924</v>
      </c>
      <c r="D39" s="224"/>
      <c r="E39" s="224"/>
      <c r="F39" s="225"/>
      <c r="G39" s="1002" t="s">
        <v>433</v>
      </c>
    </row>
    <row r="40" spans="1:7" s="206" customFormat="1" ht="13.5" customHeight="1">
      <c r="A40" s="729" t="s">
        <v>339</v>
      </c>
      <c r="B40" s="202" t="s">
        <v>78</v>
      </c>
      <c r="C40" s="254">
        <f>F21</f>
        <v>0.03</v>
      </c>
      <c r="D40" s="228" t="s">
        <v>102</v>
      </c>
      <c r="E40" s="224"/>
      <c r="F40" s="225"/>
      <c r="G40" s="226" t="s">
        <v>93</v>
      </c>
    </row>
    <row r="41" spans="1:7" s="206" customFormat="1" ht="13.5" customHeight="1">
      <c r="A41" s="729" t="s">
        <v>340</v>
      </c>
      <c r="B41" s="202" t="s">
        <v>80</v>
      </c>
      <c r="C41" s="224">
        <f ca="1">ROUND(SUM(C42:C43),0)</f>
        <v>3778</v>
      </c>
      <c r="D41" s="227">
        <f ca="1">C44</f>
        <v>1.1000000000000001E-3</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3668</v>
      </c>
      <c r="D42" s="230"/>
      <c r="E42" s="230"/>
      <c r="F42" s="231"/>
      <c r="G42" s="3368" t="s">
        <v>94</v>
      </c>
    </row>
    <row r="43" spans="1:7" ht="13.5" customHeight="1">
      <c r="A43" s="732" t="s">
        <v>347</v>
      </c>
      <c r="B43" s="207" t="s">
        <v>426</v>
      </c>
      <c r="C43" s="230">
        <f ca="1">ROUND(IF('数据-取费表'!B22&lt;=1,C39*F22*'数据-取费表'!B21/2,C39*(POWER((1+F22),'数据-取费表'!B21/2)-1)),0)</f>
        <v>110</v>
      </c>
      <c r="D43" s="230"/>
      <c r="E43" s="230"/>
      <c r="F43" s="231"/>
      <c r="G43" s="3369"/>
    </row>
    <row r="44" spans="1:7" ht="13.5" customHeight="1">
      <c r="A44" s="732" t="s">
        <v>348</v>
      </c>
      <c r="B44" s="207" t="s">
        <v>428</v>
      </c>
      <c r="C44" s="230">
        <f ca="1">ROUND(IF('数据-取费表'!B22&lt;=1,C40*F22*'数据-取费表'!B21/2,C40*(POWER((1+F22),'数据-取费表'!B21/2)-1)),4)</f>
        <v>1.1000000000000001E-3</v>
      </c>
      <c r="D44" s="230"/>
      <c r="E44" s="230"/>
      <c r="F44" s="231"/>
      <c r="G44" s="3370"/>
    </row>
    <row r="45" spans="1:7" s="206" customFormat="1" ht="13.5" customHeight="1">
      <c r="A45" s="729" t="s">
        <v>341</v>
      </c>
      <c r="B45" s="236" t="s">
        <v>85</v>
      </c>
      <c r="C45" s="237">
        <f>C46</f>
        <v>22083</v>
      </c>
      <c r="D45" s="227">
        <f>C47</f>
        <v>6.6E-3</v>
      </c>
      <c r="E45" s="228" t="s">
        <v>102</v>
      </c>
      <c r="F45" s="238"/>
      <c r="G45" s="239" t="s">
        <v>434</v>
      </c>
    </row>
    <row r="46" spans="1:7" s="206" customFormat="1" ht="13.5" customHeight="1">
      <c r="A46" s="732" t="s">
        <v>349</v>
      </c>
      <c r="B46" s="240" t="s">
        <v>427</v>
      </c>
      <c r="C46" s="241">
        <f>ROUND((C33+C39)*F27,0)</f>
        <v>22083</v>
      </c>
      <c r="D46" s="255"/>
      <c r="E46" s="228"/>
      <c r="F46" s="238"/>
      <c r="G46" s="239"/>
    </row>
    <row r="47" spans="1:7" s="206" customFormat="1" ht="13.5" customHeight="1">
      <c r="A47" s="732" t="s">
        <v>347</v>
      </c>
      <c r="B47" s="240" t="s">
        <v>429</v>
      </c>
      <c r="C47" s="230">
        <f>ROUND(C40*F27,4)</f>
        <v>6.6E-3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138881</v>
      </c>
      <c r="D49" s="224"/>
      <c r="E49" s="224"/>
      <c r="F49" s="256"/>
      <c r="G49" s="226" t="s">
        <v>435</v>
      </c>
    </row>
    <row r="50" spans="1:7" s="250" customFormat="1" ht="24">
      <c r="A50" s="729" t="s">
        <v>344</v>
      </c>
      <c r="B50" s="202" t="s">
        <v>97</v>
      </c>
      <c r="C50" s="224"/>
      <c r="D50" s="224"/>
      <c r="E50" s="224"/>
      <c r="F50" s="256">
        <f>IF('数据-取费表'!B24=0,'数据-取费表'!N16,1)</f>
        <v>0.76500000000000001</v>
      </c>
      <c r="G50" s="239" t="s">
        <v>98</v>
      </c>
    </row>
    <row r="51" spans="1:7" ht="16.5" customHeight="1">
      <c r="A51" s="729" t="s">
        <v>345</v>
      </c>
      <c r="B51" s="202" t="s">
        <v>105</v>
      </c>
      <c r="C51" s="224">
        <f ca="1">ROUND(C49*F50,0)</f>
        <v>106244</v>
      </c>
      <c r="D51" s="224"/>
      <c r="E51" s="224"/>
      <c r="F51" s="256"/>
      <c r="G51" s="226" t="s">
        <v>37</v>
      </c>
    </row>
    <row r="52" spans="1:7" s="200" customFormat="1" ht="16.5" thickBot="1">
      <c r="A52" s="257" t="s">
        <v>38</v>
      </c>
      <c r="B52" s="258"/>
      <c r="C52" s="259">
        <f ca="1">C31+C51</f>
        <v>140599</v>
      </c>
      <c r="D52" s="258"/>
      <c r="E52" s="258"/>
      <c r="F52" s="258"/>
      <c r="G52" s="260"/>
    </row>
    <row r="55" spans="1:7" ht="15">
      <c r="B55" s="262" t="s">
        <v>39</v>
      </c>
      <c r="C55" s="263"/>
    </row>
    <row r="56" spans="1:7">
      <c r="B56" s="265" t="s">
        <v>40</v>
      </c>
      <c r="C56" s="266">
        <f ca="1">ROUND(C51/C52,3)</f>
        <v>0.75600000000000001</v>
      </c>
    </row>
    <row r="57" spans="1:7">
      <c r="B57" s="265" t="s">
        <v>41</v>
      </c>
      <c r="C57" s="267">
        <f ca="1">1-C56</f>
        <v>0.24399999999999999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03" t="s">
        <v>3167</v>
      </c>
      <c r="B1" s="3503"/>
    </row>
    <row r="2" spans="1:7" ht="14.25" thickBot="1">
      <c r="A2" s="2965"/>
      <c r="B2" s="2965"/>
    </row>
    <row r="3" spans="1:7" ht="14.25" thickBot="1">
      <c r="A3" s="2965"/>
      <c r="B3" s="2965"/>
      <c r="C3" s="2966" t="s">
        <v>2797</v>
      </c>
      <c r="D3" s="2966" t="s">
        <v>2853</v>
      </c>
      <c r="E3" s="2966" t="s">
        <v>2799</v>
      </c>
      <c r="F3" s="2966" t="s">
        <v>2854</v>
      </c>
      <c r="G3" s="2966" t="s">
        <v>2617</v>
      </c>
    </row>
    <row r="4" spans="1:7" ht="14.25" thickBot="1">
      <c r="A4" s="2967" t="s">
        <v>2852</v>
      </c>
      <c r="B4" s="2968" t="s">
        <v>2858</v>
      </c>
      <c r="C4" s="2966"/>
      <c r="D4" s="2966"/>
      <c r="E4" s="2966"/>
      <c r="F4" s="2966"/>
      <c r="G4" s="2966"/>
    </row>
    <row r="5" spans="1:7">
      <c r="A5" s="2969" t="s">
        <v>2826</v>
      </c>
      <c r="B5" s="2970" t="s">
        <v>2840</v>
      </c>
      <c r="C5" s="2971">
        <v>9.8000000000000004E-2</v>
      </c>
      <c r="D5" s="2971">
        <v>8.6999999999999994E-2</v>
      </c>
      <c r="E5" s="2971">
        <v>8.6999999999999994E-2</v>
      </c>
      <c r="F5" s="2971">
        <v>9.8000000000000004E-2</v>
      </c>
      <c r="G5" s="2972">
        <v>9.5000000000000001E-2</v>
      </c>
    </row>
    <row r="6" spans="1:7">
      <c r="A6" s="2973" t="s">
        <v>144</v>
      </c>
      <c r="B6" s="2974" t="s">
        <v>2855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2909</v>
      </c>
      <c r="C29" s="2983"/>
      <c r="D29" s="2979">
        <v>5.1999999999999998E-2</v>
      </c>
      <c r="E29" s="2979">
        <v>7.0000000000000007E-2</v>
      </c>
      <c r="F29" s="2983"/>
      <c r="G29" s="2981">
        <v>7.0999999999999994E-2</v>
      </c>
    </row>
    <row r="30" spans="1:7">
      <c r="A30" s="2984" t="s">
        <v>296</v>
      </c>
      <c r="B30" s="2970" t="s">
        <v>2842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2828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2912</v>
      </c>
      <c r="C50" s="2975">
        <v>9.8000000000000004E-2</v>
      </c>
      <c r="D50" s="2975">
        <v>7.2999999999999995E-2</v>
      </c>
      <c r="E50" s="2975">
        <v>7.0999999999999994E-2</v>
      </c>
      <c r="F50" s="2986"/>
      <c r="G50" s="2976">
        <v>7.2999999999999995E-2</v>
      </c>
    </row>
    <row r="51" spans="1:7">
      <c r="A51" s="2985" t="s">
        <v>296</v>
      </c>
      <c r="B51" s="2974" t="s">
        <v>2914</v>
      </c>
      <c r="C51" s="2975">
        <v>9.9000000000000005E-2</v>
      </c>
      <c r="D51" s="2975">
        <v>8.5000000000000006E-2</v>
      </c>
      <c r="E51" s="2975">
        <v>6.3E-2</v>
      </c>
      <c r="F51" s="2986"/>
      <c r="G51" s="2976">
        <v>9.6000000000000002E-2</v>
      </c>
    </row>
    <row r="52" spans="1:7">
      <c r="A52" s="2985" t="s">
        <v>296</v>
      </c>
      <c r="B52" s="2974" t="s">
        <v>2918</v>
      </c>
      <c r="C52" s="2975">
        <v>7.3999999999999996E-2</v>
      </c>
      <c r="D52" s="2975">
        <v>9.6000000000000002E-2</v>
      </c>
      <c r="E52" s="2975">
        <v>0.05</v>
      </c>
      <c r="F52" s="2986"/>
      <c r="G52" s="2976">
        <v>9.8000000000000004E-2</v>
      </c>
    </row>
    <row r="53" spans="1:7">
      <c r="A53" s="2985" t="s">
        <v>296</v>
      </c>
      <c r="B53" s="2974" t="s">
        <v>2923</v>
      </c>
      <c r="C53" s="2975">
        <v>8.5999999999999993E-2</v>
      </c>
      <c r="D53" s="2986"/>
      <c r="E53" s="2975">
        <v>9.1999999999999998E-2</v>
      </c>
      <c r="F53" s="2986"/>
      <c r="G53" s="2987"/>
    </row>
    <row r="54" spans="1:7" ht="14.25" thickBot="1">
      <c r="A54" s="2988" t="s">
        <v>296</v>
      </c>
      <c r="B54" s="2978" t="s">
        <v>2926</v>
      </c>
      <c r="C54" s="2979">
        <v>9.6000000000000002E-2</v>
      </c>
      <c r="D54" s="2980"/>
      <c r="E54" s="2989"/>
      <c r="F54" s="2980"/>
      <c r="G54" s="2990"/>
    </row>
    <row r="55" spans="1:7">
      <c r="A55" s="2984" t="s">
        <v>110</v>
      </c>
      <c r="B55" s="2970" t="s">
        <v>2843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2924</v>
      </c>
      <c r="C78" s="2975">
        <v>0.1</v>
      </c>
      <c r="D78" s="2975">
        <v>8.5000000000000006E-2</v>
      </c>
      <c r="E78" s="2975">
        <v>9.6000000000000002E-2</v>
      </c>
      <c r="F78" s="2986"/>
      <c r="G78" s="2976">
        <v>9.6000000000000002E-2</v>
      </c>
    </row>
    <row r="79" spans="1:7">
      <c r="A79" s="2985" t="s">
        <v>110</v>
      </c>
      <c r="B79" s="2974" t="s">
        <v>2927</v>
      </c>
      <c r="C79" s="2975">
        <v>0.05</v>
      </c>
      <c r="D79" s="2975">
        <v>9.6000000000000002E-2</v>
      </c>
      <c r="E79" s="2975">
        <v>9.5000000000000001E-2</v>
      </c>
      <c r="F79" s="2986"/>
      <c r="G79" s="2976">
        <v>9.8000000000000004E-2</v>
      </c>
    </row>
    <row r="80" spans="1:7">
      <c r="A80" s="2985" t="s">
        <v>110</v>
      </c>
      <c r="B80" s="2974" t="s">
        <v>2931</v>
      </c>
      <c r="C80" s="2975">
        <v>8.5999999999999993E-2</v>
      </c>
      <c r="D80" s="2991"/>
      <c r="E80" s="2975">
        <v>0.1</v>
      </c>
      <c r="F80" s="2986"/>
      <c r="G80" s="2987"/>
    </row>
    <row r="81" spans="1:7">
      <c r="A81" s="2985" t="s">
        <v>110</v>
      </c>
      <c r="B81" s="2974" t="s">
        <v>2936</v>
      </c>
      <c r="C81" s="2975">
        <v>9.6000000000000002E-2</v>
      </c>
      <c r="D81" s="2986"/>
      <c r="E81" s="2975">
        <v>9.8000000000000004E-2</v>
      </c>
      <c r="F81" s="2986"/>
      <c r="G81" s="2987"/>
    </row>
    <row r="82" spans="1:7">
      <c r="A82" s="2985" t="s">
        <v>110</v>
      </c>
      <c r="B82" s="2974" t="s">
        <v>2943</v>
      </c>
      <c r="C82" s="2991"/>
      <c r="D82" s="2986"/>
      <c r="E82" s="2975">
        <v>7.6999999999999999E-2</v>
      </c>
      <c r="F82" s="2986"/>
      <c r="G82" s="2987"/>
    </row>
    <row r="83" spans="1:7">
      <c r="A83" s="2985" t="s">
        <v>110</v>
      </c>
      <c r="B83" s="2974" t="s">
        <v>2949</v>
      </c>
      <c r="C83" s="2986"/>
      <c r="D83" s="2986"/>
      <c r="E83" s="2986"/>
      <c r="F83" s="2975">
        <v>0.1</v>
      </c>
      <c r="G83" s="2992"/>
    </row>
    <row r="84" spans="1:7">
      <c r="A84" s="2985" t="s">
        <v>110</v>
      </c>
      <c r="B84" s="2974" t="s">
        <v>2956</v>
      </c>
      <c r="C84" s="2986"/>
      <c r="D84" s="2986"/>
      <c r="E84" s="2986"/>
      <c r="F84" s="2975">
        <v>0.1</v>
      </c>
      <c r="G84" s="2992"/>
    </row>
    <row r="85" spans="1:7">
      <c r="A85" s="2985" t="s">
        <v>110</v>
      </c>
      <c r="B85" s="2974" t="s">
        <v>2963</v>
      </c>
      <c r="C85" s="2986"/>
      <c r="D85" s="2986"/>
      <c r="E85" s="2986"/>
      <c r="F85" s="2975">
        <v>0.1</v>
      </c>
      <c r="G85" s="2992"/>
    </row>
    <row r="86" spans="1:7" ht="14.25" thickBot="1">
      <c r="A86" s="2988" t="s">
        <v>110</v>
      </c>
      <c r="B86" s="2978" t="s">
        <v>2968</v>
      </c>
      <c r="C86" s="2979">
        <v>9.8000000000000004E-2</v>
      </c>
      <c r="D86" s="2979">
        <v>9.8000000000000004E-2</v>
      </c>
      <c r="E86" s="2979">
        <v>9.6000000000000002E-2</v>
      </c>
      <c r="F86" s="2989"/>
      <c r="G86" s="2981">
        <v>0.1</v>
      </c>
    </row>
    <row r="87" spans="1:7">
      <c r="A87" s="2984" t="s">
        <v>303</v>
      </c>
      <c r="B87" s="2970" t="s">
        <v>2844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2937</v>
      </c>
      <c r="C113" s="2975">
        <v>0.1</v>
      </c>
      <c r="D113" s="2975">
        <v>0.1</v>
      </c>
      <c r="E113" s="2986"/>
      <c r="F113" s="2986"/>
      <c r="G113" s="2976">
        <v>0.1</v>
      </c>
    </row>
    <row r="114" spans="1:7">
      <c r="A114" s="2985" t="s">
        <v>303</v>
      </c>
      <c r="B114" s="2974" t="s">
        <v>2944</v>
      </c>
      <c r="C114" s="2975">
        <v>9.7000000000000003E-2</v>
      </c>
      <c r="D114" s="2975">
        <v>9.7000000000000003E-2</v>
      </c>
      <c r="E114" s="2986"/>
      <c r="F114" s="2986"/>
      <c r="G114" s="2976">
        <v>9.9000000000000005E-2</v>
      </c>
    </row>
    <row r="115" spans="1:7">
      <c r="A115" s="2985" t="s">
        <v>303</v>
      </c>
      <c r="B115" s="2974" t="s">
        <v>2950</v>
      </c>
      <c r="C115" s="2975">
        <v>0.1</v>
      </c>
      <c r="D115" s="2975">
        <v>0.1</v>
      </c>
      <c r="E115" s="2986"/>
      <c r="F115" s="2986"/>
      <c r="G115" s="2976">
        <v>0.1</v>
      </c>
    </row>
    <row r="116" spans="1:7">
      <c r="A116" s="2985" t="s">
        <v>303</v>
      </c>
      <c r="B116" s="2974" t="s">
        <v>2957</v>
      </c>
      <c r="C116" s="2975">
        <v>0.1</v>
      </c>
      <c r="D116" s="2975">
        <v>0.1</v>
      </c>
      <c r="E116" s="2986"/>
      <c r="F116" s="2986"/>
      <c r="G116" s="2976">
        <v>0.1</v>
      </c>
    </row>
    <row r="117" spans="1:7">
      <c r="A117" s="2985" t="s">
        <v>303</v>
      </c>
      <c r="B117" s="2974" t="s">
        <v>2964</v>
      </c>
      <c r="C117" s="2975">
        <v>9.7000000000000003E-2</v>
      </c>
      <c r="D117" s="2975">
        <v>9.7000000000000003E-2</v>
      </c>
      <c r="E117" s="2986"/>
      <c r="F117" s="2986"/>
      <c r="G117" s="2976">
        <v>9.7000000000000003E-2</v>
      </c>
    </row>
    <row r="118" spans="1:7">
      <c r="A118" s="2985" t="s">
        <v>303</v>
      </c>
      <c r="B118" s="2974" t="s">
        <v>2969</v>
      </c>
      <c r="C118" s="2975">
        <v>0.1</v>
      </c>
      <c r="D118" s="2975">
        <v>0.1</v>
      </c>
      <c r="E118" s="2986"/>
      <c r="F118" s="2986"/>
      <c r="G118" s="2976">
        <v>0.1</v>
      </c>
    </row>
    <row r="119" spans="1:7">
      <c r="A119" s="2985" t="s">
        <v>303</v>
      </c>
      <c r="B119" s="2974" t="s">
        <v>2973</v>
      </c>
      <c r="C119" s="2975">
        <v>5.0999999999999997E-2</v>
      </c>
      <c r="D119" s="2975">
        <v>5.1999999999999998E-2</v>
      </c>
      <c r="E119" s="2986"/>
      <c r="F119" s="2991"/>
      <c r="G119" s="2976">
        <v>0.06</v>
      </c>
    </row>
    <row r="120" spans="1:7">
      <c r="A120" s="2985" t="s">
        <v>303</v>
      </c>
      <c r="B120" s="2974" t="s">
        <v>2977</v>
      </c>
      <c r="C120" s="2986"/>
      <c r="D120" s="2986"/>
      <c r="E120" s="2986"/>
      <c r="F120" s="2975">
        <v>0.1</v>
      </c>
      <c r="G120" s="2992"/>
    </row>
    <row r="121" spans="1:7">
      <c r="A121" s="2985" t="s">
        <v>303</v>
      </c>
      <c r="B121" s="2974" t="s">
        <v>2982</v>
      </c>
      <c r="C121" s="2986"/>
      <c r="D121" s="2986"/>
      <c r="E121" s="2986"/>
      <c r="F121" s="2975">
        <v>0.1</v>
      </c>
      <c r="G121" s="2992"/>
    </row>
    <row r="122" spans="1:7">
      <c r="A122" s="2985" t="s">
        <v>303</v>
      </c>
      <c r="B122" s="2974" t="s">
        <v>2987</v>
      </c>
      <c r="C122" s="2975">
        <v>0.1</v>
      </c>
      <c r="D122" s="2975">
        <v>0.1</v>
      </c>
      <c r="E122" s="2975">
        <v>9.8000000000000004E-2</v>
      </c>
      <c r="F122" s="2975">
        <v>0.1</v>
      </c>
      <c r="G122" s="2976">
        <v>0.1</v>
      </c>
    </row>
    <row r="123" spans="1:7">
      <c r="A123" s="2985" t="s">
        <v>303</v>
      </c>
      <c r="B123" s="2974" t="s">
        <v>2992</v>
      </c>
      <c r="C123" s="2975">
        <v>0.1</v>
      </c>
      <c r="D123" s="2975">
        <v>0.1</v>
      </c>
      <c r="E123" s="2975">
        <v>9.8000000000000004E-2</v>
      </c>
      <c r="F123" s="2975">
        <v>0.1</v>
      </c>
      <c r="G123" s="2976">
        <v>0.1</v>
      </c>
    </row>
    <row r="124" spans="1:7">
      <c r="A124" s="2985" t="s">
        <v>303</v>
      </c>
      <c r="B124" s="2974" t="s">
        <v>2997</v>
      </c>
      <c r="C124" s="2975">
        <v>0.1</v>
      </c>
      <c r="D124" s="2975">
        <v>0.1</v>
      </c>
      <c r="E124" s="2975">
        <v>9.8000000000000004E-2</v>
      </c>
      <c r="F124" s="2991"/>
      <c r="G124" s="2976">
        <v>0.1</v>
      </c>
    </row>
    <row r="125" spans="1:7">
      <c r="A125" s="2985" t="s">
        <v>303</v>
      </c>
      <c r="B125" s="2974" t="s">
        <v>3002</v>
      </c>
      <c r="C125" s="2975">
        <v>9.8000000000000004E-2</v>
      </c>
      <c r="D125" s="2975">
        <v>9.8000000000000004E-2</v>
      </c>
      <c r="E125" s="2975">
        <v>9.6000000000000002E-2</v>
      </c>
      <c r="F125" s="2991"/>
      <c r="G125" s="2976">
        <v>0.1</v>
      </c>
    </row>
    <row r="126" spans="1:7" ht="14.25" thickBot="1">
      <c r="A126" s="2988" t="s">
        <v>303</v>
      </c>
      <c r="B126" s="2978" t="s">
        <v>3168</v>
      </c>
      <c r="C126" s="2979">
        <v>0.1</v>
      </c>
      <c r="D126" s="2979">
        <v>0.1</v>
      </c>
      <c r="E126" s="2979">
        <v>9.8000000000000004E-2</v>
      </c>
      <c r="F126" s="2979">
        <v>0.1</v>
      </c>
      <c r="G126" s="2981">
        <v>0.1</v>
      </c>
    </row>
    <row r="127" spans="1:7">
      <c r="A127" s="2984" t="s">
        <v>29</v>
      </c>
      <c r="B127" s="2970" t="s">
        <v>2845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2915</v>
      </c>
      <c r="C148" s="2975">
        <v>0.13</v>
      </c>
      <c r="D148" s="2975">
        <v>0.13</v>
      </c>
      <c r="E148" s="2975">
        <v>0.13</v>
      </c>
      <c r="F148" s="2986"/>
      <c r="G148" s="2976">
        <v>0.13</v>
      </c>
    </row>
    <row r="149" spans="1:7">
      <c r="A149" s="2985" t="s">
        <v>29</v>
      </c>
      <c r="B149" s="2974" t="s">
        <v>2919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2938</v>
      </c>
      <c r="C153" s="2975">
        <v>0.13</v>
      </c>
      <c r="D153" s="2975">
        <v>0.13</v>
      </c>
      <c r="E153" s="2975">
        <v>0.13</v>
      </c>
      <c r="F153" s="2975">
        <v>0.13</v>
      </c>
      <c r="G153" s="2976">
        <v>0.13</v>
      </c>
    </row>
    <row r="154" spans="1:7">
      <c r="A154" s="2985" t="s">
        <v>29</v>
      </c>
      <c r="B154" s="2974" t="s">
        <v>2945</v>
      </c>
      <c r="C154" s="2975">
        <v>0.121</v>
      </c>
      <c r="D154" s="2975">
        <v>0.121</v>
      </c>
      <c r="E154" s="2975">
        <v>0.105</v>
      </c>
      <c r="F154" s="2975">
        <v>0.121</v>
      </c>
      <c r="G154" s="2976">
        <v>0.123</v>
      </c>
    </row>
    <row r="155" spans="1:7">
      <c r="A155" s="2985" t="s">
        <v>29</v>
      </c>
      <c r="B155" s="2974" t="s">
        <v>2951</v>
      </c>
      <c r="C155" s="2975">
        <v>0.1</v>
      </c>
      <c r="D155" s="2975">
        <v>0.1</v>
      </c>
      <c r="E155" s="2975">
        <v>0.1</v>
      </c>
      <c r="F155" s="2975">
        <v>0.1</v>
      </c>
      <c r="G155" s="2976">
        <v>0.1</v>
      </c>
    </row>
    <row r="156" spans="1:7">
      <c r="A156" s="2985" t="s">
        <v>29</v>
      </c>
      <c r="B156" s="2974" t="s">
        <v>2958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2978</v>
      </c>
      <c r="C160" s="2975">
        <v>0.13</v>
      </c>
      <c r="D160" s="2975">
        <v>0.13</v>
      </c>
      <c r="E160" s="2975">
        <v>0.124</v>
      </c>
      <c r="F160" s="2975">
        <v>0.126</v>
      </c>
      <c r="G160" s="2976">
        <v>0.13</v>
      </c>
    </row>
    <row r="161" spans="1:7">
      <c r="A161" s="2985" t="s">
        <v>29</v>
      </c>
      <c r="B161" s="2974" t="s">
        <v>2983</v>
      </c>
      <c r="C161" s="2975">
        <v>0.13</v>
      </c>
      <c r="D161" s="2975">
        <v>0.13</v>
      </c>
      <c r="E161" s="2975">
        <v>0.124</v>
      </c>
      <c r="F161" s="2975">
        <v>0.127</v>
      </c>
      <c r="G161" s="2976">
        <v>0.13</v>
      </c>
    </row>
    <row r="162" spans="1:7">
      <c r="A162" s="2985" t="s">
        <v>29</v>
      </c>
      <c r="B162" s="2974" t="s">
        <v>2988</v>
      </c>
      <c r="C162" s="2975">
        <v>0.1</v>
      </c>
      <c r="D162" s="2975">
        <v>0.1</v>
      </c>
      <c r="E162" s="2975">
        <v>0.1</v>
      </c>
      <c r="F162" s="2975">
        <v>0.121</v>
      </c>
      <c r="G162" s="2976">
        <v>0.105</v>
      </c>
    </row>
    <row r="163" spans="1:7">
      <c r="A163" s="2985" t="s">
        <v>29</v>
      </c>
      <c r="B163" s="2974" t="s">
        <v>2993</v>
      </c>
      <c r="C163" s="2975">
        <v>0.1</v>
      </c>
      <c r="D163" s="2975">
        <v>0.1</v>
      </c>
      <c r="E163" s="2975">
        <v>0.1</v>
      </c>
      <c r="F163" s="2975">
        <v>0.1</v>
      </c>
      <c r="G163" s="2976">
        <v>0.1</v>
      </c>
    </row>
    <row r="164" spans="1:7">
      <c r="A164" s="2985" t="s">
        <v>29</v>
      </c>
      <c r="B164" s="2974" t="s">
        <v>2998</v>
      </c>
      <c r="C164" s="2991"/>
      <c r="D164" s="2991"/>
      <c r="E164" s="2991"/>
      <c r="F164" s="2975">
        <v>0.1</v>
      </c>
      <c r="G164" s="2987"/>
    </row>
    <row r="165" spans="1:7">
      <c r="A165" s="2985" t="s">
        <v>29</v>
      </c>
      <c r="B165" s="2974" t="s">
        <v>3169</v>
      </c>
      <c r="C165" s="2975">
        <v>0.126</v>
      </c>
      <c r="D165" s="2975">
        <v>0.126</v>
      </c>
      <c r="E165" s="2975">
        <v>0.11899999999999999</v>
      </c>
      <c r="F165" s="2975">
        <v>0.13</v>
      </c>
      <c r="G165" s="2976">
        <v>0.128</v>
      </c>
    </row>
    <row r="166" spans="1:7">
      <c r="A166" s="2985" t="s">
        <v>29</v>
      </c>
      <c r="B166" s="2974" t="s">
        <v>3008</v>
      </c>
      <c r="C166" s="2975">
        <v>0.129</v>
      </c>
      <c r="D166" s="2975">
        <v>0.129</v>
      </c>
      <c r="E166" s="2975">
        <v>0.123</v>
      </c>
      <c r="F166" s="2975">
        <v>0.128</v>
      </c>
      <c r="G166" s="2976">
        <v>0.13</v>
      </c>
    </row>
    <row r="167" spans="1:7">
      <c r="A167" s="2985" t="s">
        <v>29</v>
      </c>
      <c r="B167" s="2974" t="s">
        <v>3012</v>
      </c>
      <c r="C167" s="2975">
        <v>0.125</v>
      </c>
      <c r="D167" s="2975">
        <v>0.125</v>
      </c>
      <c r="E167" s="2975">
        <v>0.11700000000000001</v>
      </c>
      <c r="F167" s="2975">
        <v>0.13</v>
      </c>
      <c r="G167" s="2976">
        <v>0.126</v>
      </c>
    </row>
    <row r="168" spans="1:7">
      <c r="A168" s="2985" t="s">
        <v>29</v>
      </c>
      <c r="B168" s="2974" t="s">
        <v>3017</v>
      </c>
      <c r="C168" s="2975">
        <v>0.128</v>
      </c>
      <c r="D168" s="2975">
        <v>0.128</v>
      </c>
      <c r="E168" s="2975">
        <v>0.123</v>
      </c>
      <c r="F168" s="2986"/>
      <c r="G168" s="2976">
        <v>0.13</v>
      </c>
    </row>
    <row r="169" spans="1:7">
      <c r="A169" s="2985" t="s">
        <v>29</v>
      </c>
      <c r="B169" s="2974" t="s">
        <v>3170</v>
      </c>
      <c r="C169" s="2991"/>
      <c r="D169" s="2991"/>
      <c r="E169" s="2991"/>
      <c r="F169" s="2975">
        <v>0.05</v>
      </c>
      <c r="G169" s="2987"/>
    </row>
    <row r="170" spans="1:7">
      <c r="A170" s="2985" t="s">
        <v>29</v>
      </c>
      <c r="B170" s="2974" t="s">
        <v>3171</v>
      </c>
      <c r="C170" s="2991"/>
      <c r="D170" s="2991"/>
      <c r="E170" s="2991"/>
      <c r="F170" s="2975">
        <v>0.05</v>
      </c>
      <c r="G170" s="2987"/>
    </row>
    <row r="171" spans="1:7">
      <c r="A171" s="2985" t="s">
        <v>29</v>
      </c>
      <c r="B171" s="2974" t="s">
        <v>3172</v>
      </c>
      <c r="C171" s="2991"/>
      <c r="D171" s="2991"/>
      <c r="E171" s="2991"/>
      <c r="F171" s="2975">
        <v>0.05</v>
      </c>
      <c r="G171" s="2992"/>
    </row>
    <row r="172" spans="1:7">
      <c r="A172" s="2985" t="s">
        <v>29</v>
      </c>
      <c r="B172" s="2974" t="s">
        <v>3173</v>
      </c>
      <c r="C172" s="2991"/>
      <c r="D172" s="2991"/>
      <c r="E172" s="2991"/>
      <c r="F172" s="2975">
        <v>0.05</v>
      </c>
      <c r="G172" s="2992"/>
    </row>
    <row r="173" spans="1:7">
      <c r="A173" s="2985" t="s">
        <v>29</v>
      </c>
      <c r="B173" s="2974" t="s">
        <v>3174</v>
      </c>
      <c r="C173" s="2991"/>
      <c r="D173" s="2991"/>
      <c r="E173" s="2991"/>
      <c r="F173" s="2975">
        <v>0.05</v>
      </c>
      <c r="G173" s="2987"/>
    </row>
    <row r="174" spans="1:7">
      <c r="A174" s="2985" t="s">
        <v>29</v>
      </c>
      <c r="B174" s="2974" t="s">
        <v>3175</v>
      </c>
      <c r="C174" s="2991"/>
      <c r="D174" s="2991"/>
      <c r="E174" s="2991"/>
      <c r="F174" s="2975">
        <v>0.05</v>
      </c>
      <c r="G174" s="2987"/>
    </row>
    <row r="175" spans="1:7">
      <c r="A175" s="2985" t="s">
        <v>29</v>
      </c>
      <c r="B175" s="2974" t="s">
        <v>3176</v>
      </c>
      <c r="C175" s="2991"/>
      <c r="D175" s="2991"/>
      <c r="E175" s="2991"/>
      <c r="F175" s="2975">
        <v>0.05</v>
      </c>
      <c r="G175" s="2987"/>
    </row>
    <row r="176" spans="1:7">
      <c r="A176" s="2985" t="s">
        <v>29</v>
      </c>
      <c r="B176" s="2974" t="s">
        <v>3177</v>
      </c>
      <c r="C176" s="2991"/>
      <c r="D176" s="2991"/>
      <c r="E176" s="2991"/>
      <c r="F176" s="2975">
        <v>0.05</v>
      </c>
      <c r="G176" s="2987"/>
    </row>
    <row r="177" spans="1:7">
      <c r="A177" s="2985" t="s">
        <v>29</v>
      </c>
      <c r="B177" s="2974" t="s">
        <v>3178</v>
      </c>
      <c r="C177" s="2986"/>
      <c r="D177" s="2986"/>
      <c r="E177" s="2986"/>
      <c r="F177" s="2975">
        <v>0.05</v>
      </c>
      <c r="G177" s="2992"/>
    </row>
    <row r="178" spans="1:7">
      <c r="A178" s="2985" t="s">
        <v>29</v>
      </c>
      <c r="B178" s="2974" t="s">
        <v>3179</v>
      </c>
      <c r="C178" s="2986"/>
      <c r="D178" s="2986"/>
      <c r="E178" s="2986"/>
      <c r="F178" s="2975">
        <v>0.05</v>
      </c>
      <c r="G178" s="2992"/>
    </row>
    <row r="179" spans="1:7">
      <c r="A179" s="2985" t="s">
        <v>29</v>
      </c>
      <c r="B179" s="2974" t="s">
        <v>3180</v>
      </c>
      <c r="C179" s="2986"/>
      <c r="D179" s="2986"/>
      <c r="E179" s="2986"/>
      <c r="F179" s="2975">
        <v>0.05</v>
      </c>
      <c r="G179" s="2992"/>
    </row>
    <row r="180" spans="1:7">
      <c r="A180" s="2985" t="s">
        <v>29</v>
      </c>
      <c r="B180" s="2974" t="s">
        <v>3181</v>
      </c>
      <c r="C180" s="2986"/>
      <c r="D180" s="2986"/>
      <c r="E180" s="2986"/>
      <c r="F180" s="2975">
        <v>0.05</v>
      </c>
      <c r="G180" s="2992"/>
    </row>
    <row r="181" spans="1:7">
      <c r="A181" s="2985" t="s">
        <v>29</v>
      </c>
      <c r="B181" s="2974" t="s">
        <v>3182</v>
      </c>
      <c r="C181" s="2986"/>
      <c r="D181" s="2986"/>
      <c r="E181" s="2986"/>
      <c r="F181" s="2975">
        <v>0.05</v>
      </c>
      <c r="G181" s="2992"/>
    </row>
    <row r="182" spans="1:7">
      <c r="A182" s="2985" t="s">
        <v>29</v>
      </c>
      <c r="B182" s="2974" t="s">
        <v>3183</v>
      </c>
      <c r="C182" s="2986"/>
      <c r="D182" s="2986"/>
      <c r="E182" s="2986"/>
      <c r="F182" s="2975">
        <v>0.05</v>
      </c>
      <c r="G182" s="2992"/>
    </row>
    <row r="183" spans="1:7">
      <c r="A183" s="2985" t="s">
        <v>29</v>
      </c>
      <c r="B183" s="2974" t="s">
        <v>3184</v>
      </c>
      <c r="C183" s="2986"/>
      <c r="D183" s="2986"/>
      <c r="E183" s="2986"/>
      <c r="F183" s="2975">
        <v>0.05</v>
      </c>
      <c r="G183" s="2992"/>
    </row>
    <row r="184" spans="1:7">
      <c r="A184" s="2985" t="s">
        <v>29</v>
      </c>
      <c r="B184" s="2974" t="s">
        <v>3185</v>
      </c>
      <c r="C184" s="2986"/>
      <c r="D184" s="2986"/>
      <c r="E184" s="2986"/>
      <c r="F184" s="2975">
        <v>0.05</v>
      </c>
      <c r="G184" s="2992"/>
    </row>
    <row r="185" spans="1:7">
      <c r="A185" s="2985" t="s">
        <v>29</v>
      </c>
      <c r="B185" s="2974" t="s">
        <v>3186</v>
      </c>
      <c r="C185" s="2986"/>
      <c r="D185" s="2986"/>
      <c r="E185" s="2986"/>
      <c r="F185" s="2975">
        <v>0.05</v>
      </c>
      <c r="G185" s="2992"/>
    </row>
    <row r="186" spans="1:7">
      <c r="A186" s="2985" t="s">
        <v>29</v>
      </c>
      <c r="B186" s="2974" t="s">
        <v>3187</v>
      </c>
      <c r="C186" s="2986"/>
      <c r="D186" s="2986"/>
      <c r="E186" s="2986"/>
      <c r="F186" s="2975">
        <v>0.05</v>
      </c>
      <c r="G186" s="2992"/>
    </row>
    <row r="187" spans="1:7">
      <c r="A187" s="2985" t="s">
        <v>29</v>
      </c>
      <c r="B187" s="2974" t="s">
        <v>3188</v>
      </c>
      <c r="C187" s="2986"/>
      <c r="D187" s="2986"/>
      <c r="E187" s="2986"/>
      <c r="F187" s="2975">
        <v>0.05</v>
      </c>
      <c r="G187" s="2992"/>
    </row>
    <row r="188" spans="1:7">
      <c r="A188" s="2985" t="s">
        <v>29</v>
      </c>
      <c r="B188" s="2974" t="s">
        <v>3189</v>
      </c>
      <c r="C188" s="2986"/>
      <c r="D188" s="2986"/>
      <c r="E188" s="2986"/>
      <c r="F188" s="2975">
        <v>0.05</v>
      </c>
      <c r="G188" s="2992"/>
    </row>
    <row r="189" spans="1:7" ht="14.25" thickBot="1">
      <c r="A189" s="2988" t="s">
        <v>29</v>
      </c>
      <c r="B189" s="2978" t="s">
        <v>3190</v>
      </c>
      <c r="C189" s="2980"/>
      <c r="D189" s="2980"/>
      <c r="E189" s="2980"/>
      <c r="F189" s="2979">
        <v>0.05</v>
      </c>
      <c r="G189" s="2993"/>
    </row>
    <row r="190" spans="1:7">
      <c r="A190" s="2984" t="s">
        <v>304</v>
      </c>
      <c r="B190" s="2970" t="s">
        <v>2846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2882</v>
      </c>
      <c r="C199" s="2975">
        <v>0.13</v>
      </c>
      <c r="D199" s="2975">
        <v>0.13</v>
      </c>
      <c r="E199" s="2975">
        <v>0.13</v>
      </c>
      <c r="F199" s="2975">
        <v>0.13</v>
      </c>
      <c r="G199" s="2976">
        <v>0.13</v>
      </c>
    </row>
    <row r="200" spans="1:7">
      <c r="A200" s="2985" t="s">
        <v>304</v>
      </c>
      <c r="B200" s="2974" t="s">
        <v>2885</v>
      </c>
      <c r="C200" s="2991"/>
      <c r="D200" s="2991"/>
      <c r="E200" s="2991"/>
      <c r="F200" s="2975">
        <v>0.13</v>
      </c>
      <c r="G200" s="2987"/>
    </row>
    <row r="201" spans="1:7">
      <c r="A201" s="2985" t="s">
        <v>304</v>
      </c>
      <c r="B201" s="2974" t="s">
        <v>2890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2893</v>
      </c>
      <c r="C203" s="2975">
        <v>0.129</v>
      </c>
      <c r="D203" s="2975">
        <v>0.129</v>
      </c>
      <c r="E203" s="2975">
        <v>0.13</v>
      </c>
      <c r="F203" s="2975">
        <v>0.13</v>
      </c>
      <c r="G203" s="2976">
        <v>0.13</v>
      </c>
    </row>
    <row r="204" spans="1:7">
      <c r="A204" s="2985" t="s">
        <v>304</v>
      </c>
      <c r="B204" s="2974" t="s">
        <v>2896</v>
      </c>
      <c r="C204" s="2975">
        <v>0.129</v>
      </c>
      <c r="D204" s="2975">
        <v>0.129</v>
      </c>
      <c r="E204" s="2975">
        <v>0.123</v>
      </c>
      <c r="F204" s="2975">
        <v>0.13</v>
      </c>
      <c r="G204" s="2976">
        <v>0.13</v>
      </c>
    </row>
    <row r="205" spans="1:7">
      <c r="A205" s="2985" t="s">
        <v>304</v>
      </c>
      <c r="B205" s="2974" t="s">
        <v>2898</v>
      </c>
      <c r="C205" s="2975">
        <v>0.13</v>
      </c>
      <c r="D205" s="2975">
        <v>0.13</v>
      </c>
      <c r="E205" s="2975">
        <v>0.13</v>
      </c>
      <c r="F205" s="2975">
        <v>0.13</v>
      </c>
      <c r="G205" s="2976">
        <v>0.13</v>
      </c>
    </row>
    <row r="206" spans="1:7">
      <c r="A206" s="2985" t="s">
        <v>304</v>
      </c>
      <c r="B206" s="2974" t="s">
        <v>2901</v>
      </c>
      <c r="C206" s="2975">
        <v>0.13</v>
      </c>
      <c r="D206" s="2975">
        <v>0.13</v>
      </c>
      <c r="E206" s="2975">
        <v>0.13</v>
      </c>
      <c r="F206" s="2975">
        <v>0.128</v>
      </c>
      <c r="G206" s="2976">
        <v>0.13</v>
      </c>
    </row>
    <row r="207" spans="1:7">
      <c r="A207" s="2985" t="s">
        <v>304</v>
      </c>
      <c r="B207" s="2974" t="s">
        <v>2903</v>
      </c>
      <c r="C207" s="2975">
        <v>0.13</v>
      </c>
      <c r="D207" s="2975">
        <v>0.13</v>
      </c>
      <c r="E207" s="2975">
        <v>0.13</v>
      </c>
      <c r="F207" s="2975">
        <v>0.13</v>
      </c>
      <c r="G207" s="2976">
        <v>0.13</v>
      </c>
    </row>
    <row r="208" spans="1:7">
      <c r="A208" s="2985" t="s">
        <v>304</v>
      </c>
      <c r="B208" s="2974" t="s">
        <v>2906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2913</v>
      </c>
      <c r="C210" s="2975">
        <v>0.121</v>
      </c>
      <c r="D210" s="2975">
        <v>0.121</v>
      </c>
      <c r="E210" s="2975">
        <v>0.125</v>
      </c>
      <c r="F210" s="2975">
        <v>0.13</v>
      </c>
      <c r="G210" s="2976">
        <v>0.123</v>
      </c>
    </row>
    <row r="211" spans="1:7">
      <c r="A211" s="2985" t="s">
        <v>304</v>
      </c>
      <c r="B211" s="2974" t="s">
        <v>2916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2928</v>
      </c>
      <c r="C214" s="2975">
        <v>0.128</v>
      </c>
      <c r="D214" s="2975">
        <v>0.128</v>
      </c>
      <c r="E214" s="2975">
        <v>0.13</v>
      </c>
      <c r="F214" s="2975">
        <v>0.13</v>
      </c>
      <c r="G214" s="2976">
        <v>0.13</v>
      </c>
    </row>
    <row r="215" spans="1:7">
      <c r="A215" s="2985" t="s">
        <v>304</v>
      </c>
      <c r="B215" s="2974" t="s">
        <v>2932</v>
      </c>
      <c r="C215" s="2975">
        <v>0.13</v>
      </c>
      <c r="D215" s="2975">
        <v>0.13</v>
      </c>
      <c r="E215" s="2975">
        <v>0.13</v>
      </c>
      <c r="F215" s="2975">
        <v>0.129</v>
      </c>
      <c r="G215" s="2976">
        <v>0.13</v>
      </c>
    </row>
    <row r="216" spans="1:7">
      <c r="A216" s="2985" t="s">
        <v>304</v>
      </c>
      <c r="B216" s="2974" t="s">
        <v>2939</v>
      </c>
      <c r="C216" s="2975">
        <v>0.13</v>
      </c>
      <c r="D216" s="2975">
        <v>0.13</v>
      </c>
      <c r="E216" s="2975">
        <v>0.13</v>
      </c>
      <c r="F216" s="2975">
        <v>0.13</v>
      </c>
      <c r="G216" s="2976">
        <v>0.13</v>
      </c>
    </row>
    <row r="217" spans="1:7">
      <c r="A217" s="2985" t="s">
        <v>304</v>
      </c>
      <c r="B217" s="2974" t="s">
        <v>2946</v>
      </c>
      <c r="C217" s="2975">
        <v>0.129</v>
      </c>
      <c r="D217" s="2975">
        <v>0.129</v>
      </c>
      <c r="E217" s="2975">
        <v>0.13</v>
      </c>
      <c r="F217" s="2975">
        <v>0.13</v>
      </c>
      <c r="G217" s="2976">
        <v>0.13</v>
      </c>
    </row>
    <row r="218" spans="1:7">
      <c r="A218" s="2985" t="s">
        <v>304</v>
      </c>
      <c r="B218" s="2974" t="s">
        <v>2952</v>
      </c>
      <c r="C218" s="2986"/>
      <c r="D218" s="2986"/>
      <c r="E218" s="2986"/>
      <c r="F218" s="2975">
        <v>0.05</v>
      </c>
      <c r="G218" s="2992"/>
    </row>
    <row r="219" spans="1:7">
      <c r="A219" s="2985" t="s">
        <v>304</v>
      </c>
      <c r="B219" s="2974" t="s">
        <v>2959</v>
      </c>
      <c r="C219" s="2986"/>
      <c r="D219" s="2986"/>
      <c r="E219" s="2986"/>
      <c r="F219" s="2975">
        <v>0.05</v>
      </c>
      <c r="G219" s="2992"/>
    </row>
    <row r="220" spans="1:7">
      <c r="A220" s="2985" t="s">
        <v>304</v>
      </c>
      <c r="B220" s="2974" t="s">
        <v>2965</v>
      </c>
      <c r="C220" s="2986"/>
      <c r="D220" s="2986"/>
      <c r="E220" s="2986"/>
      <c r="F220" s="2975">
        <v>0.05</v>
      </c>
      <c r="G220" s="2992"/>
    </row>
    <row r="221" spans="1:7">
      <c r="A221" s="2985" t="s">
        <v>304</v>
      </c>
      <c r="B221" s="2974" t="s">
        <v>2970</v>
      </c>
      <c r="C221" s="2986"/>
      <c r="D221" s="2986"/>
      <c r="E221" s="2986"/>
      <c r="F221" s="2975">
        <v>0.05</v>
      </c>
      <c r="G221" s="2992"/>
    </row>
    <row r="222" spans="1:7">
      <c r="A222" s="2985" t="s">
        <v>304</v>
      </c>
      <c r="B222" s="2974" t="s">
        <v>2974</v>
      </c>
      <c r="C222" s="2986"/>
      <c r="D222" s="2986"/>
      <c r="E222" s="2986"/>
      <c r="F222" s="2975">
        <v>0.05</v>
      </c>
      <c r="G222" s="2992"/>
    </row>
    <row r="223" spans="1:7">
      <c r="A223" s="2985" t="s">
        <v>304</v>
      </c>
      <c r="B223" s="2974" t="s">
        <v>2979</v>
      </c>
      <c r="C223" s="2986"/>
      <c r="D223" s="2986"/>
      <c r="E223" s="2986"/>
      <c r="F223" s="2975">
        <v>0.05</v>
      </c>
      <c r="G223" s="2992"/>
    </row>
    <row r="224" spans="1:7">
      <c r="A224" s="2985" t="s">
        <v>304</v>
      </c>
      <c r="B224" s="2974" t="s">
        <v>2984</v>
      </c>
      <c r="C224" s="2986"/>
      <c r="D224" s="2986"/>
      <c r="E224" s="2986"/>
      <c r="F224" s="2975">
        <v>0.05</v>
      </c>
      <c r="G224" s="2992"/>
    </row>
    <row r="225" spans="1:7">
      <c r="A225" s="2985" t="s">
        <v>304</v>
      </c>
      <c r="B225" s="2974" t="s">
        <v>2989</v>
      </c>
      <c r="C225" s="2986"/>
      <c r="D225" s="2986"/>
      <c r="E225" s="2986"/>
      <c r="F225" s="2975">
        <v>0.05</v>
      </c>
      <c r="G225" s="2992"/>
    </row>
    <row r="226" spans="1:7">
      <c r="A226" s="2985" t="s">
        <v>304</v>
      </c>
      <c r="B226" s="2974" t="s">
        <v>3191</v>
      </c>
      <c r="C226" s="2986"/>
      <c r="D226" s="2986"/>
      <c r="E226" s="2986"/>
      <c r="F226" s="2975">
        <v>0.05</v>
      </c>
      <c r="G226" s="2992"/>
    </row>
    <row r="227" spans="1:7">
      <c r="A227" s="2985" t="s">
        <v>304</v>
      </c>
      <c r="B227" s="2974" t="s">
        <v>3192</v>
      </c>
      <c r="C227" s="2986"/>
      <c r="D227" s="2986"/>
      <c r="E227" s="2986"/>
      <c r="F227" s="2975">
        <v>0.05</v>
      </c>
      <c r="G227" s="2992"/>
    </row>
    <row r="228" spans="1:7">
      <c r="A228" s="2985" t="s">
        <v>304</v>
      </c>
      <c r="B228" s="2974" t="s">
        <v>3193</v>
      </c>
      <c r="C228" s="2986"/>
      <c r="D228" s="2986"/>
      <c r="E228" s="2986"/>
      <c r="F228" s="2975">
        <v>0.05</v>
      </c>
      <c r="G228" s="2992"/>
    </row>
    <row r="229" spans="1:7">
      <c r="A229" s="2985" t="s">
        <v>304</v>
      </c>
      <c r="B229" s="2974" t="s">
        <v>3194</v>
      </c>
      <c r="C229" s="2986"/>
      <c r="D229" s="2986"/>
      <c r="E229" s="2986"/>
      <c r="F229" s="2975">
        <v>0.05</v>
      </c>
      <c r="G229" s="2992"/>
    </row>
    <row r="230" spans="1:7">
      <c r="A230" s="2985" t="s">
        <v>304</v>
      </c>
      <c r="B230" s="2974" t="s">
        <v>3195</v>
      </c>
      <c r="C230" s="2986"/>
      <c r="D230" s="2986"/>
      <c r="E230" s="2986"/>
      <c r="F230" s="2975">
        <v>0.05</v>
      </c>
      <c r="G230" s="2992"/>
    </row>
    <row r="231" spans="1:7">
      <c r="A231" s="2985" t="s">
        <v>304</v>
      </c>
      <c r="B231" s="2974" t="s">
        <v>3196</v>
      </c>
      <c r="C231" s="2986"/>
      <c r="D231" s="2986"/>
      <c r="E231" s="2986"/>
      <c r="F231" s="2975">
        <v>0.05</v>
      </c>
      <c r="G231" s="2992"/>
    </row>
    <row r="232" spans="1:7">
      <c r="A232" s="2985" t="s">
        <v>304</v>
      </c>
      <c r="B232" s="2974" t="s">
        <v>3197</v>
      </c>
      <c r="C232" s="2986"/>
      <c r="D232" s="2986"/>
      <c r="E232" s="2986"/>
      <c r="F232" s="2975">
        <v>0.05</v>
      </c>
      <c r="G232" s="2992"/>
    </row>
    <row r="233" spans="1:7" ht="14.25" thickBot="1">
      <c r="A233" s="2988" t="s">
        <v>304</v>
      </c>
      <c r="B233" s="2978" t="s">
        <v>3198</v>
      </c>
      <c r="C233" s="2980"/>
      <c r="D233" s="2980"/>
      <c r="E233" s="2980"/>
      <c r="F233" s="2979">
        <v>0.05</v>
      </c>
      <c r="G233" s="2993"/>
    </row>
    <row r="234" spans="1:7">
      <c r="A234" s="2984" t="s">
        <v>305</v>
      </c>
      <c r="B234" s="2970" t="s">
        <v>2847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2867</v>
      </c>
      <c r="C238" s="2975">
        <v>0.14899999999999999</v>
      </c>
      <c r="D238" s="2975">
        <v>0.14899999999999999</v>
      </c>
      <c r="E238" s="2975">
        <v>0.15</v>
      </c>
      <c r="F238" s="2975">
        <v>0.15</v>
      </c>
      <c r="G238" s="2976">
        <v>0.15</v>
      </c>
    </row>
    <row r="239" spans="1:7">
      <c r="A239" s="2985" t="s">
        <v>305</v>
      </c>
      <c r="B239" s="2974" t="s">
        <v>2871</v>
      </c>
      <c r="C239" s="2975">
        <v>0.15</v>
      </c>
      <c r="D239" s="2975">
        <v>0.15</v>
      </c>
      <c r="E239" s="2975">
        <v>0.15</v>
      </c>
      <c r="F239" s="2975">
        <v>0.15</v>
      </c>
      <c r="G239" s="2976">
        <v>0.15</v>
      </c>
    </row>
    <row r="240" spans="1:7">
      <c r="A240" s="2985" t="s">
        <v>305</v>
      </c>
      <c r="B240" s="2974" t="s">
        <v>2876</v>
      </c>
      <c r="C240" s="2975">
        <v>0.15</v>
      </c>
      <c r="D240" s="2975">
        <v>0.15</v>
      </c>
      <c r="E240" s="2975">
        <v>0.15</v>
      </c>
      <c r="F240" s="2975">
        <v>0.15</v>
      </c>
      <c r="G240" s="2976">
        <v>0.15</v>
      </c>
    </row>
    <row r="241" spans="1:7">
      <c r="A241" s="2985" t="s">
        <v>305</v>
      </c>
      <c r="B241" s="2974" t="s">
        <v>2880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2886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2899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2907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2929</v>
      </c>
      <c r="C258" s="2975">
        <v>0.14299999999999999</v>
      </c>
      <c r="D258" s="2975">
        <v>0.14299999999999999</v>
      </c>
      <c r="E258" s="2975">
        <v>0.15</v>
      </c>
      <c r="F258" s="2975">
        <v>0.14799999999999999</v>
      </c>
      <c r="G258" s="2976">
        <v>0.14599999999999999</v>
      </c>
    </row>
    <row r="259" spans="1:7">
      <c r="A259" s="2985" t="s">
        <v>305</v>
      </c>
      <c r="B259" s="2974" t="s">
        <v>2933</v>
      </c>
      <c r="C259" s="2975">
        <v>0.14399999999999999</v>
      </c>
      <c r="D259" s="2975">
        <v>0.14399999999999999</v>
      </c>
      <c r="E259" s="2975">
        <v>0.14899999999999999</v>
      </c>
      <c r="F259" s="2975">
        <v>0.14699999999999999</v>
      </c>
      <c r="G259" s="2976">
        <v>0.14599999999999999</v>
      </c>
    </row>
    <row r="260" spans="1:7">
      <c r="A260" s="2985" t="s">
        <v>305</v>
      </c>
      <c r="B260" s="2974" t="s">
        <v>2940</v>
      </c>
      <c r="C260" s="2975">
        <v>0.109</v>
      </c>
      <c r="D260" s="2975">
        <v>0.111</v>
      </c>
      <c r="E260" s="2975">
        <v>0.13100000000000001</v>
      </c>
      <c r="F260" s="2975">
        <v>0.126</v>
      </c>
      <c r="G260" s="2976">
        <v>0.11899999999999999</v>
      </c>
    </row>
    <row r="261" spans="1:7">
      <c r="A261" s="2985" t="s">
        <v>305</v>
      </c>
      <c r="B261" s="2974" t="s">
        <v>2947</v>
      </c>
      <c r="C261" s="2975">
        <v>0.1</v>
      </c>
      <c r="D261" s="2975">
        <v>0.1</v>
      </c>
      <c r="E261" s="2975">
        <v>0.11799999999999999</v>
      </c>
      <c r="F261" s="2975">
        <v>0.108</v>
      </c>
      <c r="G261" s="2976">
        <v>0.107</v>
      </c>
    </row>
    <row r="262" spans="1:7">
      <c r="A262" s="2985" t="s">
        <v>305</v>
      </c>
      <c r="B262" s="2974" t="s">
        <v>2953</v>
      </c>
      <c r="C262" s="2975">
        <v>0.1</v>
      </c>
      <c r="D262" s="2975">
        <v>0.1</v>
      </c>
      <c r="E262" s="2975">
        <v>0.1</v>
      </c>
      <c r="F262" s="2975">
        <v>0.14099999999999999</v>
      </c>
      <c r="G262" s="2976">
        <v>0.1</v>
      </c>
    </row>
    <row r="263" spans="1:7">
      <c r="A263" s="2985" t="s">
        <v>305</v>
      </c>
      <c r="B263" s="2974" t="s">
        <v>2960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2971</v>
      </c>
      <c r="C265" s="2986"/>
      <c r="D265" s="2986"/>
      <c r="E265" s="2986"/>
      <c r="F265" s="2975">
        <v>0.05</v>
      </c>
      <c r="G265" s="2992"/>
    </row>
    <row r="266" spans="1:7">
      <c r="A266" s="2985" t="s">
        <v>305</v>
      </c>
      <c r="B266" s="2974" t="s">
        <v>2975</v>
      </c>
      <c r="C266" s="2986"/>
      <c r="D266" s="2986"/>
      <c r="E266" s="2986"/>
      <c r="F266" s="2975">
        <v>0.05</v>
      </c>
      <c r="G266" s="2992"/>
    </row>
    <row r="267" spans="1:7">
      <c r="A267" s="2985" t="s">
        <v>305</v>
      </c>
      <c r="B267" s="2974" t="s">
        <v>2980</v>
      </c>
      <c r="C267" s="2986"/>
      <c r="D267" s="2986"/>
      <c r="E267" s="2986"/>
      <c r="F267" s="2975">
        <v>0.05</v>
      </c>
      <c r="G267" s="2992"/>
    </row>
    <row r="268" spans="1:7">
      <c r="A268" s="2985" t="s">
        <v>305</v>
      </c>
      <c r="B268" s="2974" t="s">
        <v>2985</v>
      </c>
      <c r="C268" s="2986"/>
      <c r="D268" s="2986"/>
      <c r="E268" s="2986"/>
      <c r="F268" s="2975">
        <v>0.05</v>
      </c>
      <c r="G268" s="2992"/>
    </row>
    <row r="269" spans="1:7">
      <c r="A269" s="2985" t="s">
        <v>305</v>
      </c>
      <c r="B269" s="2974" t="s">
        <v>2990</v>
      </c>
      <c r="C269" s="2986"/>
      <c r="D269" s="2986"/>
      <c r="E269" s="2986"/>
      <c r="F269" s="2975">
        <v>0.05</v>
      </c>
      <c r="G269" s="2992"/>
    </row>
    <row r="270" spans="1:7">
      <c r="A270" s="2985" t="s">
        <v>305</v>
      </c>
      <c r="B270" s="2974" t="s">
        <v>2995</v>
      </c>
      <c r="C270" s="2986"/>
      <c r="D270" s="2986"/>
      <c r="E270" s="2986"/>
      <c r="F270" s="2975">
        <v>0.05</v>
      </c>
      <c r="G270" s="2992"/>
    </row>
    <row r="271" spans="1:7">
      <c r="A271" s="2985" t="s">
        <v>305</v>
      </c>
      <c r="B271" s="2974" t="s">
        <v>3199</v>
      </c>
      <c r="C271" s="2986"/>
      <c r="D271" s="2986"/>
      <c r="E271" s="2986"/>
      <c r="F271" s="2975">
        <v>0.05</v>
      </c>
      <c r="G271" s="2992"/>
    </row>
    <row r="272" spans="1:7">
      <c r="A272" s="2985" t="s">
        <v>305</v>
      </c>
      <c r="B272" s="2974" t="s">
        <v>3200</v>
      </c>
      <c r="C272" s="2986"/>
      <c r="D272" s="2986"/>
      <c r="E272" s="2986"/>
      <c r="F272" s="2975">
        <v>0.05</v>
      </c>
      <c r="G272" s="2992"/>
    </row>
    <row r="273" spans="1:7">
      <c r="A273" s="2985" t="s">
        <v>305</v>
      </c>
      <c r="B273" s="2974" t="s">
        <v>3201</v>
      </c>
      <c r="C273" s="2986"/>
      <c r="D273" s="2986"/>
      <c r="E273" s="2986"/>
      <c r="F273" s="2975">
        <v>0.05</v>
      </c>
      <c r="G273" s="2992"/>
    </row>
    <row r="274" spans="1:7">
      <c r="A274" s="2985" t="s">
        <v>305</v>
      </c>
      <c r="B274" s="2974" t="s">
        <v>3202</v>
      </c>
      <c r="C274" s="2986"/>
      <c r="D274" s="2986"/>
      <c r="E274" s="2986"/>
      <c r="F274" s="2975">
        <v>0.05</v>
      </c>
      <c r="G274" s="2992"/>
    </row>
    <row r="275" spans="1:7">
      <c r="A275" s="2985" t="s">
        <v>305</v>
      </c>
      <c r="B275" s="2974" t="s">
        <v>3203</v>
      </c>
      <c r="C275" s="2986"/>
      <c r="D275" s="2986"/>
      <c r="E275" s="2986"/>
      <c r="F275" s="2975">
        <v>0.05</v>
      </c>
      <c r="G275" s="2992"/>
    </row>
    <row r="276" spans="1:7" ht="14.25" thickBot="1">
      <c r="A276" s="2988" t="s">
        <v>305</v>
      </c>
      <c r="B276" s="2978" t="s">
        <v>3204</v>
      </c>
      <c r="C276" s="2980"/>
      <c r="D276" s="2980"/>
      <c r="E276" s="2980"/>
      <c r="F276" s="2979">
        <v>0.05</v>
      </c>
      <c r="G276" s="2993"/>
    </row>
    <row r="277" spans="1:7">
      <c r="A277" s="2984" t="s">
        <v>306</v>
      </c>
      <c r="B277" s="2970" t="s">
        <v>2848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2860</v>
      </c>
      <c r="C279" s="2975">
        <v>0.15</v>
      </c>
      <c r="D279" s="2975">
        <v>0.15</v>
      </c>
      <c r="E279" s="2975">
        <v>0.15</v>
      </c>
      <c r="F279" s="2975">
        <v>0.15</v>
      </c>
      <c r="G279" s="2976">
        <v>0.15</v>
      </c>
    </row>
    <row r="280" spans="1:7">
      <c r="A280" s="2985" t="s">
        <v>306</v>
      </c>
      <c r="B280" s="2974" t="s">
        <v>2864</v>
      </c>
      <c r="C280" s="2975">
        <v>0.15</v>
      </c>
      <c r="D280" s="2975">
        <v>0.15</v>
      </c>
      <c r="E280" s="2975">
        <v>0.15</v>
      </c>
      <c r="F280" s="2975">
        <v>0.15</v>
      </c>
      <c r="G280" s="2976">
        <v>0.15</v>
      </c>
    </row>
    <row r="281" spans="1:7">
      <c r="A281" s="2985" t="s">
        <v>306</v>
      </c>
      <c r="B281" s="2974" t="s">
        <v>2868</v>
      </c>
      <c r="C281" s="2975">
        <v>0.15</v>
      </c>
      <c r="D281" s="2975">
        <v>0.15</v>
      </c>
      <c r="E281" s="2975">
        <v>0.15</v>
      </c>
      <c r="F281" s="2975">
        <v>0.15</v>
      </c>
      <c r="G281" s="2976">
        <v>0.15</v>
      </c>
    </row>
    <row r="282" spans="1:7">
      <c r="A282" s="2985" t="s">
        <v>306</v>
      </c>
      <c r="B282" s="2974" t="s">
        <v>2872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2887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2902</v>
      </c>
      <c r="C293" s="2975">
        <v>0.15</v>
      </c>
      <c r="D293" s="2975">
        <v>0.15</v>
      </c>
      <c r="E293" s="2975">
        <v>0.15</v>
      </c>
      <c r="F293" s="2975">
        <v>0.14499999999999999</v>
      </c>
      <c r="G293" s="2976">
        <v>0.15</v>
      </c>
    </row>
    <row r="294" spans="1:7">
      <c r="A294" s="2985" t="s">
        <v>306</v>
      </c>
      <c r="B294" s="2974" t="s">
        <v>2904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2934</v>
      </c>
      <c r="C302" s="2975">
        <v>0.15</v>
      </c>
      <c r="D302" s="2975">
        <v>0.15</v>
      </c>
      <c r="E302" s="2975">
        <v>0.15</v>
      </c>
      <c r="F302" s="2975">
        <v>0.14699999999999999</v>
      </c>
      <c r="G302" s="2976">
        <v>0.15</v>
      </c>
    </row>
    <row r="303" spans="1:7">
      <c r="A303" s="2985" t="s">
        <v>306</v>
      </c>
      <c r="B303" s="2974" t="s">
        <v>2941</v>
      </c>
      <c r="C303" s="2975">
        <v>0.15</v>
      </c>
      <c r="D303" s="2975">
        <v>0.15</v>
      </c>
      <c r="E303" s="2975">
        <v>0.15</v>
      </c>
      <c r="F303" s="2975">
        <v>0.14199999999999999</v>
      </c>
      <c r="G303" s="2976">
        <v>0.15</v>
      </c>
    </row>
    <row r="304" spans="1:7">
      <c r="A304" s="2985" t="s">
        <v>306</v>
      </c>
      <c r="B304" s="2974" t="s">
        <v>2948</v>
      </c>
      <c r="C304" s="2975">
        <v>0.15</v>
      </c>
      <c r="D304" s="2975">
        <v>0.15</v>
      </c>
      <c r="E304" s="2975">
        <v>0.15</v>
      </c>
      <c r="F304" s="2975">
        <v>0.14499999999999999</v>
      </c>
      <c r="G304" s="2976">
        <v>0.15</v>
      </c>
    </row>
    <row r="305" spans="1:7">
      <c r="A305" s="2985" t="s">
        <v>306</v>
      </c>
      <c r="B305" s="2974" t="s">
        <v>2954</v>
      </c>
      <c r="C305" s="2975">
        <v>0.15</v>
      </c>
      <c r="D305" s="2975">
        <v>0.15</v>
      </c>
      <c r="E305" s="2975">
        <v>0.15</v>
      </c>
      <c r="F305" s="2975">
        <v>0.111</v>
      </c>
      <c r="G305" s="2976">
        <v>0.15</v>
      </c>
    </row>
    <row r="306" spans="1:7">
      <c r="A306" s="2985" t="s">
        <v>306</v>
      </c>
      <c r="B306" s="2974" t="s">
        <v>2961</v>
      </c>
      <c r="C306" s="2975">
        <v>0.15</v>
      </c>
      <c r="D306" s="2975">
        <v>0.15</v>
      </c>
      <c r="E306" s="2975">
        <v>0.15</v>
      </c>
      <c r="F306" s="2975">
        <v>0.126</v>
      </c>
      <c r="G306" s="2976">
        <v>0.15</v>
      </c>
    </row>
    <row r="307" spans="1:7">
      <c r="A307" s="2985" t="s">
        <v>306</v>
      </c>
      <c r="B307" s="2974" t="s">
        <v>2966</v>
      </c>
      <c r="C307" s="2975">
        <v>0.15</v>
      </c>
      <c r="D307" s="2975">
        <v>0.15</v>
      </c>
      <c r="E307" s="2975">
        <v>0.15</v>
      </c>
      <c r="F307" s="2975">
        <v>0.12</v>
      </c>
      <c r="G307" s="2976">
        <v>0.15</v>
      </c>
    </row>
    <row r="308" spans="1:7">
      <c r="A308" s="2985" t="s">
        <v>306</v>
      </c>
      <c r="B308" s="2974" t="s">
        <v>2972</v>
      </c>
      <c r="C308" s="2975">
        <v>0.15</v>
      </c>
      <c r="D308" s="2975">
        <v>0.15</v>
      </c>
      <c r="E308" s="2975">
        <v>0.15</v>
      </c>
      <c r="F308" s="2975">
        <v>0.13</v>
      </c>
      <c r="G308" s="2976">
        <v>0.15</v>
      </c>
    </row>
    <row r="309" spans="1:7">
      <c r="A309" s="2985" t="s">
        <v>306</v>
      </c>
      <c r="B309" s="2974" t="s">
        <v>2976</v>
      </c>
      <c r="C309" s="2975">
        <v>0.15</v>
      </c>
      <c r="D309" s="2975">
        <v>0.15</v>
      </c>
      <c r="E309" s="2975">
        <v>0.15</v>
      </c>
      <c r="F309" s="2975">
        <v>0.14099999999999999</v>
      </c>
      <c r="G309" s="2976">
        <v>0.15</v>
      </c>
    </row>
    <row r="310" spans="1:7">
      <c r="A310" s="2985" t="s">
        <v>306</v>
      </c>
      <c r="B310" s="2974" t="s">
        <v>2981</v>
      </c>
      <c r="C310" s="2975">
        <v>0.15</v>
      </c>
      <c r="D310" s="2975">
        <v>0.15</v>
      </c>
      <c r="E310" s="2975">
        <v>0.15</v>
      </c>
      <c r="F310" s="2975">
        <v>0.15</v>
      </c>
      <c r="G310" s="2976">
        <v>0.15</v>
      </c>
    </row>
    <row r="311" spans="1:7">
      <c r="A311" s="2985" t="s">
        <v>306</v>
      </c>
      <c r="B311" s="2974" t="s">
        <v>2986</v>
      </c>
      <c r="C311" s="2975">
        <v>0.13200000000000001</v>
      </c>
      <c r="D311" s="2975">
        <v>0.13300000000000001</v>
      </c>
      <c r="E311" s="2975">
        <v>0.14499999999999999</v>
      </c>
      <c r="F311" s="2975">
        <v>0.14199999999999999</v>
      </c>
      <c r="G311" s="2976">
        <v>0.14000000000000001</v>
      </c>
    </row>
    <row r="312" spans="1:7">
      <c r="A312" s="2985" t="s">
        <v>306</v>
      </c>
      <c r="B312" s="2974" t="s">
        <v>2991</v>
      </c>
      <c r="C312" s="2975">
        <v>0.13800000000000001</v>
      </c>
      <c r="D312" s="2975">
        <v>0.14000000000000001</v>
      </c>
      <c r="E312" s="2975">
        <v>0.14599999999999999</v>
      </c>
      <c r="F312" s="2975">
        <v>0.14899999999999999</v>
      </c>
      <c r="G312" s="2976">
        <v>0.14199999999999999</v>
      </c>
    </row>
    <row r="313" spans="1:7">
      <c r="A313" s="2985" t="s">
        <v>306</v>
      </c>
      <c r="B313" s="2974" t="s">
        <v>2996</v>
      </c>
      <c r="C313" s="2975">
        <v>0.125</v>
      </c>
      <c r="D313" s="2975">
        <v>0.127</v>
      </c>
      <c r="E313" s="2975">
        <v>0.14399999999999999</v>
      </c>
      <c r="F313" s="2975">
        <v>0.115</v>
      </c>
      <c r="G313" s="2976">
        <v>0.13600000000000001</v>
      </c>
    </row>
    <row r="314" spans="1:7">
      <c r="A314" s="2985" t="s">
        <v>306</v>
      </c>
      <c r="B314" s="2974" t="s">
        <v>3205</v>
      </c>
      <c r="C314" s="2991"/>
      <c r="D314" s="2991"/>
      <c r="E314" s="2991"/>
      <c r="F314" s="2975">
        <v>0.05</v>
      </c>
      <c r="G314" s="2992"/>
    </row>
    <row r="315" spans="1:7">
      <c r="A315" s="2985" t="s">
        <v>306</v>
      </c>
      <c r="B315" s="2974" t="s">
        <v>3206</v>
      </c>
      <c r="C315" s="2991"/>
      <c r="D315" s="2991"/>
      <c r="E315" s="2991"/>
      <c r="F315" s="2975">
        <v>0.05</v>
      </c>
      <c r="G315" s="2992"/>
    </row>
    <row r="316" spans="1:7">
      <c r="A316" s="2985" t="s">
        <v>306</v>
      </c>
      <c r="B316" s="2974" t="s">
        <v>3207</v>
      </c>
      <c r="C316" s="2986"/>
      <c r="D316" s="2986"/>
      <c r="E316" s="2986"/>
      <c r="F316" s="2975">
        <v>0.05</v>
      </c>
      <c r="G316" s="2992"/>
    </row>
    <row r="317" spans="1:7">
      <c r="A317" s="2985" t="s">
        <v>306</v>
      </c>
      <c r="B317" s="2974" t="s">
        <v>3208</v>
      </c>
      <c r="C317" s="2986"/>
      <c r="D317" s="2986"/>
      <c r="E317" s="2986"/>
      <c r="F317" s="2975">
        <v>0.05</v>
      </c>
      <c r="G317" s="2992"/>
    </row>
    <row r="318" spans="1:7">
      <c r="A318" s="2985" t="s">
        <v>306</v>
      </c>
      <c r="B318" s="2974" t="s">
        <v>3209</v>
      </c>
      <c r="C318" s="2986"/>
      <c r="D318" s="2986"/>
      <c r="E318" s="2986"/>
      <c r="F318" s="2975">
        <v>0.05</v>
      </c>
      <c r="G318" s="2992"/>
    </row>
    <row r="319" spans="1:7">
      <c r="A319" s="2985" t="s">
        <v>306</v>
      </c>
      <c r="B319" s="2974" t="s">
        <v>3210</v>
      </c>
      <c r="C319" s="2986"/>
      <c r="D319" s="2986"/>
      <c r="E319" s="2986"/>
      <c r="F319" s="2975">
        <v>0.05</v>
      </c>
      <c r="G319" s="2992"/>
    </row>
    <row r="320" spans="1:7">
      <c r="A320" s="2985" t="s">
        <v>306</v>
      </c>
      <c r="B320" s="2974" t="s">
        <v>3211</v>
      </c>
      <c r="C320" s="2986"/>
      <c r="D320" s="2986"/>
      <c r="E320" s="2986"/>
      <c r="F320" s="2975">
        <v>0.05</v>
      </c>
      <c r="G320" s="2992"/>
    </row>
    <row r="321" spans="1:7">
      <c r="A321" s="2985" t="s">
        <v>306</v>
      </c>
      <c r="B321" s="2974" t="s">
        <v>3212</v>
      </c>
      <c r="C321" s="2986"/>
      <c r="D321" s="2986"/>
      <c r="E321" s="2986"/>
      <c r="F321" s="2975">
        <v>0.05</v>
      </c>
      <c r="G321" s="2992"/>
    </row>
    <row r="322" spans="1:7">
      <c r="A322" s="2985" t="s">
        <v>306</v>
      </c>
      <c r="B322" s="2974" t="s">
        <v>3213</v>
      </c>
      <c r="C322" s="2986"/>
      <c r="D322" s="2986"/>
      <c r="E322" s="2986"/>
      <c r="F322" s="2975">
        <v>0.05</v>
      </c>
      <c r="G322" s="2992"/>
    </row>
    <row r="323" spans="1:7">
      <c r="A323" s="2985" t="s">
        <v>306</v>
      </c>
      <c r="B323" s="2974" t="s">
        <v>3214</v>
      </c>
      <c r="C323" s="2986"/>
      <c r="D323" s="2986"/>
      <c r="E323" s="2986"/>
      <c r="F323" s="2975">
        <v>0.05</v>
      </c>
      <c r="G323" s="2992"/>
    </row>
    <row r="324" spans="1:7">
      <c r="A324" s="2985" t="s">
        <v>306</v>
      </c>
      <c r="B324" s="2974" t="s">
        <v>3215</v>
      </c>
      <c r="C324" s="2986"/>
      <c r="D324" s="2986"/>
      <c r="E324" s="2986"/>
      <c r="F324" s="2975">
        <v>0.05</v>
      </c>
      <c r="G324" s="2992"/>
    </row>
    <row r="325" spans="1:7">
      <c r="A325" s="2985" t="s">
        <v>306</v>
      </c>
      <c r="B325" s="2974" t="s">
        <v>3216</v>
      </c>
      <c r="C325" s="2986"/>
      <c r="D325" s="2986"/>
      <c r="E325" s="2986"/>
      <c r="F325" s="2975">
        <v>0.05</v>
      </c>
      <c r="G325" s="2992"/>
    </row>
    <row r="326" spans="1:7" ht="14.25" thickBot="1">
      <c r="A326" s="2988" t="s">
        <v>306</v>
      </c>
      <c r="B326" s="2978" t="s">
        <v>3217</v>
      </c>
      <c r="C326" s="2980"/>
      <c r="D326" s="2980"/>
      <c r="E326" s="2980"/>
      <c r="F326" s="2979">
        <v>0.05</v>
      </c>
      <c r="G326" s="2993"/>
    </row>
    <row r="327" spans="1:7">
      <c r="A327" s="2984" t="s">
        <v>307</v>
      </c>
      <c r="B327" s="2970" t="s">
        <v>2849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2861</v>
      </c>
      <c r="C329" s="2975">
        <v>0.15</v>
      </c>
      <c r="D329" s="2975">
        <v>0.15</v>
      </c>
      <c r="E329" s="2975">
        <v>0.15</v>
      </c>
      <c r="F329" s="2975">
        <v>0.15</v>
      </c>
      <c r="G329" s="2976">
        <v>0.15</v>
      </c>
    </row>
    <row r="330" spans="1:7">
      <c r="A330" s="2985" t="s">
        <v>307</v>
      </c>
      <c r="B330" s="2974" t="s">
        <v>2865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2873</v>
      </c>
      <c r="C332" s="2975">
        <v>0.15</v>
      </c>
      <c r="D332" s="2975">
        <v>0.15</v>
      </c>
      <c r="E332" s="2975">
        <v>0.15</v>
      </c>
      <c r="F332" s="2975">
        <v>0.15</v>
      </c>
      <c r="G332" s="2976">
        <v>0.15</v>
      </c>
    </row>
    <row r="333" spans="1:7">
      <c r="A333" s="2985" t="s">
        <v>307</v>
      </c>
      <c r="B333" s="2974" t="s">
        <v>2877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2883</v>
      </c>
      <c r="C336" s="2975">
        <v>0.15</v>
      </c>
      <c r="D336" s="2975">
        <v>0.15</v>
      </c>
      <c r="E336" s="2975">
        <v>0.15</v>
      </c>
      <c r="F336" s="2975">
        <v>0.14199999999999999</v>
      </c>
      <c r="G336" s="2976">
        <v>0.15</v>
      </c>
    </row>
    <row r="337" spans="1:7">
      <c r="A337" s="2985" t="s">
        <v>307</v>
      </c>
      <c r="B337" s="2974" t="s">
        <v>2888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2908</v>
      </c>
      <c r="C345" s="2975">
        <v>0.15</v>
      </c>
      <c r="D345" s="2975">
        <v>0.15</v>
      </c>
      <c r="E345" s="2975">
        <v>0.15</v>
      </c>
      <c r="F345" s="2975">
        <v>0.13800000000000001</v>
      </c>
      <c r="G345" s="2976">
        <v>0.15</v>
      </c>
    </row>
    <row r="346" spans="1:7">
      <c r="A346" s="2985" t="s">
        <v>307</v>
      </c>
      <c r="B346" s="2974" t="s">
        <v>2910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2917</v>
      </c>
      <c r="C348" s="2975">
        <v>0.15</v>
      </c>
      <c r="D348" s="2975">
        <v>0.15</v>
      </c>
      <c r="E348" s="2975">
        <v>0.15</v>
      </c>
      <c r="F348" s="2975">
        <v>0.14399999999999999</v>
      </c>
      <c r="G348" s="2976">
        <v>0.15</v>
      </c>
    </row>
    <row r="349" spans="1:7">
      <c r="A349" s="2985" t="s">
        <v>307</v>
      </c>
      <c r="B349" s="2974" t="s">
        <v>2922</v>
      </c>
      <c r="C349" s="2975">
        <v>0.15</v>
      </c>
      <c r="D349" s="2975">
        <v>0.15</v>
      </c>
      <c r="E349" s="2975">
        <v>0.15</v>
      </c>
      <c r="F349" s="2975">
        <v>0.15</v>
      </c>
      <c r="G349" s="2976">
        <v>0.15</v>
      </c>
    </row>
    <row r="350" spans="1:7">
      <c r="A350" s="2985" t="s">
        <v>307</v>
      </c>
      <c r="B350" s="2974" t="s">
        <v>2925</v>
      </c>
      <c r="C350" s="2975">
        <v>0.15</v>
      </c>
      <c r="D350" s="2975">
        <v>0.15</v>
      </c>
      <c r="E350" s="2975">
        <v>0.15</v>
      </c>
      <c r="F350" s="2975">
        <v>0.14699999999999999</v>
      </c>
      <c r="G350" s="2976">
        <v>0.15</v>
      </c>
    </row>
    <row r="351" spans="1:7">
      <c r="A351" s="2985" t="s">
        <v>307</v>
      </c>
      <c r="B351" s="2974" t="s">
        <v>2930</v>
      </c>
      <c r="C351" s="2975">
        <v>0.15</v>
      </c>
      <c r="D351" s="2975">
        <v>0.15</v>
      </c>
      <c r="E351" s="2975">
        <v>0.15</v>
      </c>
      <c r="F351" s="2975">
        <v>0.13</v>
      </c>
      <c r="G351" s="2976">
        <v>0.15</v>
      </c>
    </row>
    <row r="352" spans="1:7">
      <c r="A352" s="2985" t="s">
        <v>307</v>
      </c>
      <c r="B352" s="2974" t="s">
        <v>2935</v>
      </c>
      <c r="C352" s="2975">
        <v>0.15</v>
      </c>
      <c r="D352" s="2975">
        <v>0.15</v>
      </c>
      <c r="E352" s="2975">
        <v>0.15</v>
      </c>
      <c r="F352" s="2975">
        <v>0.14599999999999999</v>
      </c>
      <c r="G352" s="2976">
        <v>0.15</v>
      </c>
    </row>
    <row r="353" spans="1:7">
      <c r="A353" s="2985" t="s">
        <v>307</v>
      </c>
      <c r="B353" s="2974" t="s">
        <v>2942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2955</v>
      </c>
      <c r="C355" s="2975">
        <v>0.15</v>
      </c>
      <c r="D355" s="2975">
        <v>0.15</v>
      </c>
      <c r="E355" s="2975">
        <v>0.15</v>
      </c>
      <c r="F355" s="2975">
        <v>0.15</v>
      </c>
      <c r="G355" s="2976">
        <v>0.15</v>
      </c>
    </row>
    <row r="356" spans="1:7">
      <c r="A356" s="2985" t="s">
        <v>307</v>
      </c>
      <c r="B356" s="2974" t="s">
        <v>2962</v>
      </c>
      <c r="C356" s="2975">
        <v>0.15</v>
      </c>
      <c r="D356" s="2975">
        <v>0.15</v>
      </c>
      <c r="E356" s="2975">
        <v>0.15</v>
      </c>
      <c r="F356" s="2975">
        <v>0.15</v>
      </c>
      <c r="G356" s="2976">
        <v>0.15</v>
      </c>
    </row>
    <row r="357" spans="1:7" ht="14.25" thickBot="1">
      <c r="A357" s="2988" t="s">
        <v>307</v>
      </c>
      <c r="B357" s="2978" t="s">
        <v>2967</v>
      </c>
      <c r="C357" s="2979">
        <v>0.126</v>
      </c>
      <c r="D357" s="2979">
        <v>0.127</v>
      </c>
      <c r="E357" s="2979">
        <v>0.14299999999999999</v>
      </c>
      <c r="F357" s="2979">
        <v>0.125</v>
      </c>
      <c r="G357" s="2981">
        <v>0.129</v>
      </c>
    </row>
    <row r="358" spans="1:7">
      <c r="A358" s="2984" t="s">
        <v>2836</v>
      </c>
      <c r="B358" s="2970" t="s">
        <v>2850</v>
      </c>
      <c r="C358" s="2971">
        <v>0.15</v>
      </c>
      <c r="D358" s="2971">
        <v>0.15</v>
      </c>
      <c r="E358" s="2971">
        <v>0.15</v>
      </c>
      <c r="F358" s="2971">
        <v>0.15</v>
      </c>
      <c r="G358" s="2972">
        <v>0.15</v>
      </c>
    </row>
    <row r="359" spans="1:7">
      <c r="A359" s="2985" t="s">
        <v>2836</v>
      </c>
      <c r="B359" s="2974" t="s">
        <v>2856</v>
      </c>
      <c r="C359" s="2975">
        <v>0.1</v>
      </c>
      <c r="D359" s="2975">
        <v>0.1</v>
      </c>
      <c r="E359" s="2975">
        <v>0.1</v>
      </c>
      <c r="F359" s="2975">
        <v>0.1</v>
      </c>
      <c r="G359" s="2976">
        <v>0.1</v>
      </c>
    </row>
    <row r="360" spans="1:7">
      <c r="A360" s="2985" t="s">
        <v>2836</v>
      </c>
      <c r="B360" s="2974" t="s">
        <v>2862</v>
      </c>
      <c r="C360" s="2975">
        <v>0.15</v>
      </c>
      <c r="D360" s="2975">
        <v>0.15</v>
      </c>
      <c r="E360" s="2975">
        <v>0.15</v>
      </c>
      <c r="F360" s="2975">
        <v>0.14899999999999999</v>
      </c>
      <c r="G360" s="2976">
        <v>0.15</v>
      </c>
    </row>
    <row r="361" spans="1:7">
      <c r="A361" s="2985" t="s">
        <v>2836</v>
      </c>
      <c r="B361" s="2974" t="s">
        <v>153</v>
      </c>
      <c r="C361" s="2975">
        <v>0.15</v>
      </c>
      <c r="D361" s="2975">
        <v>0.15</v>
      </c>
      <c r="E361" s="2975">
        <v>0.15</v>
      </c>
      <c r="F361" s="2975">
        <v>0.115</v>
      </c>
      <c r="G361" s="2976">
        <v>0.15</v>
      </c>
    </row>
    <row r="362" spans="1:7">
      <c r="A362" s="2985" t="s">
        <v>2836</v>
      </c>
      <c r="B362" s="2974" t="s">
        <v>2869</v>
      </c>
      <c r="C362" s="2975">
        <v>0.15</v>
      </c>
      <c r="D362" s="2975">
        <v>0.15</v>
      </c>
      <c r="E362" s="2975">
        <v>0.15</v>
      </c>
      <c r="F362" s="2975">
        <v>0.106</v>
      </c>
      <c r="G362" s="2976">
        <v>0.15</v>
      </c>
    </row>
    <row r="363" spans="1:7">
      <c r="A363" s="2985" t="s">
        <v>2836</v>
      </c>
      <c r="B363" s="2974" t="s">
        <v>2874</v>
      </c>
      <c r="C363" s="2975">
        <v>0.15</v>
      </c>
      <c r="D363" s="2975">
        <v>0.15</v>
      </c>
      <c r="E363" s="2975">
        <v>0.15</v>
      </c>
      <c r="F363" s="2975">
        <v>0.14699999999999999</v>
      </c>
      <c r="G363" s="2976">
        <v>0.15</v>
      </c>
    </row>
    <row r="364" spans="1:7">
      <c r="A364" s="2985" t="s">
        <v>2836</v>
      </c>
      <c r="B364" s="2974" t="s">
        <v>2878</v>
      </c>
      <c r="C364" s="2975">
        <v>0.15</v>
      </c>
      <c r="D364" s="2975">
        <v>0.15</v>
      </c>
      <c r="E364" s="2975">
        <v>0.15</v>
      </c>
      <c r="F364" s="2975">
        <v>0.14799999999999999</v>
      </c>
      <c r="G364" s="2976">
        <v>0.15</v>
      </c>
    </row>
    <row r="365" spans="1:7">
      <c r="A365" s="2985" t="s">
        <v>2836</v>
      </c>
      <c r="B365" s="2974" t="s">
        <v>200</v>
      </c>
      <c r="C365" s="2975">
        <v>0.15</v>
      </c>
      <c r="D365" s="2975">
        <v>0.15</v>
      </c>
      <c r="E365" s="2975">
        <v>0.15</v>
      </c>
      <c r="F365" s="2975">
        <v>0.15</v>
      </c>
      <c r="G365" s="2976">
        <v>0.15</v>
      </c>
    </row>
    <row r="366" spans="1:7">
      <c r="A366" s="2985" t="s">
        <v>2836</v>
      </c>
      <c r="B366" s="2974" t="s">
        <v>2881</v>
      </c>
      <c r="C366" s="2975">
        <v>0.15</v>
      </c>
      <c r="D366" s="2975">
        <v>0.15</v>
      </c>
      <c r="E366" s="2975">
        <v>0.15</v>
      </c>
      <c r="F366" s="2975">
        <v>0.15</v>
      </c>
      <c r="G366" s="2976">
        <v>0.15</v>
      </c>
    </row>
    <row r="367" spans="1:7">
      <c r="A367" s="2985" t="s">
        <v>2836</v>
      </c>
      <c r="B367" s="2974" t="s">
        <v>2884</v>
      </c>
      <c r="C367" s="2975">
        <v>0.15</v>
      </c>
      <c r="D367" s="2975">
        <v>0.15</v>
      </c>
      <c r="E367" s="2975">
        <v>0.15</v>
      </c>
      <c r="F367" s="2975">
        <v>0.14699999999999999</v>
      </c>
      <c r="G367" s="2976">
        <v>0.15</v>
      </c>
    </row>
    <row r="368" spans="1:7">
      <c r="A368" s="2985" t="s">
        <v>2836</v>
      </c>
      <c r="B368" s="2974" t="s">
        <v>2889</v>
      </c>
      <c r="C368" s="2975">
        <v>0.15</v>
      </c>
      <c r="D368" s="2975">
        <v>0.15</v>
      </c>
      <c r="E368" s="2975">
        <v>0.15</v>
      </c>
      <c r="F368" s="2975">
        <v>0.13600000000000001</v>
      </c>
      <c r="G368" s="2976">
        <v>0.15</v>
      </c>
    </row>
    <row r="369" spans="1:7">
      <c r="A369" s="2985" t="s">
        <v>2836</v>
      </c>
      <c r="B369" s="2974" t="s">
        <v>214</v>
      </c>
      <c r="C369" s="2975">
        <v>0.15</v>
      </c>
      <c r="D369" s="2975">
        <v>0.15</v>
      </c>
      <c r="E369" s="2975">
        <v>0.15</v>
      </c>
      <c r="F369" s="2975">
        <v>0.14399999999999999</v>
      </c>
      <c r="G369" s="2976">
        <v>0.15</v>
      </c>
    </row>
    <row r="370" spans="1:7">
      <c r="A370" s="2985" t="s">
        <v>2836</v>
      </c>
      <c r="B370" s="2974" t="s">
        <v>221</v>
      </c>
      <c r="C370" s="2975">
        <v>0.15</v>
      </c>
      <c r="D370" s="2975">
        <v>0.15</v>
      </c>
      <c r="E370" s="2975">
        <v>0.15</v>
      </c>
      <c r="F370" s="2975">
        <v>0.14599999999999999</v>
      </c>
      <c r="G370" s="2976">
        <v>0.15</v>
      </c>
    </row>
    <row r="371" spans="1:7">
      <c r="A371" s="2985" t="s">
        <v>2836</v>
      </c>
      <c r="B371" s="2974" t="s">
        <v>229</v>
      </c>
      <c r="C371" s="2975">
        <v>0.15</v>
      </c>
      <c r="D371" s="2975">
        <v>0.15</v>
      </c>
      <c r="E371" s="2975">
        <v>0.15</v>
      </c>
      <c r="F371" s="2975">
        <v>0.12</v>
      </c>
      <c r="G371" s="2976">
        <v>0.15</v>
      </c>
    </row>
    <row r="372" spans="1:7">
      <c r="A372" s="2985" t="s">
        <v>2836</v>
      </c>
      <c r="B372" s="2974" t="s">
        <v>2897</v>
      </c>
      <c r="C372" s="2975">
        <v>0.15</v>
      </c>
      <c r="D372" s="2975">
        <v>0.15</v>
      </c>
      <c r="E372" s="2975">
        <v>0.15</v>
      </c>
      <c r="F372" s="2975">
        <v>0.14299999999999999</v>
      </c>
      <c r="G372" s="2976">
        <v>0.15</v>
      </c>
    </row>
    <row r="373" spans="1:7">
      <c r="A373" s="2985" t="s">
        <v>2836</v>
      </c>
      <c r="B373" s="2974" t="s">
        <v>258</v>
      </c>
      <c r="C373" s="2975">
        <v>0.15</v>
      </c>
      <c r="D373" s="2975">
        <v>0.15</v>
      </c>
      <c r="E373" s="2975">
        <v>0.15</v>
      </c>
      <c r="F373" s="2975">
        <v>0.14599999999999999</v>
      </c>
      <c r="G373" s="2976">
        <v>0.15</v>
      </c>
    </row>
    <row r="374" spans="1:7">
      <c r="A374" s="2985" t="s">
        <v>2836</v>
      </c>
      <c r="B374" s="2974" t="s">
        <v>266</v>
      </c>
      <c r="C374" s="2975">
        <v>0.15</v>
      </c>
      <c r="D374" s="2975">
        <v>0.15</v>
      </c>
      <c r="E374" s="2975">
        <v>0.15</v>
      </c>
      <c r="F374" s="2975">
        <v>0.14399999999999999</v>
      </c>
      <c r="G374" s="2976">
        <v>0.15</v>
      </c>
    </row>
    <row r="375" spans="1:7">
      <c r="A375" s="2985" t="s">
        <v>2836</v>
      </c>
      <c r="B375" s="2974" t="s">
        <v>2905</v>
      </c>
      <c r="C375" s="2975">
        <v>0.15</v>
      </c>
      <c r="D375" s="2975">
        <v>0.15</v>
      </c>
      <c r="E375" s="2975">
        <v>0.15</v>
      </c>
      <c r="F375" s="2975">
        <v>0.13</v>
      </c>
      <c r="G375" s="2976">
        <v>0.15</v>
      </c>
    </row>
    <row r="376" spans="1:7">
      <c r="A376" s="2985" t="s">
        <v>2836</v>
      </c>
      <c r="B376" s="2974" t="s">
        <v>277</v>
      </c>
      <c r="C376" s="2975">
        <v>0.15</v>
      </c>
      <c r="D376" s="2975">
        <v>0.15</v>
      </c>
      <c r="E376" s="2975">
        <v>0.15</v>
      </c>
      <c r="F376" s="2975">
        <v>0.14199999999999999</v>
      </c>
      <c r="G376" s="2976">
        <v>0.15</v>
      </c>
    </row>
    <row r="377" spans="1:7" ht="14.25" thickBot="1">
      <c r="A377" s="2988" t="s">
        <v>2836</v>
      </c>
      <c r="B377" s="2978" t="s">
        <v>2911</v>
      </c>
      <c r="C377" s="2979">
        <v>0.15</v>
      </c>
      <c r="D377" s="2979">
        <v>0.15</v>
      </c>
      <c r="E377" s="2979">
        <v>0.15</v>
      </c>
      <c r="F377" s="2979">
        <v>0.14000000000000001</v>
      </c>
      <c r="G377" s="2981">
        <v>0.15</v>
      </c>
    </row>
    <row r="378" spans="1:7">
      <c r="A378" s="2984" t="s">
        <v>2837</v>
      </c>
      <c r="B378" s="2970" t="s">
        <v>2851</v>
      </c>
      <c r="C378" s="2971">
        <v>0.15</v>
      </c>
      <c r="D378" s="2971">
        <v>0.15</v>
      </c>
      <c r="E378" s="2971">
        <v>0.15</v>
      </c>
      <c r="F378" s="2971">
        <v>0.107</v>
      </c>
      <c r="G378" s="2972">
        <v>0.15</v>
      </c>
    </row>
    <row r="379" spans="1:7">
      <c r="A379" s="2985" t="s">
        <v>2837</v>
      </c>
      <c r="B379" s="2974" t="s">
        <v>2857</v>
      </c>
      <c r="C379" s="2975">
        <v>0.15</v>
      </c>
      <c r="D379" s="2975">
        <v>0.15</v>
      </c>
      <c r="E379" s="2975">
        <v>0.15</v>
      </c>
      <c r="F379" s="2975">
        <v>0.115</v>
      </c>
      <c r="G379" s="2976">
        <v>0.14899999999999999</v>
      </c>
    </row>
    <row r="380" spans="1:7">
      <c r="A380" s="2985" t="s">
        <v>2837</v>
      </c>
      <c r="B380" s="2974" t="s">
        <v>2863</v>
      </c>
      <c r="C380" s="2975">
        <v>0.15</v>
      </c>
      <c r="D380" s="2975">
        <v>0.15</v>
      </c>
      <c r="E380" s="2975">
        <v>0.15</v>
      </c>
      <c r="F380" s="2975">
        <v>0.1</v>
      </c>
      <c r="G380" s="2976">
        <v>0.14799999999999999</v>
      </c>
    </row>
    <row r="381" spans="1:7">
      <c r="A381" s="2985" t="s">
        <v>2837</v>
      </c>
      <c r="B381" s="2974" t="s">
        <v>2866</v>
      </c>
      <c r="C381" s="2975">
        <v>0.15</v>
      </c>
      <c r="D381" s="2975">
        <v>0.15</v>
      </c>
      <c r="E381" s="2975">
        <v>0.15</v>
      </c>
      <c r="F381" s="2975">
        <v>0.126</v>
      </c>
      <c r="G381" s="2976">
        <v>0.15</v>
      </c>
    </row>
    <row r="382" spans="1:7">
      <c r="A382" s="2985" t="s">
        <v>2837</v>
      </c>
      <c r="B382" s="2974" t="s">
        <v>2870</v>
      </c>
      <c r="C382" s="2975">
        <v>0.15</v>
      </c>
      <c r="D382" s="2975">
        <v>0.15</v>
      </c>
      <c r="E382" s="2975">
        <v>0.15</v>
      </c>
      <c r="F382" s="2975">
        <v>0.15</v>
      </c>
      <c r="G382" s="2976">
        <v>0.15</v>
      </c>
    </row>
    <row r="383" spans="1:7">
      <c r="A383" s="2985" t="s">
        <v>2837</v>
      </c>
      <c r="B383" s="2974" t="s">
        <v>2875</v>
      </c>
      <c r="C383" s="2975">
        <v>0.15</v>
      </c>
      <c r="D383" s="2975">
        <v>0.15</v>
      </c>
      <c r="E383" s="2975">
        <v>0.15</v>
      </c>
      <c r="F383" s="2975">
        <v>0.14699999999999999</v>
      </c>
      <c r="G383" s="2976">
        <v>0.15</v>
      </c>
    </row>
    <row r="384" spans="1:7" ht="14.25" thickBot="1">
      <c r="A384" s="2995" t="s">
        <v>2837</v>
      </c>
      <c r="B384" s="2996" t="s">
        <v>2879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923</v>
      </c>
      <c r="B2" s="3198" t="s">
        <v>924</v>
      </c>
      <c r="C2" s="3198" t="s">
        <v>925</v>
      </c>
      <c r="D2" s="3198" t="str">
        <f>商业结果表!D116</f>
        <v>出让国有建设用地使用权价值</v>
      </c>
      <c r="E2" s="3198"/>
      <c r="F2" s="3198" t="str">
        <f>商业结果表!F116</f>
        <v>在建建筑物价值</v>
      </c>
      <c r="G2" s="3198"/>
      <c r="H2" s="3198" t="str">
        <f>IF(项目基本情况!B9="房地产市场价值","房地产市场价值","房地产价值")</f>
        <v>房地产价值</v>
      </c>
      <c r="I2" s="3198"/>
    </row>
    <row r="3" spans="1:9" ht="15">
      <c r="A3" s="3193"/>
      <c r="B3" s="3193"/>
      <c r="C3" s="3193"/>
      <c r="D3" s="799" t="s">
        <v>920</v>
      </c>
      <c r="E3" s="799" t="s">
        <v>926</v>
      </c>
      <c r="F3" s="799" t="s">
        <v>920</v>
      </c>
      <c r="G3" s="799" t="s">
        <v>921</v>
      </c>
      <c r="H3" s="799" t="s">
        <v>920</v>
      </c>
      <c r="I3" s="799" t="s">
        <v>921</v>
      </c>
    </row>
    <row r="4" spans="1:9" ht="15">
      <c r="A4" s="1401" t="str">
        <f>项目基本情况!S2</f>
        <v>北京市房地产</v>
      </c>
      <c r="B4" s="799">
        <f>项目基本情况!C17</f>
        <v>139616.6</v>
      </c>
      <c r="C4" s="799">
        <f>项目基本情况!C18</f>
        <v>13767.47</v>
      </c>
      <c r="D4" s="799" t="e">
        <f ca="1">商业结果表!D118</f>
        <v>#REF!</v>
      </c>
      <c r="E4" s="799" t="e">
        <f ca="1">商业结果表!E118</f>
        <v>#REF!</v>
      </c>
      <c r="F4" s="799" t="e">
        <f ca="1">商业结果表!F118</f>
        <v>#REF!</v>
      </c>
      <c r="G4" s="799" t="e">
        <f ca="1">商业结果表!G118</f>
        <v>#REF!</v>
      </c>
      <c r="H4" s="799">
        <f ca="1">商业结果表!H118</f>
        <v>97492</v>
      </c>
      <c r="I4" s="799">
        <f ca="1">商业结果表!I118</f>
        <v>6983</v>
      </c>
    </row>
    <row r="5" spans="1:9" ht="30" customHeight="1">
      <c r="A5" s="3193" t="s">
        <v>922</v>
      </c>
      <c r="B5" s="3193"/>
      <c r="C5" s="3193"/>
      <c r="D5" s="3193" t="e">
        <f ca="1">商业结果表!D119</f>
        <v>#REF!</v>
      </c>
      <c r="E5" s="3193"/>
      <c r="F5" s="3193" t="e">
        <f ca="1">商业结果表!F119</f>
        <v>#REF!</v>
      </c>
      <c r="G5" s="3193"/>
      <c r="H5" s="3193" t="str">
        <f ca="1">商业结果表!H119</f>
        <v>玖亿柒仟肆佰玖拾贰万元整</v>
      </c>
      <c r="I5" s="3193"/>
    </row>
    <row r="6" spans="1:9" ht="15.75">
      <c r="A6" s="3192" t="str">
        <f>商业结果表!A120</f>
        <v>估价师知悉的法定优先受偿款</v>
      </c>
      <c r="B6" s="3192"/>
      <c r="C6" s="3192"/>
      <c r="D6" s="3192">
        <f>商业结果表!D120</f>
        <v>0</v>
      </c>
      <c r="E6" s="3192"/>
      <c r="F6" s="3192"/>
      <c r="G6" s="3192"/>
      <c r="H6" s="3192"/>
      <c r="I6" s="3192"/>
    </row>
    <row r="7" spans="1:9" ht="15">
      <c r="A7" s="3193" t="s">
        <v>922</v>
      </c>
      <c r="B7" s="3193"/>
      <c r="C7" s="3193"/>
      <c r="D7" s="3194" t="str">
        <f>商业结果表!D121</f>
        <v>零元整</v>
      </c>
      <c r="E7" s="3195"/>
      <c r="F7" s="3195"/>
      <c r="G7" s="3195"/>
      <c r="H7" s="3195"/>
      <c r="I7" s="3196"/>
    </row>
    <row r="8" spans="1:9" ht="15.75">
      <c r="A8" s="3192" t="str">
        <f>商业结果表!A122</f>
        <v>房地产抵押价值</v>
      </c>
      <c r="B8" s="3192"/>
      <c r="C8" s="3192"/>
      <c r="D8" s="3192">
        <f ca="1">商业结果表!D122</f>
        <v>97492</v>
      </c>
      <c r="E8" s="3192"/>
      <c r="F8" s="3192"/>
      <c r="G8" s="3192"/>
      <c r="H8" s="3192"/>
      <c r="I8" s="3192"/>
    </row>
    <row r="9" spans="1:9" ht="15">
      <c r="A9" s="3193" t="s">
        <v>922</v>
      </c>
      <c r="B9" s="3193"/>
      <c r="C9" s="3193"/>
      <c r="D9" s="3193" t="str">
        <f ca="1">商业结果表!D123</f>
        <v>玖亿柒仟肆佰玖拾贰万元整</v>
      </c>
      <c r="E9" s="3193"/>
      <c r="F9" s="3193"/>
      <c r="G9" s="3193"/>
      <c r="H9" s="3193"/>
      <c r="I9" s="3193"/>
    </row>
    <row r="10" spans="1:9" ht="15.75">
      <c r="A10" s="3192" t="str">
        <f>商业结果表!A124</f>
        <v/>
      </c>
      <c r="B10" s="3192"/>
      <c r="C10" s="3192"/>
      <c r="D10" s="3192" t="str">
        <f>商业结果表!D124</f>
        <v>——</v>
      </c>
      <c r="E10" s="3192"/>
      <c r="F10" s="3192"/>
      <c r="G10" s="3192"/>
      <c r="H10" s="3192"/>
      <c r="I10" s="3192"/>
    </row>
    <row r="11" spans="1:9" ht="15">
      <c r="A11" s="3193" t="s">
        <v>922</v>
      </c>
      <c r="B11" s="3193"/>
      <c r="C11" s="3193"/>
      <c r="D11" s="3193" t="e">
        <f>商业结果表!D125</f>
        <v>#VALUE!</v>
      </c>
      <c r="E11" s="3193"/>
      <c r="F11" s="3193"/>
      <c r="G11" s="3193"/>
      <c r="H11" s="3193"/>
      <c r="I11" s="3193"/>
    </row>
    <row r="12" spans="1:9" ht="15.75">
      <c r="A12" s="3192" t="str">
        <f>商业结果表!A126</f>
        <v/>
      </c>
      <c r="B12" s="3192"/>
      <c r="C12" s="3192"/>
      <c r="D12" s="3192" t="str">
        <f>商业结果表!D126</f>
        <v>——</v>
      </c>
      <c r="E12" s="3192"/>
      <c r="F12" s="3192"/>
      <c r="G12" s="3192"/>
      <c r="H12" s="3192"/>
      <c r="I12" s="3192"/>
    </row>
    <row r="13" spans="1:9" ht="15.75" thickBot="1">
      <c r="A13" s="3190" t="s">
        <v>922</v>
      </c>
      <c r="B13" s="3190"/>
      <c r="C13" s="3190"/>
      <c r="D13" s="3190" t="e">
        <f>商业结果表!D127</f>
        <v>#VALUE!</v>
      </c>
      <c r="E13" s="3190"/>
      <c r="F13" s="3190"/>
      <c r="G13" s="3190"/>
      <c r="H13" s="3190"/>
      <c r="I13" s="3190"/>
    </row>
    <row r="14" spans="1:9" ht="15" thickTop="1">
      <c r="A14" s="3191" t="s">
        <v>927</v>
      </c>
      <c r="B14" s="3191"/>
      <c r="C14" s="3191"/>
      <c r="D14" s="3191"/>
      <c r="E14" s="3191"/>
      <c r="F14" s="3191"/>
      <c r="G14" s="3191"/>
      <c r="H14" s="3191"/>
      <c r="I14" s="3191"/>
    </row>
    <row r="16" spans="1:9" ht="18.75">
      <c r="A16" s="1402" t="s">
        <v>910</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0"/>
  </cols>
  <sheetData>
    <row r="1" spans="1:6">
      <c r="A1" s="3504" t="s">
        <v>3218</v>
      </c>
      <c r="B1" s="3504"/>
      <c r="C1" s="3504"/>
      <c r="D1" s="3504"/>
      <c r="E1" s="3504"/>
      <c r="F1" s="3505"/>
    </row>
    <row r="2" spans="1:6">
      <c r="A2" s="2999" t="s">
        <v>3219</v>
      </c>
    </row>
    <row r="3" spans="1:6">
      <c r="A3" s="2999" t="s">
        <v>3220</v>
      </c>
      <c r="F3" s="3000" t="s">
        <v>3221</v>
      </c>
    </row>
    <row r="4" spans="1:6">
      <c r="A4" s="3001" t="s">
        <v>667</v>
      </c>
      <c r="B4" s="3001" t="s">
        <v>668</v>
      </c>
      <c r="C4" s="3001" t="s">
        <v>21</v>
      </c>
      <c r="D4" s="3001" t="s">
        <v>669</v>
      </c>
      <c r="E4" s="3001" t="s">
        <v>3</v>
      </c>
      <c r="F4" s="3001" t="s">
        <v>3222</v>
      </c>
    </row>
    <row r="5" spans="1:6">
      <c r="A5" s="3002" t="s">
        <v>670</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4">
        <f>'商业-基准地价修正'!G23</f>
        <v>45804</v>
      </c>
      <c r="B1" s="2926" t="s">
        <v>3364</v>
      </c>
      <c r="C1" s="2927"/>
      <c r="D1" s="2927"/>
      <c r="E1" s="2927"/>
      <c r="F1" s="2927"/>
      <c r="G1" s="2927"/>
      <c r="H1" s="2927"/>
      <c r="I1" s="2927"/>
      <c r="J1" s="2893"/>
      <c r="K1" s="2927" t="s">
        <v>454</v>
      </c>
      <c r="L1" s="2927"/>
      <c r="M1" s="2927"/>
      <c r="N1" s="2927"/>
      <c r="O1" s="2927"/>
      <c r="P1" s="2927"/>
      <c r="Q1" s="2893"/>
      <c r="R1" s="3506" t="s">
        <v>456</v>
      </c>
      <c r="S1" s="3507"/>
      <c r="T1" s="3507"/>
      <c r="U1" s="3507"/>
      <c r="V1" s="3507"/>
      <c r="W1" s="3507"/>
      <c r="X1" s="2893"/>
      <c r="Y1" s="3506" t="s">
        <v>457</v>
      </c>
      <c r="Z1" s="3507"/>
      <c r="AA1" s="3507"/>
      <c r="AB1" s="3507"/>
      <c r="AC1" s="3507"/>
      <c r="AD1" s="3507"/>
    </row>
    <row r="2" spans="1:44" s="2008" customFormat="1" ht="14.25" thickBot="1">
      <c r="B2" s="2878"/>
      <c r="C2" s="2879"/>
      <c r="D2" s="2009" t="s">
        <v>2796</v>
      </c>
      <c r="E2" s="2010" t="s">
        <v>2797</v>
      </c>
      <c r="F2" s="2010" t="s">
        <v>2798</v>
      </c>
      <c r="G2" s="2010" t="s">
        <v>2799</v>
      </c>
      <c r="H2" s="2010" t="s">
        <v>2800</v>
      </c>
      <c r="I2" s="2010" t="s">
        <v>2617</v>
      </c>
      <c r="J2" s="2880"/>
      <c r="K2" s="2009" t="s">
        <v>2796</v>
      </c>
      <c r="L2" s="2010" t="s">
        <v>2797</v>
      </c>
      <c r="M2" s="2010" t="s">
        <v>2798</v>
      </c>
      <c r="N2" s="2010" t="s">
        <v>2799</v>
      </c>
      <c r="O2" s="2010" t="s">
        <v>2801</v>
      </c>
      <c r="P2" s="2010" t="s">
        <v>2617</v>
      </c>
      <c r="Q2" s="2880"/>
      <c r="R2" s="2009" t="s">
        <v>2796</v>
      </c>
      <c r="S2" s="2010" t="s">
        <v>2797</v>
      </c>
      <c r="T2" s="2010" t="s">
        <v>2798</v>
      </c>
      <c r="U2" s="2010" t="s">
        <v>2802</v>
      </c>
      <c r="V2" s="2010" t="s">
        <v>2803</v>
      </c>
      <c r="W2" s="2010" t="s">
        <v>2617</v>
      </c>
      <c r="X2" s="2880"/>
      <c r="Y2" s="2009" t="s">
        <v>2796</v>
      </c>
      <c r="Z2" s="2010" t="s">
        <v>2797</v>
      </c>
      <c r="AA2" s="2010" t="s">
        <v>2798</v>
      </c>
      <c r="AB2" s="2010" t="s">
        <v>2804</v>
      </c>
      <c r="AC2" s="2010" t="s">
        <v>2803</v>
      </c>
      <c r="AD2" s="2010" t="s">
        <v>2617</v>
      </c>
      <c r="AF2" t="s">
        <v>3391</v>
      </c>
      <c r="AG2" t="s">
        <v>668</v>
      </c>
      <c r="AH2" t="s">
        <v>21</v>
      </c>
      <c r="AI2" t="s">
        <v>3392</v>
      </c>
      <c r="AJ2" t="s">
        <v>3</v>
      </c>
      <c r="AK2" t="s">
        <v>3393</v>
      </c>
      <c r="AM2" t="s">
        <v>3391</v>
      </c>
      <c r="AN2" t="s">
        <v>668</v>
      </c>
      <c r="AO2" t="s">
        <v>21</v>
      </c>
      <c r="AP2" t="s">
        <v>3392</v>
      </c>
      <c r="AQ2" t="s">
        <v>3</v>
      </c>
      <c r="AR2" t="s">
        <v>3393</v>
      </c>
    </row>
    <row r="3" spans="1:44" s="2883" customFormat="1" ht="12.75">
      <c r="A3" s="2881" t="s">
        <v>2805</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7" customFormat="1" ht="12.75">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44" s="2043" customFormat="1">
      <c r="A5" s="2038" t="s">
        <v>3390</v>
      </c>
      <c r="B5" s="2029">
        <v>2025</v>
      </c>
      <c r="C5" s="2040">
        <v>4</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 t="shared" ref="P5:P11" si="10">M5</f>
        <v>0</v>
      </c>
      <c r="Q5" s="2903"/>
      <c r="R5" s="2025">
        <f>ROUND(IF(项目基本情况!$B$8="出让",SUMPRODUCT(PRODUCT(1+K5:$K$24)),SUMPRODUCT(PRODUCT(1+K5:$K$23))),4)</f>
        <v>1.0571999999999999</v>
      </c>
      <c r="S5" s="2025">
        <f>ROUND(IF(项目基本情况!$B$8="出让",SUMPRODUCT(PRODUCT(1+L5:$L$24)),SUMPRODUCT(PRODUCT(1+L5:$L$23))),4)</f>
        <v>1.0339</v>
      </c>
      <c r="T5" s="2025">
        <f>ROUND(IF(项目基本情况!$B$8="出让",SUMPRODUCT(PRODUCT(1+M5:$M$24)),SUMPRODUCT(PRODUCT(1+M5:$M$23))),4)</f>
        <v>0.99129999999999996</v>
      </c>
      <c r="U5" s="2025">
        <f>ROUND(IF(项目基本情况!$B$8="出让",SUMPRODUCT(PRODUCT(1+N5:$N$24)),SUMPRODUCT(PRODUCT(1+N5:$N$23))),4)</f>
        <v>1.0679000000000001</v>
      </c>
      <c r="V5" s="2025">
        <f>ROUND(IF(项目基本情况!$B$8="出让",SUMPRODUCT(PRODUCT(1+O5:$O$24)),SUMPRODUCT(PRODUCT(1+O5:$O$23))),4)</f>
        <v>1.0871999999999999</v>
      </c>
      <c r="W5" s="2025">
        <f t="shared" ref="W5:W11" si="11">T5</f>
        <v>0.99129999999999996</v>
      </c>
      <c r="X5" s="2903"/>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3" customFormat="1" ht="12.75">
      <c r="A6" s="2038" t="s">
        <v>3389</v>
      </c>
      <c r="B6" s="2029">
        <v>2025</v>
      </c>
      <c r="C6" s="2040">
        <v>3</v>
      </c>
      <c r="D6" s="2005">
        <v>0</v>
      </c>
      <c r="E6" s="2005">
        <v>0</v>
      </c>
      <c r="F6" s="2005">
        <v>0</v>
      </c>
      <c r="G6" s="2005">
        <v>0</v>
      </c>
      <c r="H6" s="2005">
        <v>0</v>
      </c>
      <c r="I6" s="2006">
        <f t="shared" ref="I6" si="19">F6</f>
        <v>0</v>
      </c>
      <c r="J6" s="2903"/>
      <c r="K6" s="2041">
        <f t="shared" ref="K6" si="20">D6/100</f>
        <v>0</v>
      </c>
      <c r="L6" s="2026">
        <f t="shared" ref="L6" si="21">E6/100</f>
        <v>0</v>
      </c>
      <c r="M6" s="2026">
        <f t="shared" ref="M6" si="22">F6/100</f>
        <v>0</v>
      </c>
      <c r="N6" s="2026">
        <f t="shared" ref="N6" si="23">G6/100</f>
        <v>0</v>
      </c>
      <c r="O6" s="2026">
        <f t="shared" ref="O6" si="24">H6/100</f>
        <v>0</v>
      </c>
      <c r="P6" s="2026">
        <f t="shared" si="10"/>
        <v>0</v>
      </c>
      <c r="Q6" s="2903"/>
      <c r="R6" s="2025">
        <f>ROUND(IF(项目基本情况!$B$8="出让",SUMPRODUCT(PRODUCT(1+K6:$K$24)),SUMPRODUCT(PRODUCT(1+K6:$K$23))),4)</f>
        <v>1.0571999999999999</v>
      </c>
      <c r="S6" s="2025">
        <f>ROUND(IF(项目基本情况!$B$8="出让",SUMPRODUCT(PRODUCT(1+L6:$L$24)),SUMPRODUCT(PRODUCT(1+L6:$L$23))),4)</f>
        <v>1.0339</v>
      </c>
      <c r="T6" s="2025">
        <f>ROUND(IF(项目基本情况!$B$8="出让",SUMPRODUCT(PRODUCT(1+M6:$M$24)),SUMPRODUCT(PRODUCT(1+M6:$M$23))),4)</f>
        <v>0.99129999999999996</v>
      </c>
      <c r="U6" s="2025">
        <f>ROUND(IF(项目基本情况!$B$8="出让",SUMPRODUCT(PRODUCT(1+N6:$N$24)),SUMPRODUCT(PRODUCT(1+N6:$N$23))),4)</f>
        <v>1.0679000000000001</v>
      </c>
      <c r="V6" s="2025">
        <f>ROUND(IF(项目基本情况!$B$8="出让",SUMPRODUCT(PRODUCT(1+O6:$O$24)),SUMPRODUCT(PRODUCT(1+O6:$O$23))),4)</f>
        <v>1.0871999999999999</v>
      </c>
      <c r="W6" s="2025">
        <f t="shared" si="11"/>
        <v>0.99129999999999996</v>
      </c>
      <c r="X6" s="2903"/>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3388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3" customFormat="1" ht="12.75">
      <c r="A8" s="2038" t="s">
        <v>3396</v>
      </c>
      <c r="B8" s="2029">
        <v>2025</v>
      </c>
      <c r="C8" s="2040">
        <v>1</v>
      </c>
      <c r="D8" s="2005">
        <v>0.56999999999999995</v>
      </c>
      <c r="E8" s="2005">
        <v>-0.56999999999999995</v>
      </c>
      <c r="F8" s="2005">
        <v>-0.9</v>
      </c>
      <c r="G8" s="2005">
        <v>1.1200000000000001</v>
      </c>
      <c r="H8" s="2005">
        <v>0.42</v>
      </c>
      <c r="I8" s="2006">
        <f t="shared" ref="I8" si="54">F8</f>
        <v>-0.9</v>
      </c>
      <c r="J8" s="2903"/>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3"/>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3"/>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3" customFormat="1" ht="12.75">
      <c r="A9" s="2038" t="s">
        <v>3395</v>
      </c>
      <c r="B9" s="2029">
        <v>2024</v>
      </c>
      <c r="C9" s="2040">
        <v>4</v>
      </c>
      <c r="D9" s="2005">
        <v>-1.02</v>
      </c>
      <c r="E9" s="2005">
        <v>-0.48</v>
      </c>
      <c r="F9" s="2005">
        <v>-0.75</v>
      </c>
      <c r="G9" s="2005">
        <v>-1.05</v>
      </c>
      <c r="H9" s="2005">
        <v>0.08</v>
      </c>
      <c r="I9" s="2006">
        <f t="shared" ref="I9" si="65">F9</f>
        <v>-0.75</v>
      </c>
      <c r="J9" s="2903"/>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3"/>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3"/>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3" customFormat="1" ht="12.75">
      <c r="A10" s="2038" t="s">
        <v>3368</v>
      </c>
      <c r="B10" s="2029">
        <v>2024</v>
      </c>
      <c r="C10" s="2040">
        <v>3</v>
      </c>
      <c r="D10" s="2005">
        <v>-1.19</v>
      </c>
      <c r="E10" s="2005">
        <v>-0.47</v>
      </c>
      <c r="F10" s="2005">
        <v>-0.28999999999999998</v>
      </c>
      <c r="G10" s="2005">
        <v>-0.74</v>
      </c>
      <c r="H10" s="2005">
        <v>-0.21</v>
      </c>
      <c r="I10" s="2006">
        <f t="shared" ref="I10" si="76">F10</f>
        <v>-0.28999999999999998</v>
      </c>
      <c r="J10" s="2903"/>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3"/>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3"/>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3" customFormat="1" ht="12.75">
      <c r="A11" s="2902" t="s">
        <v>3362</v>
      </c>
      <c r="B11" s="2029">
        <v>2024</v>
      </c>
      <c r="C11" s="2040">
        <v>2</v>
      </c>
      <c r="D11" s="2005">
        <v>-0.59</v>
      </c>
      <c r="E11" s="2005">
        <v>-0.21</v>
      </c>
      <c r="F11" s="2005">
        <v>-1.38</v>
      </c>
      <c r="G11" s="2005">
        <v>-1.24</v>
      </c>
      <c r="H11" s="2914">
        <v>0.34</v>
      </c>
      <c r="I11" s="2006">
        <f t="shared" ref="I11:I24" si="87">F11</f>
        <v>-1.38</v>
      </c>
      <c r="J11" s="2903"/>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3"/>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3"/>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3" customFormat="1" ht="12.75">
      <c r="A12" s="2902" t="s">
        <v>3361</v>
      </c>
      <c r="B12" s="2029">
        <v>2024</v>
      </c>
      <c r="C12" s="2040">
        <v>1</v>
      </c>
      <c r="D12" s="2005">
        <v>0.08</v>
      </c>
      <c r="E12" s="2005">
        <v>0.46</v>
      </c>
      <c r="F12" s="2005">
        <v>-0.16</v>
      </c>
      <c r="G12" s="2005">
        <v>0.26</v>
      </c>
      <c r="H12" s="2914">
        <v>0.59</v>
      </c>
      <c r="I12" s="2006">
        <f t="shared" si="87"/>
        <v>-0.16</v>
      </c>
      <c r="J12" s="2903"/>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3"/>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3"/>
      <c r="Y12" s="2026"/>
      <c r="Z12" s="2026"/>
      <c r="AA12" s="2026"/>
      <c r="AB12" s="2026"/>
      <c r="AC12" s="2026"/>
      <c r="AD12" s="2026"/>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3" customFormat="1" ht="12.75">
      <c r="A13" s="2902" t="s">
        <v>3357</v>
      </c>
      <c r="B13" s="2029">
        <v>2023</v>
      </c>
      <c r="C13" s="2040">
        <v>4</v>
      </c>
      <c r="D13" s="2005">
        <v>0.19</v>
      </c>
      <c r="E13" s="2005">
        <v>0.24</v>
      </c>
      <c r="F13" s="2005">
        <v>-0.16</v>
      </c>
      <c r="G13" s="2005">
        <v>0.17</v>
      </c>
      <c r="H13" s="2914">
        <v>0.61</v>
      </c>
      <c r="I13" s="2006">
        <f>F13</f>
        <v>-0.16</v>
      </c>
      <c r="J13" s="2903"/>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3"/>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3"/>
      <c r="Y13" s="2026"/>
      <c r="Z13" s="2026"/>
      <c r="AA13" s="2026"/>
      <c r="AB13" s="2026"/>
      <c r="AC13" s="2026"/>
      <c r="AD13" s="2026"/>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3" customFormat="1" ht="12.75">
      <c r="A14" s="2902" t="s">
        <v>3356</v>
      </c>
      <c r="B14" s="2029">
        <v>2023</v>
      </c>
      <c r="C14" s="2040">
        <v>3</v>
      </c>
      <c r="D14" s="2005">
        <v>0.25</v>
      </c>
      <c r="E14" s="2005">
        <v>0.5</v>
      </c>
      <c r="F14" s="2005">
        <v>0.31</v>
      </c>
      <c r="G14" s="2005">
        <v>0.21</v>
      </c>
      <c r="H14" s="2914">
        <v>0.43</v>
      </c>
      <c r="I14" s="2006">
        <f t="shared" si="87"/>
        <v>0.31</v>
      </c>
      <c r="J14" s="2903"/>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3"/>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3"/>
      <c r="Y14" s="2026"/>
      <c r="Z14" s="2026"/>
      <c r="AA14" s="2026"/>
      <c r="AB14" s="2026"/>
      <c r="AC14" s="2026"/>
      <c r="AD14" s="2026"/>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3" customFormat="1" ht="12.75">
      <c r="A15" s="2902" t="s">
        <v>3354</v>
      </c>
      <c r="B15" s="2029">
        <v>2023</v>
      </c>
      <c r="C15" s="2040">
        <v>2</v>
      </c>
      <c r="D15" s="2005">
        <v>0.91</v>
      </c>
      <c r="E15" s="2005">
        <v>0.66</v>
      </c>
      <c r="F15" s="2005">
        <v>0.47</v>
      </c>
      <c r="G15" s="2005">
        <v>0.96</v>
      </c>
      <c r="H15" s="2914">
        <v>0.71</v>
      </c>
      <c r="I15" s="2006">
        <f t="shared" si="87"/>
        <v>0.47</v>
      </c>
      <c r="J15" s="2903"/>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3"/>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3"/>
      <c r="Y15" s="2026"/>
      <c r="Z15" s="2026"/>
      <c r="AA15" s="2026"/>
      <c r="AB15" s="2026"/>
      <c r="AC15" s="2026"/>
      <c r="AD15" s="2026"/>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3" customFormat="1" ht="12.75">
      <c r="A16" s="2902" t="s">
        <v>3353</v>
      </c>
      <c r="B16" s="2029">
        <v>2023</v>
      </c>
      <c r="C16" s="2040">
        <v>1</v>
      </c>
      <c r="D16" s="2005">
        <v>0.89</v>
      </c>
      <c r="E16" s="2005">
        <v>0.74</v>
      </c>
      <c r="F16" s="2005">
        <v>0.56999999999999995</v>
      </c>
      <c r="G16" s="2005">
        <v>0.92</v>
      </c>
      <c r="H16" s="2914">
        <v>0.5</v>
      </c>
      <c r="I16" s="2006">
        <f t="shared" si="87"/>
        <v>0.56999999999999995</v>
      </c>
      <c r="J16" s="2903"/>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3"/>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3"/>
      <c r="Y16" s="2026"/>
      <c r="Z16" s="2026"/>
      <c r="AA16" s="2026"/>
      <c r="AB16" s="2026"/>
      <c r="AC16" s="2026"/>
      <c r="AD16" s="2026"/>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3" customFormat="1" ht="12.75">
      <c r="A17" s="2902" t="s">
        <v>3352</v>
      </c>
      <c r="B17" s="2029">
        <v>2022</v>
      </c>
      <c r="C17" s="2040">
        <v>4</v>
      </c>
      <c r="D17" s="2005">
        <v>0.62</v>
      </c>
      <c r="E17" s="2005">
        <v>0.2</v>
      </c>
      <c r="F17" s="2005">
        <v>0.11</v>
      </c>
      <c r="G17" s="2005">
        <v>0.69</v>
      </c>
      <c r="H17" s="2914">
        <v>0.53</v>
      </c>
      <c r="I17" s="2006">
        <f t="shared" si="87"/>
        <v>0.11</v>
      </c>
      <c r="J17" s="2903"/>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3"/>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3"/>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3" customFormat="1" ht="12.75">
      <c r="A18" s="2902" t="s">
        <v>3350</v>
      </c>
      <c r="B18" s="2029">
        <v>2022</v>
      </c>
      <c r="C18" s="2040">
        <v>3</v>
      </c>
      <c r="D18" s="2005">
        <v>0.66</v>
      </c>
      <c r="E18" s="2005">
        <v>0.32</v>
      </c>
      <c r="F18" s="2005">
        <v>0.23</v>
      </c>
      <c r="G18" s="2005">
        <v>0.72</v>
      </c>
      <c r="H18" s="2914">
        <v>0.63</v>
      </c>
      <c r="I18" s="2006">
        <f t="shared" si="87"/>
        <v>0.23</v>
      </c>
      <c r="J18" s="2903"/>
      <c r="K18" s="2041">
        <f t="shared" si="88"/>
        <v>6.6E-3</v>
      </c>
      <c r="L18" s="2026">
        <f t="shared" si="88"/>
        <v>3.2000000000000002E-3</v>
      </c>
      <c r="M18" s="2026">
        <f t="shared" si="88"/>
        <v>2.3E-3</v>
      </c>
      <c r="N18" s="2026">
        <f t="shared" si="88"/>
        <v>7.1999999999999998E-3</v>
      </c>
      <c r="O18" s="2026">
        <f t="shared" si="88"/>
        <v>6.3E-3</v>
      </c>
      <c r="P18" s="2026">
        <f t="shared" si="108"/>
        <v>2.3E-3</v>
      </c>
      <c r="Q18" s="2903"/>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3"/>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3" customFormat="1" ht="12.75">
      <c r="A19" s="2902" t="s">
        <v>3341</v>
      </c>
      <c r="B19" s="2029">
        <v>2022</v>
      </c>
      <c r="C19" s="2040">
        <v>2</v>
      </c>
      <c r="D19" s="2005">
        <v>0.93</v>
      </c>
      <c r="E19" s="2005">
        <v>0.15</v>
      </c>
      <c r="F19" s="2005">
        <v>0.01</v>
      </c>
      <c r="G19" s="2005">
        <v>1.05</v>
      </c>
      <c r="H19" s="2914">
        <v>1.08</v>
      </c>
      <c r="I19" s="2006">
        <f t="shared" si="87"/>
        <v>0.01</v>
      </c>
      <c r="J19" s="2903"/>
      <c r="K19" s="2041">
        <f t="shared" si="88"/>
        <v>9.300000000000001E-3</v>
      </c>
      <c r="L19" s="2026">
        <f t="shared" si="88"/>
        <v>1.5E-3</v>
      </c>
      <c r="M19" s="2026">
        <f t="shared" si="88"/>
        <v>1E-4</v>
      </c>
      <c r="N19" s="2026">
        <f t="shared" si="88"/>
        <v>1.0500000000000001E-2</v>
      </c>
      <c r="O19" s="2026">
        <f t="shared" si="88"/>
        <v>1.0800000000000001E-2</v>
      </c>
      <c r="P19" s="2026">
        <f t="shared" si="108"/>
        <v>1E-4</v>
      </c>
      <c r="Q19" s="2903"/>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3"/>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3" customFormat="1" ht="12.75">
      <c r="A20" s="2902" t="s">
        <v>2806</v>
      </c>
      <c r="B20" s="2029">
        <v>2022</v>
      </c>
      <c r="C20" s="2040">
        <v>1</v>
      </c>
      <c r="D20" s="2005">
        <v>0.89</v>
      </c>
      <c r="E20" s="2005">
        <v>0.44</v>
      </c>
      <c r="F20" s="2005">
        <v>0.37</v>
      </c>
      <c r="G20" s="2005">
        <v>0.96</v>
      </c>
      <c r="H20" s="2914">
        <v>0.64</v>
      </c>
      <c r="I20" s="2006">
        <f t="shared" si="87"/>
        <v>0.37</v>
      </c>
      <c r="J20" s="2903"/>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3"/>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3"/>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3" customFormat="1" ht="12.75">
      <c r="A21" s="2902" t="s">
        <v>2807</v>
      </c>
      <c r="B21" s="2029">
        <v>2021</v>
      </c>
      <c r="C21" s="2040">
        <v>4</v>
      </c>
      <c r="D21" s="2005">
        <v>1.03</v>
      </c>
      <c r="E21" s="2005">
        <v>0.24</v>
      </c>
      <c r="F21" s="2005">
        <v>7.0000000000000007E-2</v>
      </c>
      <c r="G21" s="2005">
        <v>1.17</v>
      </c>
      <c r="H21" s="2914">
        <v>0.55000000000000004</v>
      </c>
      <c r="I21" s="2006">
        <f t="shared" si="87"/>
        <v>7.0000000000000007E-2</v>
      </c>
      <c r="J21" s="2903"/>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3"/>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3"/>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3" customFormat="1" ht="12.75">
      <c r="A22" s="2902" t="s">
        <v>2808</v>
      </c>
      <c r="B22" s="2029">
        <v>2021</v>
      </c>
      <c r="C22" s="2040">
        <v>3</v>
      </c>
      <c r="D22" s="2005">
        <v>0.47</v>
      </c>
      <c r="E22" s="2005">
        <v>0.41</v>
      </c>
      <c r="F22" s="2005">
        <v>0.24</v>
      </c>
      <c r="G22" s="2005">
        <v>0.48</v>
      </c>
      <c r="H22" s="2914">
        <v>0.48</v>
      </c>
      <c r="I22" s="2006">
        <f t="shared" si="87"/>
        <v>0.24</v>
      </c>
      <c r="J22" s="2903"/>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3"/>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3"/>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3" customFormat="1" ht="12.75">
      <c r="A23" s="2902" t="s">
        <v>2809</v>
      </c>
      <c r="B23" s="2029">
        <v>2021</v>
      </c>
      <c r="C23" s="2040">
        <v>2</v>
      </c>
      <c r="D23" s="2005">
        <v>0.92</v>
      </c>
      <c r="E23" s="2005">
        <v>0.72</v>
      </c>
      <c r="F23" s="2005">
        <v>0.41</v>
      </c>
      <c r="G23" s="2005">
        <v>0.95</v>
      </c>
      <c r="H23" s="2914">
        <v>1.01</v>
      </c>
      <c r="I23" s="2006">
        <f t="shared" si="87"/>
        <v>0.41</v>
      </c>
      <c r="J23" s="2903"/>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3"/>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3"/>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2810</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3367</v>
      </c>
    </row>
    <row r="27" spans="1:44">
      <c r="I27" s="1403" t="s">
        <v>2811</v>
      </c>
    </row>
    <row r="29" spans="1:44" s="2007" customFormat="1" ht="12.75">
      <c r="B29" s="2926" t="s">
        <v>3365</v>
      </c>
      <c r="C29" s="2927"/>
      <c r="D29" s="2927"/>
      <c r="E29" s="2927"/>
      <c r="F29" s="2927"/>
      <c r="G29" s="2927"/>
      <c r="H29" s="2927"/>
      <c r="I29" s="2927"/>
      <c r="J29" s="2893"/>
      <c r="K29" s="2927" t="s">
        <v>2812</v>
      </c>
      <c r="L29" s="2927"/>
      <c r="M29" s="2927"/>
      <c r="N29" s="2927"/>
      <c r="O29" s="2927"/>
      <c r="P29" s="2927"/>
      <c r="Q29" s="2893"/>
      <c r="R29" s="3506" t="s">
        <v>2813</v>
      </c>
      <c r="S29" s="3507"/>
      <c r="T29" s="3507"/>
      <c r="U29" s="3507"/>
      <c r="V29" s="3507"/>
      <c r="W29" s="3507"/>
      <c r="X29" s="2893"/>
      <c r="Y29" s="3506" t="s">
        <v>2814</v>
      </c>
      <c r="Z29" s="3507"/>
      <c r="AA29" s="3507"/>
      <c r="AB29" s="3507"/>
      <c r="AC29" s="3507"/>
      <c r="AD29" s="3507"/>
    </row>
    <row r="30" spans="1:44" s="2008" customFormat="1" ht="14.25" thickBot="1">
      <c r="B30" s="2878"/>
      <c r="C30" s="2879"/>
      <c r="D30" s="2009" t="s">
        <v>2815</v>
      </c>
      <c r="E30" s="2010" t="s">
        <v>2816</v>
      </c>
      <c r="F30" s="2010" t="s">
        <v>2817</v>
      </c>
      <c r="G30" s="2010" t="s">
        <v>2818</v>
      </c>
      <c r="H30" s="2010"/>
      <c r="I30" s="2010" t="s">
        <v>2819</v>
      </c>
      <c r="J30" s="2880"/>
      <c r="K30" s="2009" t="s">
        <v>2815</v>
      </c>
      <c r="L30" s="2010" t="s">
        <v>2816</v>
      </c>
      <c r="M30" s="2010" t="s">
        <v>2817</v>
      </c>
      <c r="N30" s="2010" t="s">
        <v>2818</v>
      </c>
      <c r="O30" s="2010"/>
      <c r="P30" s="2010" t="s">
        <v>2819</v>
      </c>
      <c r="Q30" s="2880"/>
      <c r="R30" s="2009" t="s">
        <v>2815</v>
      </c>
      <c r="S30" s="2010" t="s">
        <v>2816</v>
      </c>
      <c r="T30" s="2010" t="s">
        <v>2817</v>
      </c>
      <c r="U30" s="2010" t="s">
        <v>2818</v>
      </c>
      <c r="V30" s="2010"/>
      <c r="W30" s="2010" t="s">
        <v>2819</v>
      </c>
      <c r="X30" s="2880"/>
      <c r="Y30" s="2009" t="s">
        <v>2815</v>
      </c>
      <c r="Z30" s="2010" t="s">
        <v>2816</v>
      </c>
      <c r="AA30" s="2010" t="s">
        <v>2817</v>
      </c>
      <c r="AB30" s="2010" t="s">
        <v>2818</v>
      </c>
      <c r="AC30" s="2010"/>
      <c r="AD30" s="2010" t="s">
        <v>2819</v>
      </c>
      <c r="AG30" t="s">
        <v>668</v>
      </c>
      <c r="AH30" t="s">
        <v>21</v>
      </c>
      <c r="AI30" t="s">
        <v>3392</v>
      </c>
      <c r="AJ30"/>
      <c r="AK30" t="s">
        <v>3393</v>
      </c>
      <c r="AN30" t="s">
        <v>668</v>
      </c>
      <c r="AO30" t="s">
        <v>21</v>
      </c>
      <c r="AP30" t="s">
        <v>3392</v>
      </c>
      <c r="AQ30"/>
      <c r="AR30" t="s">
        <v>3393</v>
      </c>
    </row>
    <row r="31" spans="1:44" s="2883" customFormat="1" ht="12.75">
      <c r="A31" s="2881" t="s">
        <v>2820</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7" customFormat="1" ht="12.75">
      <c r="B32" s="2023"/>
      <c r="J32" s="2893"/>
      <c r="K32" s="2894"/>
      <c r="L32" s="2895"/>
      <c r="M32" s="2895"/>
      <c r="N32" s="2895"/>
      <c r="O32" s="2895"/>
      <c r="P32" s="2895"/>
      <c r="Q32" s="2893"/>
      <c r="R32" s="2025"/>
      <c r="S32" s="2896"/>
      <c r="T32" s="2897"/>
      <c r="U32" s="2025"/>
      <c r="V32" s="2898"/>
      <c r="W32" s="2025"/>
      <c r="X32" s="2893"/>
      <c r="Y32" s="2026"/>
      <c r="Z32" s="2899"/>
      <c r="AA32" s="2900"/>
      <c r="AB32" s="2026"/>
      <c r="AC32" s="2901"/>
      <c r="AD32" s="2026"/>
    </row>
    <row r="33" spans="1:44" s="2043" customFormat="1">
      <c r="A33" s="2038" t="s">
        <v>3390</v>
      </c>
      <c r="B33" s="2029">
        <v>2025</v>
      </c>
      <c r="C33" s="2040">
        <v>4</v>
      </c>
      <c r="D33" s="2005"/>
      <c r="E33" s="2005">
        <v>0</v>
      </c>
      <c r="F33" s="2005">
        <v>0</v>
      </c>
      <c r="G33" s="2005">
        <v>0</v>
      </c>
      <c r="H33" s="2005"/>
      <c r="I33" s="2006">
        <f t="shared" ref="I33" si="119">F33</f>
        <v>0</v>
      </c>
      <c r="J33" s="2903"/>
      <c r="K33" s="2041"/>
      <c r="L33" s="2026">
        <f t="shared" ref="L33" si="120">E33/100</f>
        <v>0</v>
      </c>
      <c r="M33" s="2026">
        <f t="shared" ref="M33" si="121">F33/100</f>
        <v>0</v>
      </c>
      <c r="N33" s="2026">
        <f t="shared" ref="N33" si="122">G33/100</f>
        <v>0</v>
      </c>
      <c r="O33" s="2026"/>
      <c r="P33" s="2026">
        <f t="shared" ref="P33:P39" si="123">M33</f>
        <v>0</v>
      </c>
      <c r="Q33" s="2903"/>
      <c r="R33" s="2025"/>
      <c r="S33" s="2025">
        <f>ROUND(IF(项目基本情况!$B$8="出让",SUMPRODUCT(PRODUCT(1+L33:L$52)),SUMPRODUCT(PRODUCT(1+L33:L$51))),4)</f>
        <v>1.0148999999999999</v>
      </c>
      <c r="T33" s="2025">
        <f>ROUND(IF(项目基本情况!$B$8="出让",SUMPRODUCT(PRODUCT(1+M33:M$52)),SUMPRODUCT(PRODUCT(1+M33:M$51))),4)</f>
        <v>1.0072000000000001</v>
      </c>
      <c r="U33" s="2025">
        <f>ROUND(IF(项目基本情况!$B$8="出让",SUMPRODUCT(PRODUCT(1+N33:N$52)),SUMPRODUCT(PRODUCT(1+N33:N$51))),4)</f>
        <v>1.0335000000000001</v>
      </c>
      <c r="V33" s="2025"/>
      <c r="W33" s="2025">
        <f t="shared" ref="W33:W39" si="124">T33</f>
        <v>1.0072000000000001</v>
      </c>
      <c r="X33" s="2903"/>
      <c r="Y33" s="2026"/>
      <c r="Z33" s="2899">
        <f t="shared" ref="Z33" si="125">IF(E33=0,0,ROUND(AVERAGE(E33:E46)/100,4))</f>
        <v>0</v>
      </c>
      <c r="AA33" s="2899">
        <f t="shared" ref="AA33" si="126">IF(F33=0,0,ROUND(AVERAGE(F33:F46)/100,4))</f>
        <v>0</v>
      </c>
      <c r="AB33" s="2899">
        <f t="shared" ref="AB33" si="127">IF(G33=0,0,ROUND(AVERAGE(G33:G46)/100,4))</f>
        <v>0</v>
      </c>
      <c r="AC33" s="2901"/>
      <c r="AD33" s="2026">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3" customFormat="1" ht="12.75">
      <c r="A34" s="2038" t="s">
        <v>3389</v>
      </c>
      <c r="B34" s="2029">
        <v>2025</v>
      </c>
      <c r="C34" s="2040">
        <v>3</v>
      </c>
      <c r="D34" s="2005"/>
      <c r="E34" s="2005">
        <v>0</v>
      </c>
      <c r="F34" s="2005">
        <v>0</v>
      </c>
      <c r="G34" s="2005">
        <v>0</v>
      </c>
      <c r="H34" s="2005"/>
      <c r="I34" s="2006">
        <f t="shared" ref="I34" si="133">F34</f>
        <v>0</v>
      </c>
      <c r="J34" s="2903"/>
      <c r="K34" s="2041"/>
      <c r="L34" s="2026">
        <f t="shared" ref="L34" si="134">E34/100</f>
        <v>0</v>
      </c>
      <c r="M34" s="2026">
        <f t="shared" ref="M34" si="135">F34/100</f>
        <v>0</v>
      </c>
      <c r="N34" s="2026">
        <f t="shared" ref="N34" si="136">G34/100</f>
        <v>0</v>
      </c>
      <c r="O34" s="2026"/>
      <c r="P34" s="2026">
        <f t="shared" si="123"/>
        <v>0</v>
      </c>
      <c r="Q34" s="2903"/>
      <c r="R34" s="2025"/>
      <c r="S34" s="2025">
        <f>ROUND(IF(项目基本情况!$B$8="出让",SUMPRODUCT(PRODUCT(1+L34:L$52)),SUMPRODUCT(PRODUCT(1+L34:L$51))),4)</f>
        <v>1.0148999999999999</v>
      </c>
      <c r="T34" s="2025">
        <f>ROUND(IF(项目基本情况!$B$8="出让",SUMPRODUCT(PRODUCT(1+M34:M$52)),SUMPRODUCT(PRODUCT(1+M34:M$51))),4)</f>
        <v>1.0072000000000001</v>
      </c>
      <c r="U34" s="2025">
        <f>ROUND(IF(项目基本情况!$B$8="出让",SUMPRODUCT(PRODUCT(1+N34:N$52)),SUMPRODUCT(PRODUCT(1+N34:N$51))),4)</f>
        <v>1.0335000000000001</v>
      </c>
      <c r="V34" s="2025"/>
      <c r="W34" s="2025">
        <f t="shared" si="124"/>
        <v>1.0072000000000001</v>
      </c>
      <c r="X34" s="2903"/>
      <c r="Y34" s="2026"/>
      <c r="Z34" s="2899">
        <f t="shared" ref="Z34" si="137">IF(E34=0,0,ROUND(AVERAGE(E34:E47)/100,4))</f>
        <v>0</v>
      </c>
      <c r="AA34" s="2899">
        <f t="shared" ref="AA34" si="138">IF(F34=0,0,ROUND(AVERAGE(F34:F47)/100,4))</f>
        <v>0</v>
      </c>
      <c r="AB34" s="2899">
        <f t="shared" ref="AB34" si="139">IF(G34=0,0,ROUND(AVERAGE(G34:G47)/100,4))</f>
        <v>0</v>
      </c>
      <c r="AC34" s="2901"/>
      <c r="AD34" s="2026">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3397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3" customFormat="1" ht="12.75">
      <c r="A36" s="2038" t="s">
        <v>3394</v>
      </c>
      <c r="B36" s="2029">
        <v>2025</v>
      </c>
      <c r="C36" s="2040">
        <v>1</v>
      </c>
      <c r="D36" s="2005"/>
      <c r="E36" s="2005">
        <v>-1.47</v>
      </c>
      <c r="F36" s="2005">
        <v>-0.98</v>
      </c>
      <c r="G36" s="2005">
        <v>-0.51</v>
      </c>
      <c r="H36" s="2005"/>
      <c r="I36" s="2006">
        <f t="shared" ref="I36" si="152">F36</f>
        <v>-0.98</v>
      </c>
      <c r="J36" s="2903"/>
      <c r="K36" s="2041"/>
      <c r="L36" s="2026">
        <f t="shared" ref="L36" si="153">E36/100</f>
        <v>-1.47E-2</v>
      </c>
      <c r="M36" s="2026">
        <f t="shared" ref="M36" si="154">F36/100</f>
        <v>-9.7999999999999997E-3</v>
      </c>
      <c r="N36" s="2026">
        <f t="shared" ref="N36" si="155">G36/100</f>
        <v>-5.1000000000000004E-3</v>
      </c>
      <c r="O36" s="2026"/>
      <c r="P36" s="2026">
        <f t="shared" si="123"/>
        <v>-9.7999999999999997E-3</v>
      </c>
      <c r="Q36" s="2903"/>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3"/>
      <c r="Y36" s="2026"/>
      <c r="Z36" s="2899">
        <f t="shared" ref="Z36" si="156">IF(E36=0,0,ROUND(AVERAGE(E36:E49)/100,4))</f>
        <v>4.0000000000000002E-4</v>
      </c>
      <c r="AA36" s="2899">
        <f t="shared" ref="AA36" si="157">IF(F36=0,0,ROUND(AVERAGE(F36:F49)/100,4))</f>
        <v>0</v>
      </c>
      <c r="AB36" s="2899">
        <f t="shared" ref="AB36" si="158">IF(G36=0,0,ROUND(AVERAGE(G36:G49)/100,4))</f>
        <v>1E-3</v>
      </c>
      <c r="AC36" s="2901"/>
      <c r="AD36" s="2026">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3" customFormat="1" ht="12.75">
      <c r="A37" s="2038" t="s">
        <v>3395</v>
      </c>
      <c r="B37" s="2029">
        <v>2024</v>
      </c>
      <c r="C37" s="2040">
        <v>4</v>
      </c>
      <c r="D37" s="2005"/>
      <c r="E37" s="2005">
        <v>-0.61</v>
      </c>
      <c r="F37" s="2005">
        <v>-0.71</v>
      </c>
      <c r="G37" s="2005">
        <v>-0.88</v>
      </c>
      <c r="H37" s="2005"/>
      <c r="I37" s="2006">
        <f t="shared" ref="I37" si="162">F37</f>
        <v>-0.71</v>
      </c>
      <c r="J37" s="2903"/>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3"/>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3"/>
      <c r="Y37" s="2026"/>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6">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3" customFormat="1" ht="12.75">
      <c r="A38" s="2038" t="s">
        <v>3359</v>
      </c>
      <c r="B38" s="2029">
        <v>2024</v>
      </c>
      <c r="C38" s="2040">
        <v>3</v>
      </c>
      <c r="D38" s="2005"/>
      <c r="E38" s="2005">
        <v>-0.66</v>
      </c>
      <c r="F38" s="2005">
        <v>-0.52</v>
      </c>
      <c r="G38" s="2005">
        <v>-2.87</v>
      </c>
      <c r="H38" s="2005"/>
      <c r="I38" s="2006">
        <f t="shared" ref="I38" si="169">F38</f>
        <v>-0.52</v>
      </c>
      <c r="J38" s="2903"/>
      <c r="K38" s="2041"/>
      <c r="L38" s="2026">
        <f t="shared" ref="L38" si="170">E38/100</f>
        <v>-6.6E-3</v>
      </c>
      <c r="M38" s="2026">
        <f t="shared" ref="M38" si="171">F38/100</f>
        <v>-5.1999999999999998E-3</v>
      </c>
      <c r="N38" s="2026">
        <f t="shared" ref="N38" si="172">G38/100</f>
        <v>-2.87E-2</v>
      </c>
      <c r="O38" s="2026"/>
      <c r="P38" s="2026">
        <f t="shared" si="123"/>
        <v>-5.1999999999999998E-3</v>
      </c>
      <c r="Q38" s="2903"/>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3"/>
      <c r="Y38" s="2026"/>
      <c r="Z38" s="2899">
        <f t="shared" ref="Z38:AB39" si="173">IF(E38=0,0,ROUND(AVERAGE(E38:E51)/100,4))</f>
        <v>2.5999999999999999E-3</v>
      </c>
      <c r="AA38" s="2899">
        <f t="shared" si="173"/>
        <v>1.6999999999999999E-3</v>
      </c>
      <c r="AB38" s="2899">
        <f t="shared" si="173"/>
        <v>3.3999999999999998E-3</v>
      </c>
      <c r="AC38" s="2901"/>
      <c r="AD38" s="2026">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3" customFormat="1" ht="12.75">
      <c r="A39" s="2902" t="s">
        <v>3363</v>
      </c>
      <c r="B39" s="2029">
        <v>2024</v>
      </c>
      <c r="C39" s="2040">
        <v>2</v>
      </c>
      <c r="D39" s="2005"/>
      <c r="E39" s="2005">
        <v>-0.31</v>
      </c>
      <c r="F39" s="2005">
        <v>-0.39</v>
      </c>
      <c r="G39" s="2005">
        <v>1.23</v>
      </c>
      <c r="H39" s="2914"/>
      <c r="I39" s="2006">
        <f t="shared" ref="I39:I52" si="174">F39</f>
        <v>-0.39</v>
      </c>
      <c r="J39" s="2903"/>
      <c r="K39" s="2041"/>
      <c r="L39" s="2026">
        <f t="shared" ref="L39:N52" si="175">E39/100</f>
        <v>-3.0999999999999999E-3</v>
      </c>
      <c r="M39" s="2026">
        <f t="shared" si="175"/>
        <v>-3.9000000000000003E-3</v>
      </c>
      <c r="N39" s="2026">
        <f t="shared" si="175"/>
        <v>1.23E-2</v>
      </c>
      <c r="O39" s="2026"/>
      <c r="P39" s="2026">
        <f t="shared" si="123"/>
        <v>-3.9000000000000003E-3</v>
      </c>
      <c r="Q39" s="2903"/>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3"/>
      <c r="Y39" s="2026"/>
      <c r="Z39" s="2899">
        <f t="shared" si="173"/>
        <v>3.3E-3</v>
      </c>
      <c r="AA39" s="2900">
        <f t="shared" si="173"/>
        <v>2.3999999999999998E-3</v>
      </c>
      <c r="AB39" s="2026">
        <f t="shared" si="173"/>
        <v>6.1999999999999998E-3</v>
      </c>
      <c r="AC39" s="2901"/>
      <c r="AD39" s="2026">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3" customFormat="1" ht="12.75">
      <c r="A40" s="2902" t="s">
        <v>3360</v>
      </c>
      <c r="B40" s="2029">
        <v>2024</v>
      </c>
      <c r="C40" s="2040">
        <v>1</v>
      </c>
      <c r="D40" s="2005"/>
      <c r="E40" s="2005">
        <v>0.25</v>
      </c>
      <c r="F40" s="2005">
        <v>0.4</v>
      </c>
      <c r="G40" s="2005">
        <v>-0.63</v>
      </c>
      <c r="H40" s="2914"/>
      <c r="I40" s="2006">
        <f t="shared" ref="I40:I41" si="176">F40</f>
        <v>0.4</v>
      </c>
      <c r="J40" s="2903"/>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3"/>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3"/>
      <c r="Y40" s="2026"/>
      <c r="Z40" s="2899"/>
      <c r="AA40" s="2900"/>
      <c r="AB40" s="2026"/>
      <c r="AC40" s="2901"/>
      <c r="AD40" s="2026"/>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3" customFormat="1" ht="12.75">
      <c r="A41" s="2902" t="s">
        <v>3358</v>
      </c>
      <c r="B41" s="2029">
        <v>2023</v>
      </c>
      <c r="C41" s="2040">
        <v>4</v>
      </c>
      <c r="D41" s="2005"/>
      <c r="E41" s="2005">
        <v>7.0000000000000007E-2</v>
      </c>
      <c r="F41" s="2005">
        <v>0.09</v>
      </c>
      <c r="G41" s="2005">
        <v>0.03</v>
      </c>
      <c r="H41" s="2914"/>
      <c r="I41" s="2006">
        <f t="shared" si="176"/>
        <v>0.09</v>
      </c>
      <c r="J41" s="2903"/>
      <c r="K41" s="2041"/>
      <c r="L41" s="2026">
        <f t="shared" si="175"/>
        <v>7.000000000000001E-4</v>
      </c>
      <c r="M41" s="2026">
        <f t="shared" si="175"/>
        <v>8.9999999999999998E-4</v>
      </c>
      <c r="N41" s="2026">
        <f t="shared" si="175"/>
        <v>2.9999999999999997E-4</v>
      </c>
      <c r="O41" s="2026"/>
      <c r="P41" s="2026">
        <f t="shared" ref="P41" si="182">M41</f>
        <v>8.9999999999999998E-4</v>
      </c>
      <c r="Q41" s="2903"/>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3"/>
      <c r="Y41" s="2026"/>
      <c r="Z41" s="2899"/>
      <c r="AA41" s="2900"/>
      <c r="AB41" s="2026"/>
      <c r="AC41" s="2901"/>
      <c r="AD41" s="2026"/>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3" customFormat="1" ht="12.75">
      <c r="A42" s="2902" t="s">
        <v>3356</v>
      </c>
      <c r="B42" s="2029">
        <v>2023</v>
      </c>
      <c r="C42" s="2040">
        <v>3</v>
      </c>
      <c r="D42" s="2005"/>
      <c r="E42" s="2005">
        <v>0.35</v>
      </c>
      <c r="F42" s="2005">
        <v>0.17</v>
      </c>
      <c r="G42" s="2005">
        <v>0.52</v>
      </c>
      <c r="H42" s="2914"/>
      <c r="I42" s="2006">
        <f t="shared" si="174"/>
        <v>0.17</v>
      </c>
      <c r="J42" s="2903"/>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3"/>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3"/>
      <c r="Y42" s="2026"/>
      <c r="Z42" s="2899"/>
      <c r="AA42" s="2900"/>
      <c r="AB42" s="2026"/>
      <c r="AC42" s="2901"/>
      <c r="AD42" s="2026"/>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3" customFormat="1" ht="12.75">
      <c r="A43" s="2902" t="s">
        <v>3355</v>
      </c>
      <c r="B43" s="2029">
        <v>2023</v>
      </c>
      <c r="C43" s="2040">
        <v>2</v>
      </c>
      <c r="D43" s="2005"/>
      <c r="E43" s="2005">
        <v>0.5</v>
      </c>
      <c r="F43" s="2005">
        <v>0.45</v>
      </c>
      <c r="G43" s="2005">
        <v>0.89</v>
      </c>
      <c r="H43" s="2914"/>
      <c r="I43" s="2006">
        <f t="shared" si="174"/>
        <v>0.45</v>
      </c>
      <c r="J43" s="2903"/>
      <c r="K43" s="2041"/>
      <c r="L43" s="2026">
        <f t="shared" si="184"/>
        <v>5.0000000000000001E-3</v>
      </c>
      <c r="M43" s="2026">
        <f t="shared" si="185"/>
        <v>4.5000000000000005E-3</v>
      </c>
      <c r="N43" s="2026">
        <f t="shared" si="186"/>
        <v>8.8999999999999999E-3</v>
      </c>
      <c r="O43" s="2026"/>
      <c r="P43" s="2026">
        <f t="shared" si="187"/>
        <v>4.5000000000000005E-3</v>
      </c>
      <c r="Q43" s="2903"/>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3"/>
      <c r="Y43" s="2026"/>
      <c r="Z43" s="2899"/>
      <c r="AA43" s="2900"/>
      <c r="AB43" s="2026"/>
      <c r="AC43" s="2901"/>
      <c r="AD43" s="2026"/>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3" customFormat="1" ht="12.75">
      <c r="A44" s="2902" t="s">
        <v>3353</v>
      </c>
      <c r="B44" s="2029">
        <v>2023</v>
      </c>
      <c r="C44" s="2040">
        <v>1</v>
      </c>
      <c r="D44" s="2005"/>
      <c r="E44" s="2005">
        <v>0.55000000000000004</v>
      </c>
      <c r="F44" s="2005">
        <v>0.59</v>
      </c>
      <c r="G44" s="2005">
        <v>0.64</v>
      </c>
      <c r="H44" s="2914"/>
      <c r="I44" s="2006">
        <f t="shared" si="174"/>
        <v>0.59</v>
      </c>
      <c r="J44" s="2903"/>
      <c r="K44" s="2041"/>
      <c r="L44" s="2026">
        <f t="shared" si="184"/>
        <v>5.5000000000000005E-3</v>
      </c>
      <c r="M44" s="2026">
        <f t="shared" si="185"/>
        <v>5.8999999999999999E-3</v>
      </c>
      <c r="N44" s="2026">
        <f t="shared" si="186"/>
        <v>6.4000000000000003E-3</v>
      </c>
      <c r="O44" s="2026"/>
      <c r="P44" s="2026">
        <f t="shared" si="187"/>
        <v>5.8999999999999999E-3</v>
      </c>
      <c r="Q44" s="2903"/>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3"/>
      <c r="Y44" s="2026"/>
      <c r="Z44" s="2899"/>
      <c r="AA44" s="2900"/>
      <c r="AB44" s="2026"/>
      <c r="AC44" s="2901"/>
      <c r="AD44" s="2026"/>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3" customFormat="1" ht="12.75">
      <c r="A45" s="2902" t="s">
        <v>3352</v>
      </c>
      <c r="B45" s="2029">
        <v>2022</v>
      </c>
      <c r="C45" s="2040">
        <v>4</v>
      </c>
      <c r="D45" s="2005"/>
      <c r="E45" s="2005">
        <v>0.45</v>
      </c>
      <c r="F45" s="2005">
        <v>0.2</v>
      </c>
      <c r="G45" s="2005">
        <v>0.38</v>
      </c>
      <c r="H45" s="2914"/>
      <c r="I45" s="2006">
        <f t="shared" si="174"/>
        <v>0.2</v>
      </c>
      <c r="J45" s="2903"/>
      <c r="K45" s="2041"/>
      <c r="L45" s="2026">
        <f t="shared" si="175"/>
        <v>4.5000000000000005E-3</v>
      </c>
      <c r="M45" s="2026">
        <f t="shared" si="175"/>
        <v>2E-3</v>
      </c>
      <c r="N45" s="2026">
        <f t="shared" si="175"/>
        <v>3.8E-3</v>
      </c>
      <c r="O45" s="2026"/>
      <c r="P45" s="2026">
        <f t="shared" ref="P45:P52" si="189">M45</f>
        <v>2E-3</v>
      </c>
      <c r="Q45" s="2903"/>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3"/>
      <c r="Y45" s="2026"/>
      <c r="Z45" s="2899">
        <f t="shared" ref="Z45:AD52" si="191">IF(E45=0,0,ROUND(AVERAGE(E45:E53)/100,4))</f>
        <v>4.0000000000000001E-3</v>
      </c>
      <c r="AA45" s="2900">
        <f t="shared" si="191"/>
        <v>2.5999999999999999E-3</v>
      </c>
      <c r="AB45" s="2026">
        <f t="shared" si="191"/>
        <v>7.4000000000000003E-3</v>
      </c>
      <c r="AC45" s="2901"/>
      <c r="AD45" s="2026">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3" customFormat="1" ht="12.75">
      <c r="A46" s="2902" t="s">
        <v>3351</v>
      </c>
      <c r="B46" s="2029">
        <v>2022</v>
      </c>
      <c r="C46" s="2040">
        <v>3</v>
      </c>
      <c r="D46" s="2005"/>
      <c r="E46" s="2005">
        <v>0.3</v>
      </c>
      <c r="F46" s="2005">
        <v>0.28999999999999998</v>
      </c>
      <c r="G46" s="2005">
        <v>0.83</v>
      </c>
      <c r="H46" s="2914"/>
      <c r="I46" s="2006">
        <f t="shared" si="174"/>
        <v>0.28999999999999998</v>
      </c>
      <c r="J46" s="2903"/>
      <c r="K46" s="2041"/>
      <c r="L46" s="2026">
        <f t="shared" si="175"/>
        <v>3.0000000000000001E-3</v>
      </c>
      <c r="M46" s="2026">
        <f t="shared" si="175"/>
        <v>2.8999999999999998E-3</v>
      </c>
      <c r="N46" s="2026">
        <f t="shared" si="175"/>
        <v>8.3000000000000001E-3</v>
      </c>
      <c r="O46" s="2026"/>
      <c r="P46" s="2026">
        <f t="shared" si="189"/>
        <v>2.8999999999999998E-3</v>
      </c>
      <c r="Q46" s="2903"/>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3"/>
      <c r="Y46" s="2026"/>
      <c r="Z46" s="2899">
        <f t="shared" si="191"/>
        <v>3.8999999999999998E-3</v>
      </c>
      <c r="AA46" s="2900">
        <f t="shared" si="191"/>
        <v>2.7000000000000001E-3</v>
      </c>
      <c r="AB46" s="2026">
        <f t="shared" si="191"/>
        <v>7.9000000000000008E-3</v>
      </c>
      <c r="AC46" s="2901"/>
      <c r="AD46" s="2026">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3" customFormat="1" ht="12.75">
      <c r="A47" s="2902" t="s">
        <v>3341</v>
      </c>
      <c r="B47" s="2029">
        <v>2022</v>
      </c>
      <c r="C47" s="2040">
        <v>2</v>
      </c>
      <c r="D47" s="2005"/>
      <c r="E47" s="2005">
        <v>-0.11</v>
      </c>
      <c r="F47" s="2005">
        <v>-0.13</v>
      </c>
      <c r="G47" s="2005">
        <v>0.53</v>
      </c>
      <c r="H47" s="2914"/>
      <c r="I47" s="2006">
        <f t="shared" si="174"/>
        <v>-0.13</v>
      </c>
      <c r="J47" s="2903"/>
      <c r="K47" s="2041"/>
      <c r="L47" s="2026">
        <f t="shared" si="175"/>
        <v>-1.1000000000000001E-3</v>
      </c>
      <c r="M47" s="2026">
        <f t="shared" si="175"/>
        <v>-1.2999999999999999E-3</v>
      </c>
      <c r="N47" s="2026">
        <f t="shared" si="175"/>
        <v>5.3E-3</v>
      </c>
      <c r="O47" s="2026"/>
      <c r="P47" s="2026">
        <f t="shared" si="189"/>
        <v>-1.2999999999999999E-3</v>
      </c>
      <c r="Q47" s="2903"/>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3"/>
      <c r="Y47" s="2026"/>
      <c r="Z47" s="2899">
        <f t="shared" si="191"/>
        <v>4.1000000000000003E-3</v>
      </c>
      <c r="AA47" s="2900">
        <f t="shared" si="191"/>
        <v>2.7000000000000001E-3</v>
      </c>
      <c r="AB47" s="2026">
        <f t="shared" si="191"/>
        <v>7.9000000000000008E-3</v>
      </c>
      <c r="AC47" s="2901"/>
      <c r="AD47" s="2026">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3" customFormat="1" ht="12.75">
      <c r="A48" s="2902" t="s">
        <v>2821</v>
      </c>
      <c r="B48" s="2029">
        <v>2022</v>
      </c>
      <c r="C48" s="2040">
        <v>1</v>
      </c>
      <c r="D48" s="2005"/>
      <c r="E48" s="2005">
        <v>0.6</v>
      </c>
      <c r="F48" s="2005">
        <v>0.45</v>
      </c>
      <c r="G48" s="2005">
        <v>0.53</v>
      </c>
      <c r="H48" s="2914"/>
      <c r="I48" s="2006">
        <f t="shared" si="174"/>
        <v>0.45</v>
      </c>
      <c r="J48" s="2903"/>
      <c r="K48" s="2041"/>
      <c r="L48" s="2026">
        <f t="shared" si="175"/>
        <v>6.0000000000000001E-3</v>
      </c>
      <c r="M48" s="2026">
        <f t="shared" si="175"/>
        <v>4.5000000000000005E-3</v>
      </c>
      <c r="N48" s="2026">
        <f t="shared" si="175"/>
        <v>5.3E-3</v>
      </c>
      <c r="O48" s="2026"/>
      <c r="P48" s="2026">
        <f t="shared" si="189"/>
        <v>4.5000000000000005E-3</v>
      </c>
      <c r="Q48" s="2903"/>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3"/>
      <c r="Y48" s="2026"/>
      <c r="Z48" s="2899">
        <f t="shared" si="191"/>
        <v>5.1000000000000004E-3</v>
      </c>
      <c r="AA48" s="2900">
        <f t="shared" si="191"/>
        <v>3.5000000000000001E-3</v>
      </c>
      <c r="AB48" s="2026">
        <f t="shared" si="191"/>
        <v>8.3999999999999995E-3</v>
      </c>
      <c r="AC48" s="2901"/>
      <c r="AD48" s="2026">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3" customFormat="1" ht="12.75">
      <c r="A49" s="2902" t="s">
        <v>2822</v>
      </c>
      <c r="B49" s="2029">
        <v>2021</v>
      </c>
      <c r="C49" s="2040">
        <v>4</v>
      </c>
      <c r="D49" s="2005"/>
      <c r="E49" s="2005">
        <v>0.57999999999999996</v>
      </c>
      <c r="F49" s="2005">
        <v>0.08</v>
      </c>
      <c r="G49" s="2005">
        <v>0.68</v>
      </c>
      <c r="H49" s="2914"/>
      <c r="I49" s="2006">
        <f t="shared" si="174"/>
        <v>0.08</v>
      </c>
      <c r="J49" s="2903"/>
      <c r="K49" s="2041"/>
      <c r="L49" s="2026">
        <f t="shared" si="175"/>
        <v>5.7999999999999996E-3</v>
      </c>
      <c r="M49" s="2026">
        <f t="shared" si="175"/>
        <v>8.0000000000000004E-4</v>
      </c>
      <c r="N49" s="2026">
        <f t="shared" si="175"/>
        <v>6.8000000000000005E-3</v>
      </c>
      <c r="O49" s="2026"/>
      <c r="P49" s="2026">
        <f t="shared" si="189"/>
        <v>8.0000000000000004E-4</v>
      </c>
      <c r="Q49" s="2903"/>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3"/>
      <c r="Y49" s="2026"/>
      <c r="Z49" s="2899">
        <f t="shared" si="191"/>
        <v>4.8999999999999998E-3</v>
      </c>
      <c r="AA49" s="2900">
        <f t="shared" si="191"/>
        <v>3.3E-3</v>
      </c>
      <c r="AB49" s="2026">
        <f t="shared" si="191"/>
        <v>9.1999999999999998E-3</v>
      </c>
      <c r="AC49" s="2901"/>
      <c r="AD49" s="2026">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3" customFormat="1" ht="12.75">
      <c r="A50" s="2902" t="s">
        <v>2823</v>
      </c>
      <c r="B50" s="2029">
        <v>2021</v>
      </c>
      <c r="C50" s="2040">
        <v>3</v>
      </c>
      <c r="D50" s="2005"/>
      <c r="E50" s="2005">
        <v>0.47</v>
      </c>
      <c r="F50" s="2005">
        <v>0.28000000000000003</v>
      </c>
      <c r="G50" s="2005">
        <v>0.91</v>
      </c>
      <c r="H50" s="2914"/>
      <c r="I50" s="2006">
        <f t="shared" si="174"/>
        <v>0.28000000000000003</v>
      </c>
      <c r="J50" s="2903"/>
      <c r="K50" s="2041"/>
      <c r="L50" s="2026">
        <f t="shared" si="175"/>
        <v>4.6999999999999993E-3</v>
      </c>
      <c r="M50" s="2026">
        <f t="shared" si="175"/>
        <v>2.8000000000000004E-3</v>
      </c>
      <c r="N50" s="2026">
        <f t="shared" si="175"/>
        <v>9.1000000000000004E-3</v>
      </c>
      <c r="O50" s="2026"/>
      <c r="P50" s="2026">
        <f t="shared" si="189"/>
        <v>2.8000000000000004E-3</v>
      </c>
      <c r="Q50" s="2903"/>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3"/>
      <c r="Y50" s="2026"/>
      <c r="Z50" s="2899">
        <f t="shared" si="191"/>
        <v>4.5999999999999999E-3</v>
      </c>
      <c r="AA50" s="2900">
        <f t="shared" si="191"/>
        <v>4.1000000000000003E-3</v>
      </c>
      <c r="AB50" s="2026">
        <f t="shared" si="191"/>
        <v>0.01</v>
      </c>
      <c r="AC50" s="2901"/>
      <c r="AD50" s="2026">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3" customFormat="1" ht="12.75">
      <c r="A51" s="2902" t="s">
        <v>2824</v>
      </c>
      <c r="B51" s="2029">
        <v>2021</v>
      </c>
      <c r="C51" s="2040">
        <v>2</v>
      </c>
      <c r="D51" s="2005"/>
      <c r="E51" s="2005">
        <v>0.55000000000000004</v>
      </c>
      <c r="F51" s="2005">
        <v>0.46</v>
      </c>
      <c r="G51" s="2005">
        <v>1.1000000000000001</v>
      </c>
      <c r="H51" s="2914"/>
      <c r="I51" s="2006">
        <f t="shared" si="174"/>
        <v>0.46</v>
      </c>
      <c r="J51" s="2903"/>
      <c r="K51" s="2041"/>
      <c r="L51" s="2026">
        <f t="shared" si="175"/>
        <v>5.5000000000000005E-3</v>
      </c>
      <c r="M51" s="2026">
        <f t="shared" si="175"/>
        <v>4.5999999999999999E-3</v>
      </c>
      <c r="N51" s="2026">
        <f t="shared" si="175"/>
        <v>1.1000000000000001E-2</v>
      </c>
      <c r="O51" s="2026"/>
      <c r="P51" s="2026">
        <f t="shared" si="189"/>
        <v>4.5999999999999999E-3</v>
      </c>
      <c r="Q51" s="2903"/>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3"/>
      <c r="Y51" s="2026"/>
      <c r="Z51" s="2899">
        <f t="shared" si="191"/>
        <v>4.4999999999999997E-3</v>
      </c>
      <c r="AA51" s="2900">
        <f t="shared" si="191"/>
        <v>4.7000000000000002E-3</v>
      </c>
      <c r="AB51" s="2026">
        <f t="shared" si="191"/>
        <v>1.04E-2</v>
      </c>
      <c r="AC51" s="2901"/>
      <c r="AD51" s="2026">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2810</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3366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8" customFormat="1" ht="14.25" thickBot="1">
      <c r="B2" s="2009" t="s">
        <v>458</v>
      </c>
      <c r="C2" s="2009" t="s">
        <v>459</v>
      </c>
      <c r="D2" s="2010" t="s">
        <v>460</v>
      </c>
      <c r="E2" s="2010" t="s">
        <v>461</v>
      </c>
      <c r="F2" s="2009" t="s">
        <v>462</v>
      </c>
      <c r="G2" s="2011"/>
      <c r="I2" s="2009" t="s">
        <v>458</v>
      </c>
      <c r="J2" s="2010" t="s">
        <v>671</v>
      </c>
      <c r="K2" s="2010" t="s">
        <v>308</v>
      </c>
      <c r="L2" s="2009" t="s">
        <v>462</v>
      </c>
      <c r="N2" s="2009" t="s">
        <v>458</v>
      </c>
      <c r="O2" s="2010" t="s">
        <v>671</v>
      </c>
      <c r="P2" s="2010" t="s">
        <v>308</v>
      </c>
      <c r="Q2" s="2009" t="s">
        <v>462</v>
      </c>
      <c r="S2" s="2009" t="s">
        <v>458</v>
      </c>
      <c r="T2" s="2010" t="s">
        <v>671</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2109</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3349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2110</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3347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3348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2422</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2299</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2298</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2297</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2294</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2293</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2125</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2123</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2122</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2121</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2119</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2118</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2120</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2116</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2115</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2108</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2106</v>
      </c>
      <c r="B25" s="2047">
        <v>439</v>
      </c>
      <c r="C25" s="2047">
        <v>327</v>
      </c>
      <c r="D25" s="2047">
        <f>C25</f>
        <v>327</v>
      </c>
      <c r="E25" s="2047">
        <v>627</v>
      </c>
      <c r="F25" s="2048">
        <v>283</v>
      </c>
      <c r="G25" s="351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2107</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672</v>
      </c>
      <c r="B27" s="2039">
        <f t="shared" si="232"/>
        <v>419.31181600000002</v>
      </c>
      <c r="C27" s="2039">
        <f t="shared" si="233"/>
        <v>313.95436800000004</v>
      </c>
      <c r="D27" s="2039">
        <f t="shared" si="234"/>
        <v>313.95436800000004</v>
      </c>
      <c r="E27" s="2039">
        <f t="shared" si="235"/>
        <v>596.63028431999999</v>
      </c>
      <c r="F27" s="2039">
        <f t="shared" si="236"/>
        <v>274.74220703999998</v>
      </c>
      <c r="G27" s="350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1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9">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10">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9">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10">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19" t="s">
        <v>2825</v>
      </c>
      <c r="B1" s="3519"/>
      <c r="C1" s="3519"/>
      <c r="D1" s="3519"/>
      <c r="E1" s="3519"/>
      <c r="F1" s="3519"/>
      <c r="G1" s="3520"/>
      <c r="I1" s="2935" t="s">
        <v>2826</v>
      </c>
      <c r="J1" s="2936" t="s">
        <v>2827</v>
      </c>
      <c r="K1" s="2936" t="s">
        <v>2828</v>
      </c>
      <c r="L1" s="2936" t="s">
        <v>2829</v>
      </c>
      <c r="M1" s="2936" t="s">
        <v>2830</v>
      </c>
      <c r="N1" s="2936" t="s">
        <v>2831</v>
      </c>
      <c r="O1" s="2936" t="s">
        <v>2832</v>
      </c>
      <c r="P1" s="2936" t="s">
        <v>2833</v>
      </c>
      <c r="Q1" s="2936" t="s">
        <v>2834</v>
      </c>
      <c r="R1" s="2936" t="s">
        <v>2835</v>
      </c>
      <c r="S1" s="2936" t="s">
        <v>2836</v>
      </c>
      <c r="T1" s="2937" t="s">
        <v>2837</v>
      </c>
    </row>
    <row r="2" spans="1:20" ht="12" thickBot="1">
      <c r="A2" s="2938" t="s">
        <v>2838</v>
      </c>
      <c r="B2" s="2938"/>
      <c r="C2" s="2938"/>
      <c r="D2" s="2938"/>
      <c r="E2" s="2938"/>
      <c r="F2" s="2938"/>
      <c r="G2" s="2939" t="s">
        <v>2839</v>
      </c>
      <c r="I2" s="2940" t="s">
        <v>2840</v>
      </c>
      <c r="J2" s="2940" t="s">
        <v>2841</v>
      </c>
      <c r="K2" s="2940" t="s">
        <v>2842</v>
      </c>
      <c r="L2" s="2940" t="s">
        <v>2843</v>
      </c>
      <c r="M2" s="2940" t="s">
        <v>2844</v>
      </c>
      <c r="N2" s="2940" t="s">
        <v>2845</v>
      </c>
      <c r="O2" s="2940" t="s">
        <v>2846</v>
      </c>
      <c r="P2" s="2940" t="s">
        <v>2847</v>
      </c>
      <c r="Q2" s="2940" t="s">
        <v>2848</v>
      </c>
      <c r="R2" s="2940" t="s">
        <v>2849</v>
      </c>
      <c r="S2" s="2940" t="s">
        <v>2850</v>
      </c>
      <c r="T2" s="2940" t="s">
        <v>2851</v>
      </c>
    </row>
    <row r="3" spans="1:20" s="2946" customFormat="1">
      <c r="A3" s="3517" t="s">
        <v>2852</v>
      </c>
      <c r="B3" s="2941"/>
      <c r="C3" s="2942" t="s">
        <v>2797</v>
      </c>
      <c r="D3" s="2942" t="s">
        <v>2853</v>
      </c>
      <c r="E3" s="2942" t="s">
        <v>2799</v>
      </c>
      <c r="F3" s="2942" t="s">
        <v>2854</v>
      </c>
      <c r="G3" s="2942" t="s">
        <v>2617</v>
      </c>
      <c r="H3" s="2943"/>
      <c r="I3" s="2944" t="s">
        <v>2855</v>
      </c>
      <c r="J3" s="2945" t="s">
        <v>128</v>
      </c>
      <c r="K3" s="2945" t="s">
        <v>129</v>
      </c>
      <c r="L3" s="2944" t="s">
        <v>130</v>
      </c>
      <c r="M3" s="2944" t="s">
        <v>131</v>
      </c>
      <c r="N3" s="2944" t="s">
        <v>132</v>
      </c>
      <c r="O3" s="2944" t="s">
        <v>133</v>
      </c>
      <c r="P3" s="2944" t="s">
        <v>134</v>
      </c>
      <c r="Q3" s="2944" t="s">
        <v>135</v>
      </c>
      <c r="R3" s="2944" t="s">
        <v>136</v>
      </c>
      <c r="S3" s="2944" t="s">
        <v>2856</v>
      </c>
      <c r="T3" s="2944" t="s">
        <v>2857</v>
      </c>
    </row>
    <row r="4" spans="1:20" s="2946" customFormat="1" ht="12" thickBot="1">
      <c r="A4" s="3518"/>
      <c r="B4" s="2947" t="s">
        <v>2858</v>
      </c>
      <c r="C4" s="2947" t="s">
        <v>2859</v>
      </c>
      <c r="D4" s="2947" t="s">
        <v>2859</v>
      </c>
      <c r="E4" s="2947" t="s">
        <v>2859</v>
      </c>
      <c r="F4" s="2948" t="s">
        <v>2859</v>
      </c>
      <c r="G4" s="2948" t="s">
        <v>2859</v>
      </c>
      <c r="H4" s="2943"/>
      <c r="I4" s="2945" t="s">
        <v>137</v>
      </c>
      <c r="J4" s="2945" t="s">
        <v>111</v>
      </c>
      <c r="K4" s="2945" t="s">
        <v>138</v>
      </c>
      <c r="L4" s="2944" t="s">
        <v>139</v>
      </c>
      <c r="M4" s="2944" t="s">
        <v>140</v>
      </c>
      <c r="N4" s="2944" t="s">
        <v>141</v>
      </c>
      <c r="O4" s="2944" t="s">
        <v>142</v>
      </c>
      <c r="P4" s="2944" t="s">
        <v>143</v>
      </c>
      <c r="Q4" s="2944" t="s">
        <v>2860</v>
      </c>
      <c r="R4" s="2944" t="s">
        <v>2861</v>
      </c>
      <c r="S4" s="2944" t="s">
        <v>2862</v>
      </c>
      <c r="T4" s="2944" t="s">
        <v>2863</v>
      </c>
    </row>
    <row r="5" spans="1:20">
      <c r="A5" s="2949" t="s">
        <v>2826</v>
      </c>
      <c r="B5" s="2940" t="s">
        <v>2840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2864</v>
      </c>
      <c r="R5" s="2944" t="s">
        <v>2865</v>
      </c>
      <c r="S5" s="2944" t="s">
        <v>153</v>
      </c>
      <c r="T5" s="2944" t="s">
        <v>2866</v>
      </c>
    </row>
    <row r="6" spans="1:20" ht="12" thickBot="1">
      <c r="A6" s="2944" t="s">
        <v>144</v>
      </c>
      <c r="B6" s="2944" t="s">
        <v>2855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2867</v>
      </c>
      <c r="Q6" s="2944" t="s">
        <v>2868</v>
      </c>
      <c r="R6" s="2944" t="s">
        <v>161</v>
      </c>
      <c r="S6" s="2944" t="s">
        <v>2869</v>
      </c>
      <c r="T6" s="2944" t="s">
        <v>2870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2871</v>
      </c>
      <c r="Q7" s="2944" t="s">
        <v>2872</v>
      </c>
      <c r="R7" s="2944" t="s">
        <v>2873</v>
      </c>
      <c r="S7" s="2944" t="s">
        <v>2874</v>
      </c>
      <c r="T7" s="2944" t="s">
        <v>2875</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2876</v>
      </c>
      <c r="Q8" s="2944" t="s">
        <v>174</v>
      </c>
      <c r="R8" s="2944" t="s">
        <v>2877</v>
      </c>
      <c r="S8" s="2944" t="s">
        <v>2878</v>
      </c>
      <c r="T8" s="2951" t="s">
        <v>2879</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2880</v>
      </c>
      <c r="Q9" s="2944" t="s">
        <v>182</v>
      </c>
      <c r="R9" s="2944" t="s">
        <v>183</v>
      </c>
      <c r="S9" s="2944" t="s">
        <v>200</v>
      </c>
    </row>
    <row r="10" spans="1:20">
      <c r="A10" s="2949" t="s">
        <v>184</v>
      </c>
      <c r="B10" s="2940" t="s">
        <v>2841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2882</v>
      </c>
      <c r="P11" s="2944" t="s">
        <v>191</v>
      </c>
      <c r="Q11" s="2944" t="s">
        <v>199</v>
      </c>
      <c r="R11" s="2944" t="s">
        <v>2883</v>
      </c>
      <c r="S11" s="2944" t="s">
        <v>2884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2885</v>
      </c>
      <c r="P12" s="2944" t="s">
        <v>2886</v>
      </c>
      <c r="Q12" s="2944" t="s">
        <v>2887</v>
      </c>
      <c r="R12" s="2944" t="s">
        <v>2888</v>
      </c>
      <c r="S12" s="2944" t="s">
        <v>2889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2891</v>
      </c>
      <c r="K14" s="2945" t="s">
        <v>215</v>
      </c>
      <c r="L14" s="2944" t="s">
        <v>216</v>
      </c>
      <c r="M14" s="2944" t="s">
        <v>217</v>
      </c>
      <c r="N14" s="2944" t="s">
        <v>218</v>
      </c>
      <c r="O14" s="2944" t="s">
        <v>240</v>
      </c>
      <c r="P14" s="2944" t="s">
        <v>213</v>
      </c>
      <c r="Q14" s="2944" t="s">
        <v>2892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2893</v>
      </c>
      <c r="P15" s="2944" t="s">
        <v>2894</v>
      </c>
      <c r="Q15" s="2944" t="s">
        <v>242</v>
      </c>
      <c r="R15" s="2944" t="s">
        <v>2895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2896</v>
      </c>
      <c r="P16" s="2944" t="s">
        <v>227</v>
      </c>
      <c r="Q16" s="2944" t="s">
        <v>250</v>
      </c>
      <c r="R16" s="2944" t="s">
        <v>207</v>
      </c>
      <c r="S16" s="2944" t="s">
        <v>2897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2898</v>
      </c>
      <c r="P17" s="2944" t="s">
        <v>2899</v>
      </c>
      <c r="Q17" s="2944" t="s">
        <v>256</v>
      </c>
      <c r="R17" s="2944" t="s">
        <v>2900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2901</v>
      </c>
      <c r="P18" s="2944" t="s">
        <v>241</v>
      </c>
      <c r="Q18" s="2944" t="s">
        <v>2902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2903</v>
      </c>
      <c r="P19" s="2944" t="s">
        <v>249</v>
      </c>
      <c r="Q19" s="2944" t="s">
        <v>2904</v>
      </c>
      <c r="R19" s="2944" t="s">
        <v>265</v>
      </c>
      <c r="S19" s="2944" t="s">
        <v>2905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2906</v>
      </c>
      <c r="P20" s="2944" t="s">
        <v>2907</v>
      </c>
      <c r="Q20" s="2944" t="s">
        <v>290</v>
      </c>
      <c r="R20" s="2944" t="s">
        <v>2908</v>
      </c>
      <c r="S20" s="2944" t="s">
        <v>277</v>
      </c>
    </row>
    <row r="21" spans="1:19" ht="14.25" customHeight="1" thickBot="1">
      <c r="A21" s="2944" t="s">
        <v>184</v>
      </c>
      <c r="B21" s="2945" t="s">
        <v>208</v>
      </c>
      <c r="C21" s="2944">
        <v>32370</v>
      </c>
      <c r="D21" s="2944">
        <v>26730</v>
      </c>
      <c r="E21" s="2944">
        <v>26640</v>
      </c>
      <c r="F21" s="2944"/>
      <c r="G21" s="2944">
        <v>19440</v>
      </c>
      <c r="J21" s="2951" t="s">
        <v>2909</v>
      </c>
      <c r="K21" s="2945" t="s">
        <v>267</v>
      </c>
      <c r="L21" s="2944" t="s">
        <v>268</v>
      </c>
      <c r="M21" s="2944" t="s">
        <v>269</v>
      </c>
      <c r="N21" s="2944" t="s">
        <v>270</v>
      </c>
      <c r="O21" s="2944" t="s">
        <v>264</v>
      </c>
      <c r="P21" s="2944" t="s">
        <v>283</v>
      </c>
      <c r="Q21" s="2944" t="s">
        <v>293</v>
      </c>
      <c r="R21" s="2944" t="s">
        <v>2910</v>
      </c>
      <c r="S21" s="2951" t="s">
        <v>2911</v>
      </c>
    </row>
    <row r="22" spans="1:19" ht="14.25" customHeight="1">
      <c r="A22" s="2944" t="s">
        <v>184</v>
      </c>
      <c r="B22" s="2945" t="s">
        <v>2891</v>
      </c>
      <c r="C22" s="2944">
        <v>29830</v>
      </c>
      <c r="D22" s="2944">
        <v>27600</v>
      </c>
      <c r="E22" s="2944">
        <v>28150</v>
      </c>
      <c r="F22" s="2944"/>
      <c r="G22" s="2944">
        <v>20080</v>
      </c>
      <c r="K22" s="2945" t="s">
        <v>2912</v>
      </c>
      <c r="L22" s="2944" t="s">
        <v>272</v>
      </c>
      <c r="M22" s="2944" t="s">
        <v>273</v>
      </c>
      <c r="N22" s="2944" t="s">
        <v>274</v>
      </c>
      <c r="O22" s="2944" t="s">
        <v>2913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2914</v>
      </c>
      <c r="L23" s="2944" t="s">
        <v>278</v>
      </c>
      <c r="M23" s="2944" t="s">
        <v>279</v>
      </c>
      <c r="N23" s="2944" t="s">
        <v>2915</v>
      </c>
      <c r="O23" s="2944" t="s">
        <v>2916</v>
      </c>
      <c r="P23" s="2944" t="s">
        <v>289</v>
      </c>
      <c r="Q23" s="2944" t="s">
        <v>298</v>
      </c>
      <c r="R23" s="2944" t="s">
        <v>2917</v>
      </c>
    </row>
    <row r="24" spans="1:19" ht="14.25" customHeight="1">
      <c r="A24" s="2944" t="s">
        <v>184</v>
      </c>
      <c r="B24" s="2945" t="s">
        <v>230</v>
      </c>
      <c r="C24" s="2944">
        <v>27930</v>
      </c>
      <c r="D24" s="2944">
        <v>32260</v>
      </c>
      <c r="E24" s="2944">
        <v>32120</v>
      </c>
      <c r="F24" s="2944"/>
      <c r="G24" s="2944">
        <v>23470</v>
      </c>
      <c r="K24" s="2945" t="s">
        <v>2918</v>
      </c>
      <c r="L24" s="2944" t="s">
        <v>281</v>
      </c>
      <c r="M24" s="2944" t="s">
        <v>282</v>
      </c>
      <c r="N24" s="2944" t="s">
        <v>2919</v>
      </c>
      <c r="O24" s="2944" t="s">
        <v>285</v>
      </c>
      <c r="P24" s="2944" t="s">
        <v>2920</v>
      </c>
      <c r="Q24" s="2953" t="s">
        <v>2921</v>
      </c>
      <c r="R24" s="2944" t="s">
        <v>2922</v>
      </c>
    </row>
    <row r="25" spans="1:19" ht="14.25" customHeight="1">
      <c r="A25" s="2944" t="s">
        <v>184</v>
      </c>
      <c r="B25" s="2945" t="s">
        <v>235</v>
      </c>
      <c r="C25" s="2944">
        <v>32230</v>
      </c>
      <c r="D25" s="2944">
        <v>29640</v>
      </c>
      <c r="E25" s="2944">
        <v>29510</v>
      </c>
      <c r="F25" s="2944"/>
      <c r="G25" s="2944">
        <v>21560</v>
      </c>
      <c r="K25" s="2945" t="s">
        <v>2923</v>
      </c>
      <c r="L25" s="2944" t="s">
        <v>2924</v>
      </c>
      <c r="M25" s="2944" t="s">
        <v>284</v>
      </c>
      <c r="N25" s="2944" t="s">
        <v>292</v>
      </c>
      <c r="O25" s="2944" t="s">
        <v>288</v>
      </c>
      <c r="P25" s="2944" t="s">
        <v>275</v>
      </c>
      <c r="Q25" s="2953" t="s">
        <v>271</v>
      </c>
      <c r="R25" s="2944" t="s">
        <v>2925</v>
      </c>
    </row>
    <row r="26" spans="1:19" ht="14.25" customHeight="1" thickBot="1">
      <c r="A26" s="2944" t="s">
        <v>184</v>
      </c>
      <c r="B26" s="2945" t="s">
        <v>244</v>
      </c>
      <c r="C26" s="2944">
        <v>31690</v>
      </c>
      <c r="D26" s="2944">
        <v>27650</v>
      </c>
      <c r="E26" s="2944">
        <v>28200</v>
      </c>
      <c r="F26" s="2944"/>
      <c r="G26" s="2944">
        <v>20110</v>
      </c>
      <c r="K26" s="2950" t="s">
        <v>2926</v>
      </c>
      <c r="L26" s="2944" t="s">
        <v>2927</v>
      </c>
      <c r="M26" s="2944" t="s">
        <v>287</v>
      </c>
      <c r="N26" s="2944" t="s">
        <v>294</v>
      </c>
      <c r="O26" s="2944" t="s">
        <v>2928</v>
      </c>
      <c r="P26" s="2944" t="s">
        <v>2929</v>
      </c>
      <c r="Q26" s="2953" t="s">
        <v>276</v>
      </c>
      <c r="R26" s="2944" t="s">
        <v>2930</v>
      </c>
    </row>
    <row r="27" spans="1:19" ht="14.25" customHeight="1">
      <c r="A27" s="2944" t="s">
        <v>184</v>
      </c>
      <c r="B27" s="2945" t="s">
        <v>251</v>
      </c>
      <c r="C27" s="2944">
        <v>29610</v>
      </c>
      <c r="D27" s="2944">
        <v>27770</v>
      </c>
      <c r="E27" s="2944">
        <v>28300</v>
      </c>
      <c r="F27" s="2944"/>
      <c r="G27" s="2944">
        <v>20210</v>
      </c>
      <c r="L27" s="2944" t="s">
        <v>2931</v>
      </c>
      <c r="M27" s="2944" t="s">
        <v>291</v>
      </c>
      <c r="N27" s="2944" t="s">
        <v>297</v>
      </c>
      <c r="O27" s="2944" t="s">
        <v>2932</v>
      </c>
      <c r="P27" s="2944" t="s">
        <v>2933</v>
      </c>
      <c r="Q27" s="2944" t="s">
        <v>2934</v>
      </c>
      <c r="R27" s="2944" t="s">
        <v>2935</v>
      </c>
    </row>
    <row r="28" spans="1:19" ht="14.25" customHeight="1">
      <c r="A28" s="2944" t="s">
        <v>184</v>
      </c>
      <c r="B28" s="2945" t="s">
        <v>259</v>
      </c>
      <c r="C28" s="2944"/>
      <c r="D28" s="2944">
        <v>31520</v>
      </c>
      <c r="E28" s="2944">
        <v>31410</v>
      </c>
      <c r="F28" s="2944"/>
      <c r="G28" s="2944">
        <v>22940</v>
      </c>
      <c r="L28" s="2944" t="s">
        <v>2936</v>
      </c>
      <c r="M28" s="2944" t="s">
        <v>2937</v>
      </c>
      <c r="N28" s="2944" t="s">
        <v>2938</v>
      </c>
      <c r="O28" s="2944" t="s">
        <v>2939</v>
      </c>
      <c r="P28" s="2944" t="s">
        <v>2940</v>
      </c>
      <c r="Q28" s="2944" t="s">
        <v>2941</v>
      </c>
      <c r="R28" s="2944" t="s">
        <v>2942</v>
      </c>
    </row>
    <row r="29" spans="1:19" ht="14.25" customHeight="1" thickBot="1">
      <c r="A29" s="2952" t="s">
        <v>184</v>
      </c>
      <c r="B29" s="2954" t="s">
        <v>2909</v>
      </c>
      <c r="C29" s="2955"/>
      <c r="D29" s="2955">
        <v>29460</v>
      </c>
      <c r="E29" s="2955">
        <v>28640</v>
      </c>
      <c r="F29" s="2955"/>
      <c r="G29" s="2955">
        <v>21430</v>
      </c>
      <c r="L29" s="2944" t="s">
        <v>2943</v>
      </c>
      <c r="M29" s="2944" t="s">
        <v>2944</v>
      </c>
      <c r="N29" s="2944" t="s">
        <v>2945</v>
      </c>
      <c r="O29" s="2944" t="s">
        <v>2946</v>
      </c>
      <c r="P29" s="2944" t="s">
        <v>2947</v>
      </c>
      <c r="Q29" s="2944" t="s">
        <v>2948</v>
      </c>
      <c r="R29" s="2944" t="s">
        <v>280</v>
      </c>
    </row>
    <row r="30" spans="1:19" ht="14.25" customHeight="1">
      <c r="A30" s="2949" t="s">
        <v>296</v>
      </c>
      <c r="B30" s="2940" t="s">
        <v>2842</v>
      </c>
      <c r="C30" s="2940">
        <v>26890</v>
      </c>
      <c r="D30" s="2940">
        <v>26770</v>
      </c>
      <c r="E30" s="2940">
        <v>25700</v>
      </c>
      <c r="F30" s="2940">
        <v>8180</v>
      </c>
      <c r="G30" s="2956">
        <v>18740</v>
      </c>
      <c r="L30" s="2944" t="s">
        <v>2949</v>
      </c>
      <c r="M30" s="2944" t="s">
        <v>2950</v>
      </c>
      <c r="N30" s="2944" t="s">
        <v>2951</v>
      </c>
      <c r="O30" s="2944" t="s">
        <v>2952</v>
      </c>
      <c r="P30" s="2944" t="s">
        <v>2953</v>
      </c>
      <c r="Q30" s="2944" t="s">
        <v>2954</v>
      </c>
      <c r="R30" s="2944" t="s">
        <v>2955</v>
      </c>
    </row>
    <row r="31" spans="1:19" ht="14.25" customHeight="1">
      <c r="A31" s="2944" t="s">
        <v>296</v>
      </c>
      <c r="B31" s="2945" t="s">
        <v>129</v>
      </c>
      <c r="C31" s="2944">
        <v>24550</v>
      </c>
      <c r="D31" s="2944">
        <v>23990</v>
      </c>
      <c r="E31" s="2944">
        <v>22930</v>
      </c>
      <c r="F31" s="2944">
        <v>7470</v>
      </c>
      <c r="G31" s="2957">
        <v>16790</v>
      </c>
      <c r="L31" s="2944" t="s">
        <v>2956</v>
      </c>
      <c r="M31" s="2944" t="s">
        <v>2957</v>
      </c>
      <c r="N31" s="2944" t="s">
        <v>2958</v>
      </c>
      <c r="O31" s="2944" t="s">
        <v>2959</v>
      </c>
      <c r="P31" s="2944" t="s">
        <v>2960</v>
      </c>
      <c r="Q31" s="2944" t="s">
        <v>2961</v>
      </c>
      <c r="R31" s="2944" t="s">
        <v>2962</v>
      </c>
    </row>
    <row r="32" spans="1:19" ht="14.25" customHeight="1" thickBot="1">
      <c r="A32" s="2944" t="s">
        <v>296</v>
      </c>
      <c r="B32" s="2945" t="s">
        <v>138</v>
      </c>
      <c r="C32" s="2944">
        <v>27210</v>
      </c>
      <c r="D32" s="2944">
        <v>23240</v>
      </c>
      <c r="E32" s="2944">
        <v>23260</v>
      </c>
      <c r="F32" s="2944">
        <v>7130</v>
      </c>
      <c r="G32" s="2957">
        <v>16270</v>
      </c>
      <c r="L32" s="2944" t="s">
        <v>2963</v>
      </c>
      <c r="M32" s="2944" t="s">
        <v>2964</v>
      </c>
      <c r="N32" s="2944" t="s">
        <v>300</v>
      </c>
      <c r="O32" s="2944" t="s">
        <v>2965</v>
      </c>
      <c r="P32" s="2944" t="s">
        <v>299</v>
      </c>
      <c r="Q32" s="2944" t="s">
        <v>2966</v>
      </c>
      <c r="R32" s="2951" t="s">
        <v>2967</v>
      </c>
    </row>
    <row r="33" spans="1:17" ht="14.25" customHeight="1" thickBot="1">
      <c r="A33" s="2944" t="s">
        <v>296</v>
      </c>
      <c r="B33" s="2945" t="s">
        <v>147</v>
      </c>
      <c r="C33" s="2944">
        <v>27300</v>
      </c>
      <c r="D33" s="2944">
        <v>22980</v>
      </c>
      <c r="E33" s="2944">
        <v>24260</v>
      </c>
      <c r="F33" s="2944">
        <v>5860</v>
      </c>
      <c r="G33" s="2957">
        <v>16090</v>
      </c>
      <c r="L33" s="2951" t="s">
        <v>2968</v>
      </c>
      <c r="M33" s="2944" t="s">
        <v>2969</v>
      </c>
      <c r="N33" s="2944" t="s">
        <v>301</v>
      </c>
      <c r="O33" s="2944" t="s">
        <v>2970</v>
      </c>
      <c r="P33" s="2944" t="s">
        <v>2971</v>
      </c>
      <c r="Q33" s="2944" t="s">
        <v>2972</v>
      </c>
    </row>
    <row r="34" spans="1:17" ht="14.25" customHeight="1">
      <c r="A34" s="2944" t="s">
        <v>296</v>
      </c>
      <c r="B34" s="2945" t="s">
        <v>156</v>
      </c>
      <c r="C34" s="2944">
        <v>23090</v>
      </c>
      <c r="D34" s="2944">
        <v>23390</v>
      </c>
      <c r="E34" s="2944">
        <v>23510</v>
      </c>
      <c r="F34" s="2944">
        <v>6700</v>
      </c>
      <c r="G34" s="2957">
        <v>16370</v>
      </c>
      <c r="M34" s="2944" t="s">
        <v>2973</v>
      </c>
      <c r="N34" s="2944" t="s">
        <v>302</v>
      </c>
      <c r="O34" s="2944" t="s">
        <v>2974</v>
      </c>
      <c r="P34" s="2944" t="s">
        <v>2975</v>
      </c>
      <c r="Q34" s="2944" t="s">
        <v>2976</v>
      </c>
    </row>
    <row r="35" spans="1:17" ht="14.25" customHeight="1">
      <c r="A35" s="2944" t="s">
        <v>296</v>
      </c>
      <c r="B35" s="2945" t="s">
        <v>163</v>
      </c>
      <c r="C35" s="2944">
        <v>27270</v>
      </c>
      <c r="D35" s="2944">
        <v>24270</v>
      </c>
      <c r="E35" s="2944">
        <v>24950</v>
      </c>
      <c r="F35" s="2944">
        <v>6600</v>
      </c>
      <c r="G35" s="2957">
        <v>16990</v>
      </c>
      <c r="M35" s="2944" t="s">
        <v>2977</v>
      </c>
      <c r="N35" s="2944" t="s">
        <v>2978</v>
      </c>
      <c r="O35" s="2944" t="s">
        <v>2979</v>
      </c>
      <c r="P35" s="2944" t="s">
        <v>2980</v>
      </c>
      <c r="Q35" s="2944" t="s">
        <v>2981</v>
      </c>
    </row>
    <row r="36" spans="1:17" ht="14.25" customHeight="1">
      <c r="A36" s="2944" t="s">
        <v>296</v>
      </c>
      <c r="B36" s="2945" t="s">
        <v>169</v>
      </c>
      <c r="C36" s="2944">
        <v>23490</v>
      </c>
      <c r="D36" s="2944">
        <v>23020</v>
      </c>
      <c r="E36" s="2944">
        <v>25230</v>
      </c>
      <c r="F36" s="2944">
        <v>6780</v>
      </c>
      <c r="G36" s="2957">
        <v>16120</v>
      </c>
      <c r="M36" s="2944" t="s">
        <v>2982</v>
      </c>
      <c r="N36" s="2944" t="s">
        <v>2983</v>
      </c>
      <c r="O36" s="2944" t="s">
        <v>2984</v>
      </c>
      <c r="P36" s="2944" t="s">
        <v>2985</v>
      </c>
      <c r="Q36" s="2944" t="s">
        <v>2986</v>
      </c>
    </row>
    <row r="37" spans="1:17" ht="14.25" customHeight="1">
      <c r="A37" s="2944" t="s">
        <v>296</v>
      </c>
      <c r="B37" s="2945" t="s">
        <v>176</v>
      </c>
      <c r="C37" s="2944">
        <v>24380</v>
      </c>
      <c r="D37" s="2944">
        <v>22240</v>
      </c>
      <c r="E37" s="2944">
        <v>25980</v>
      </c>
      <c r="F37" s="2944">
        <v>8160</v>
      </c>
      <c r="G37" s="2957">
        <v>15570</v>
      </c>
      <c r="M37" s="2944" t="s">
        <v>2987</v>
      </c>
      <c r="N37" s="2944" t="s">
        <v>2988</v>
      </c>
      <c r="O37" s="2944" t="s">
        <v>2989</v>
      </c>
      <c r="P37" s="2944" t="s">
        <v>2990</v>
      </c>
      <c r="Q37" s="2944" t="s">
        <v>2991</v>
      </c>
    </row>
    <row r="38" spans="1:17" ht="14.25" customHeight="1">
      <c r="A38" s="2944" t="s">
        <v>296</v>
      </c>
      <c r="B38" s="2945" t="s">
        <v>186</v>
      </c>
      <c r="C38" s="2944">
        <v>23120</v>
      </c>
      <c r="D38" s="2944">
        <v>24630</v>
      </c>
      <c r="E38" s="2944">
        <v>25030</v>
      </c>
      <c r="F38" s="2944">
        <v>7710</v>
      </c>
      <c r="G38" s="2957">
        <v>17240</v>
      </c>
      <c r="M38" s="2944" t="s">
        <v>2992</v>
      </c>
      <c r="N38" s="2944" t="s">
        <v>2993</v>
      </c>
      <c r="O38" s="2944" t="s">
        <v>2994</v>
      </c>
      <c r="P38" s="2944" t="s">
        <v>2995</v>
      </c>
      <c r="Q38" s="2944" t="s">
        <v>2996</v>
      </c>
    </row>
    <row r="39" spans="1:17" ht="14.25" customHeight="1">
      <c r="A39" s="2944" t="s">
        <v>296</v>
      </c>
      <c r="B39" s="2945" t="s">
        <v>195</v>
      </c>
      <c r="C39" s="2944">
        <v>22330</v>
      </c>
      <c r="D39" s="2944">
        <v>21140</v>
      </c>
      <c r="E39" s="2944">
        <v>23970</v>
      </c>
      <c r="F39" s="2944">
        <v>7940</v>
      </c>
      <c r="G39" s="2957">
        <v>14790</v>
      </c>
      <c r="M39" s="2944" t="s">
        <v>2997</v>
      </c>
      <c r="N39" s="2944" t="s">
        <v>2998</v>
      </c>
      <c r="O39" s="2944" t="s">
        <v>2999</v>
      </c>
      <c r="P39" s="2944" t="s">
        <v>3000</v>
      </c>
      <c r="Q39" s="2944" t="s">
        <v>3001</v>
      </c>
    </row>
    <row r="40" spans="1:17" ht="14.25" customHeight="1">
      <c r="A40" s="2944" t="s">
        <v>296</v>
      </c>
      <c r="B40" s="2945" t="s">
        <v>202</v>
      </c>
      <c r="C40" s="2944">
        <v>24740</v>
      </c>
      <c r="D40" s="2944">
        <v>24690</v>
      </c>
      <c r="E40" s="2944">
        <v>22610</v>
      </c>
      <c r="F40" s="2944"/>
      <c r="G40" s="2957">
        <v>17280</v>
      </c>
      <c r="M40" s="2944" t="s">
        <v>3002</v>
      </c>
      <c r="N40" s="2944" t="s">
        <v>3003</v>
      </c>
      <c r="O40" s="2944" t="s">
        <v>3004</v>
      </c>
      <c r="P40" s="2944" t="s">
        <v>3005</v>
      </c>
      <c r="Q40" s="2944" t="s">
        <v>3006</v>
      </c>
    </row>
    <row r="41" spans="1:17" ht="14.25" customHeight="1" thickBot="1">
      <c r="A41" s="2944" t="s">
        <v>296</v>
      </c>
      <c r="B41" s="2945" t="s">
        <v>209</v>
      </c>
      <c r="C41" s="2944">
        <v>21220</v>
      </c>
      <c r="D41" s="2944">
        <v>21120</v>
      </c>
      <c r="E41" s="2944">
        <v>22590</v>
      </c>
      <c r="F41" s="2944"/>
      <c r="G41" s="2957">
        <v>14780</v>
      </c>
      <c r="M41" s="2951" t="s">
        <v>3007</v>
      </c>
      <c r="N41" s="2944" t="s">
        <v>3008</v>
      </c>
      <c r="O41" s="2944" t="s">
        <v>3009</v>
      </c>
      <c r="P41" s="2944" t="s">
        <v>3010</v>
      </c>
      <c r="Q41" s="2944" t="s">
        <v>3011</v>
      </c>
    </row>
    <row r="42" spans="1:17" ht="14.25" customHeight="1">
      <c r="A42" s="2944" t="s">
        <v>296</v>
      </c>
      <c r="B42" s="2945" t="s">
        <v>215</v>
      </c>
      <c r="C42" s="2944">
        <v>24800</v>
      </c>
      <c r="D42" s="2944">
        <v>22280</v>
      </c>
      <c r="E42" s="2944">
        <v>24350</v>
      </c>
      <c r="F42" s="2944"/>
      <c r="G42" s="2957">
        <v>15590</v>
      </c>
      <c r="N42" s="2944" t="s">
        <v>3012</v>
      </c>
      <c r="O42" s="2944" t="s">
        <v>3013</v>
      </c>
      <c r="P42" s="2944" t="s">
        <v>3014</v>
      </c>
      <c r="Q42" s="2944" t="s">
        <v>3015</v>
      </c>
    </row>
    <row r="43" spans="1:17" ht="14.25" customHeight="1">
      <c r="A43" s="2944" t="s">
        <v>3016</v>
      </c>
      <c r="B43" s="2945" t="s">
        <v>223</v>
      </c>
      <c r="C43" s="2944">
        <v>21210</v>
      </c>
      <c r="D43" s="2944">
        <v>21160</v>
      </c>
      <c r="E43" s="2944">
        <v>22650</v>
      </c>
      <c r="F43" s="2944"/>
      <c r="G43" s="2957">
        <v>14800</v>
      </c>
      <c r="N43" s="2944" t="s">
        <v>3017</v>
      </c>
      <c r="O43" s="2944" t="s">
        <v>3018</v>
      </c>
      <c r="P43" s="2944" t="s">
        <v>3019</v>
      </c>
      <c r="Q43" s="2944" t="s">
        <v>3020</v>
      </c>
    </row>
    <row r="44" spans="1:17" ht="14.25" customHeight="1" thickBot="1">
      <c r="A44" s="2944" t="s">
        <v>296</v>
      </c>
      <c r="B44" s="2945" t="s">
        <v>231</v>
      </c>
      <c r="C44" s="2944">
        <v>22370</v>
      </c>
      <c r="D44" s="2944">
        <v>23140</v>
      </c>
      <c r="E44" s="2944">
        <v>25090</v>
      </c>
      <c r="F44" s="2944"/>
      <c r="G44" s="2957">
        <v>16190</v>
      </c>
      <c r="N44" s="2944" t="s">
        <v>3021</v>
      </c>
      <c r="O44" s="2944" t="s">
        <v>3022</v>
      </c>
      <c r="P44" s="2951" t="s">
        <v>3023</v>
      </c>
      <c r="Q44" s="2944" t="s">
        <v>3024</v>
      </c>
    </row>
    <row r="45" spans="1:17" ht="14.25" customHeight="1" thickBot="1">
      <c r="A45" s="2944" t="s">
        <v>296</v>
      </c>
      <c r="B45" s="2945" t="s">
        <v>236</v>
      </c>
      <c r="C45" s="2944">
        <v>21240</v>
      </c>
      <c r="D45" s="2944">
        <v>27050</v>
      </c>
      <c r="E45" s="2944">
        <v>28000</v>
      </c>
      <c r="F45" s="2944"/>
      <c r="G45" s="2957">
        <v>18940</v>
      </c>
      <c r="N45" s="2944" t="s">
        <v>3025</v>
      </c>
      <c r="O45" s="2951" t="s">
        <v>3026</v>
      </c>
      <c r="Q45" s="2944" t="s">
        <v>3027</v>
      </c>
    </row>
    <row r="46" spans="1:17" ht="14.25" customHeight="1">
      <c r="A46" s="2944" t="s">
        <v>296</v>
      </c>
      <c r="B46" s="2945" t="s">
        <v>245</v>
      </c>
      <c r="C46" s="2944">
        <v>23240</v>
      </c>
      <c r="D46" s="2944">
        <v>23000</v>
      </c>
      <c r="E46" s="2944">
        <v>24980</v>
      </c>
      <c r="F46" s="2944"/>
      <c r="G46" s="2957">
        <v>16100</v>
      </c>
      <c r="N46" s="2944" t="s">
        <v>3028</v>
      </c>
      <c r="Q46" s="2944" t="s">
        <v>3029</v>
      </c>
    </row>
    <row r="47" spans="1:17" ht="14.25" customHeight="1">
      <c r="A47" s="2944" t="s">
        <v>296</v>
      </c>
      <c r="B47" s="2945" t="s">
        <v>252</v>
      </c>
      <c r="C47" s="2944">
        <v>27150</v>
      </c>
      <c r="D47" s="2944">
        <v>23310</v>
      </c>
      <c r="E47" s="2944">
        <v>25150</v>
      </c>
      <c r="F47" s="2944"/>
      <c r="G47" s="2957">
        <v>16310</v>
      </c>
      <c r="N47" s="2944" t="s">
        <v>3030</v>
      </c>
      <c r="Q47" s="2944" t="s">
        <v>3031</v>
      </c>
    </row>
    <row r="48" spans="1:17" ht="14.25" customHeight="1">
      <c r="A48" s="2944" t="s">
        <v>296</v>
      </c>
      <c r="B48" s="2945" t="s">
        <v>260</v>
      </c>
      <c r="C48" s="2944">
        <v>23100</v>
      </c>
      <c r="D48" s="2944">
        <v>21110</v>
      </c>
      <c r="E48" s="2944">
        <v>23080</v>
      </c>
      <c r="F48" s="2944"/>
      <c r="G48" s="2957">
        <v>14780</v>
      </c>
      <c r="N48" s="2944" t="s">
        <v>3032</v>
      </c>
      <c r="Q48" s="2944" t="s">
        <v>3033</v>
      </c>
    </row>
    <row r="49" spans="1:17" ht="14.25" customHeight="1">
      <c r="A49" s="2944" t="s">
        <v>296</v>
      </c>
      <c r="B49" s="2945" t="s">
        <v>267</v>
      </c>
      <c r="C49" s="2944">
        <v>23400</v>
      </c>
      <c r="D49" s="2944">
        <v>22920</v>
      </c>
      <c r="E49" s="2944">
        <v>24900</v>
      </c>
      <c r="F49" s="2944"/>
      <c r="G49" s="2957">
        <v>16040</v>
      </c>
      <c r="N49" s="2944" t="s">
        <v>3034</v>
      </c>
      <c r="Q49" s="2944" t="s">
        <v>3035</v>
      </c>
    </row>
    <row r="50" spans="1:17" ht="14.25" customHeight="1">
      <c r="A50" s="2944" t="s">
        <v>296</v>
      </c>
      <c r="B50" s="2945" t="s">
        <v>2912</v>
      </c>
      <c r="C50" s="2944">
        <v>21200</v>
      </c>
      <c r="D50" s="2944">
        <v>26540</v>
      </c>
      <c r="E50" s="2944">
        <v>23200</v>
      </c>
      <c r="F50" s="2944"/>
      <c r="G50" s="2957">
        <v>18580</v>
      </c>
      <c r="N50" s="2944" t="s">
        <v>3036</v>
      </c>
      <c r="Q50" s="2945" t="s">
        <v>3037</v>
      </c>
    </row>
    <row r="51" spans="1:17" ht="14.25" customHeight="1" thickBot="1">
      <c r="A51" s="2944" t="s">
        <v>296</v>
      </c>
      <c r="B51" s="2945" t="s">
        <v>2914</v>
      </c>
      <c r="C51" s="2944">
        <v>23000</v>
      </c>
      <c r="D51" s="2944">
        <v>23460</v>
      </c>
      <c r="E51" s="2944">
        <v>25290</v>
      </c>
      <c r="F51" s="2944"/>
      <c r="G51" s="2957">
        <v>16420</v>
      </c>
      <c r="N51" s="2944" t="s">
        <v>3038</v>
      </c>
      <c r="Q51" s="2951" t="s">
        <v>3039</v>
      </c>
    </row>
    <row r="52" spans="1:17" ht="14.25" customHeight="1">
      <c r="A52" s="2944" t="s">
        <v>296</v>
      </c>
      <c r="B52" s="2945" t="s">
        <v>2918</v>
      </c>
      <c r="C52" s="2944">
        <v>26660</v>
      </c>
      <c r="D52" s="2944">
        <v>22350</v>
      </c>
      <c r="E52" s="2944">
        <v>22920</v>
      </c>
      <c r="F52" s="2944"/>
      <c r="G52" s="2957">
        <v>15640</v>
      </c>
      <c r="N52" s="2944" t="s">
        <v>3040</v>
      </c>
    </row>
    <row r="53" spans="1:17" ht="14.25" customHeight="1">
      <c r="A53" s="2944" t="s">
        <v>296</v>
      </c>
      <c r="B53" s="2945" t="s">
        <v>2923</v>
      </c>
      <c r="C53" s="2944">
        <v>23580</v>
      </c>
      <c r="D53" s="2944"/>
      <c r="E53" s="2944">
        <v>24280</v>
      </c>
      <c r="F53" s="2944"/>
      <c r="G53" s="2957"/>
      <c r="N53" s="2944" t="s">
        <v>3041</v>
      </c>
    </row>
    <row r="54" spans="1:17" ht="14.25" customHeight="1" thickBot="1">
      <c r="A54" s="2958" t="s">
        <v>296</v>
      </c>
      <c r="B54" s="2950" t="s">
        <v>2926</v>
      </c>
      <c r="C54" s="2951">
        <v>22460</v>
      </c>
      <c r="D54" s="2951"/>
      <c r="E54" s="2951"/>
      <c r="F54" s="2951"/>
      <c r="G54" s="2959"/>
      <c r="N54" s="2944" t="s">
        <v>3042</v>
      </c>
    </row>
    <row r="55" spans="1:17" ht="14.25" customHeight="1">
      <c r="A55" s="2949" t="s">
        <v>110</v>
      </c>
      <c r="B55" s="2940" t="s">
        <v>3043</v>
      </c>
      <c r="C55" s="2944">
        <v>21970</v>
      </c>
      <c r="D55" s="2944">
        <v>20370</v>
      </c>
      <c r="E55" s="2944">
        <v>20180</v>
      </c>
      <c r="F55" s="2944">
        <v>5730</v>
      </c>
      <c r="G55" s="2944">
        <v>13820</v>
      </c>
      <c r="N55" s="2944" t="s">
        <v>3044</v>
      </c>
    </row>
    <row r="56" spans="1:17" ht="14.25" customHeight="1">
      <c r="A56" s="2944" t="s">
        <v>110</v>
      </c>
      <c r="B56" s="2944" t="s">
        <v>130</v>
      </c>
      <c r="C56" s="2944">
        <v>20470</v>
      </c>
      <c r="D56" s="2944">
        <v>20700</v>
      </c>
      <c r="E56" s="2944">
        <v>20380</v>
      </c>
      <c r="F56" s="2944">
        <v>4760</v>
      </c>
      <c r="G56" s="2944">
        <v>14050</v>
      </c>
      <c r="N56" s="2944" t="s">
        <v>3045</v>
      </c>
    </row>
    <row r="57" spans="1:17" ht="14.25" customHeight="1">
      <c r="A57" s="2944" t="s">
        <v>110</v>
      </c>
      <c r="B57" s="2944" t="s">
        <v>139</v>
      </c>
      <c r="C57" s="2944">
        <v>20790</v>
      </c>
      <c r="D57" s="2944">
        <v>21370</v>
      </c>
      <c r="E57" s="2944">
        <v>20890</v>
      </c>
      <c r="F57" s="2944">
        <v>4910</v>
      </c>
      <c r="G57" s="2944">
        <v>14510</v>
      </c>
      <c r="N57" s="2944" t="s">
        <v>3046</v>
      </c>
    </row>
    <row r="58" spans="1:17" ht="14.25" customHeight="1">
      <c r="A58" s="2944" t="s">
        <v>110</v>
      </c>
      <c r="B58" s="2944" t="s">
        <v>148</v>
      </c>
      <c r="C58" s="2944">
        <v>21460</v>
      </c>
      <c r="D58" s="2944">
        <v>20920</v>
      </c>
      <c r="E58" s="2944">
        <v>23410</v>
      </c>
      <c r="F58" s="2944">
        <v>5100</v>
      </c>
      <c r="G58" s="2944">
        <v>14200</v>
      </c>
      <c r="N58" s="2944" t="s">
        <v>3047</v>
      </c>
    </row>
    <row r="59" spans="1:17" ht="14.25" customHeight="1">
      <c r="A59" s="2944" t="s">
        <v>110</v>
      </c>
      <c r="B59" s="2944" t="s">
        <v>157</v>
      </c>
      <c r="C59" s="2944">
        <v>21000</v>
      </c>
      <c r="D59" s="2944">
        <v>21550</v>
      </c>
      <c r="E59" s="2944">
        <v>21150</v>
      </c>
      <c r="F59" s="2944">
        <v>5250</v>
      </c>
      <c r="G59" s="2944">
        <v>14630</v>
      </c>
      <c r="N59" s="2944" t="s">
        <v>3048</v>
      </c>
    </row>
    <row r="60" spans="1:17" ht="14.25" customHeight="1">
      <c r="A60" s="2944" t="s">
        <v>110</v>
      </c>
      <c r="B60" s="2944" t="s">
        <v>164</v>
      </c>
      <c r="C60" s="2944">
        <v>21640</v>
      </c>
      <c r="D60" s="2944">
        <v>21260</v>
      </c>
      <c r="E60" s="2944">
        <v>24040</v>
      </c>
      <c r="F60" s="2944">
        <v>4470</v>
      </c>
      <c r="G60" s="2944">
        <v>14430</v>
      </c>
      <c r="N60" s="2944" t="s">
        <v>3049</v>
      </c>
    </row>
    <row r="61" spans="1:17" ht="14.25" customHeight="1">
      <c r="A61" s="2944" t="s">
        <v>110</v>
      </c>
      <c r="B61" s="2944" t="s">
        <v>170</v>
      </c>
      <c r="C61" s="2944">
        <v>21330</v>
      </c>
      <c r="D61" s="2944">
        <v>18640</v>
      </c>
      <c r="E61" s="2944">
        <v>21190</v>
      </c>
      <c r="F61" s="2944">
        <v>4180</v>
      </c>
      <c r="G61" s="2944">
        <v>12650</v>
      </c>
      <c r="N61" s="2944" t="s">
        <v>3050</v>
      </c>
    </row>
    <row r="62" spans="1:17" ht="14.25" customHeight="1">
      <c r="A62" s="2944" t="s">
        <v>110</v>
      </c>
      <c r="B62" s="2944" t="s">
        <v>177</v>
      </c>
      <c r="C62" s="2944">
        <v>18710</v>
      </c>
      <c r="D62" s="2944">
        <v>19400</v>
      </c>
      <c r="E62" s="2944">
        <v>23750</v>
      </c>
      <c r="F62" s="2944">
        <v>4860</v>
      </c>
      <c r="G62" s="2944">
        <v>13170</v>
      </c>
      <c r="N62" s="2944" t="s">
        <v>3051</v>
      </c>
    </row>
    <row r="63" spans="1:17" ht="14.25" customHeight="1">
      <c r="A63" s="2944" t="s">
        <v>110</v>
      </c>
      <c r="B63" s="2944" t="s">
        <v>187</v>
      </c>
      <c r="C63" s="2944">
        <v>19480</v>
      </c>
      <c r="D63" s="2944">
        <v>16830</v>
      </c>
      <c r="E63" s="2944">
        <v>21590</v>
      </c>
      <c r="F63" s="2944">
        <v>4560</v>
      </c>
      <c r="G63" s="2944">
        <v>11420</v>
      </c>
      <c r="N63" s="2944" t="s">
        <v>3052</v>
      </c>
    </row>
    <row r="64" spans="1:17" ht="14.25" customHeight="1" thickBot="1">
      <c r="A64" s="2944" t="s">
        <v>110</v>
      </c>
      <c r="B64" s="2944" t="s">
        <v>196</v>
      </c>
      <c r="C64" s="2944">
        <v>16920</v>
      </c>
      <c r="D64" s="2944">
        <v>19190</v>
      </c>
      <c r="E64" s="2944">
        <v>22200</v>
      </c>
      <c r="F64" s="2944">
        <v>4390</v>
      </c>
      <c r="G64" s="2944">
        <v>13030</v>
      </c>
      <c r="N64" s="2951" t="s">
        <v>3053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2924</v>
      </c>
      <c r="C78" s="2944">
        <v>19820</v>
      </c>
      <c r="D78" s="2944">
        <v>19780</v>
      </c>
      <c r="E78" s="2944">
        <v>18560</v>
      </c>
      <c r="F78" s="2944"/>
      <c r="G78" s="2944">
        <v>13430</v>
      </c>
    </row>
    <row r="79" spans="1:7" s="2778" customFormat="1" ht="14.25" customHeight="1">
      <c r="A79" s="2944" t="s">
        <v>110</v>
      </c>
      <c r="B79" s="2944" t="s">
        <v>2927</v>
      </c>
      <c r="C79" s="2944">
        <v>21660</v>
      </c>
      <c r="D79" s="2944">
        <v>18000</v>
      </c>
      <c r="E79" s="2944">
        <v>22570</v>
      </c>
      <c r="F79" s="2944"/>
      <c r="G79" s="2944">
        <v>12220</v>
      </c>
    </row>
    <row r="80" spans="1:7" s="2778" customFormat="1" ht="14.25" customHeight="1">
      <c r="A80" s="2944" t="s">
        <v>110</v>
      </c>
      <c r="B80" s="2944" t="s">
        <v>2931</v>
      </c>
      <c r="C80" s="2944">
        <v>19850</v>
      </c>
      <c r="D80" s="2944"/>
      <c r="E80" s="2944">
        <v>21700</v>
      </c>
      <c r="F80" s="2944"/>
      <c r="G80" s="2944"/>
    </row>
    <row r="81" spans="1:7" s="2778" customFormat="1" ht="14.25" customHeight="1">
      <c r="A81" s="2944" t="s">
        <v>110</v>
      </c>
      <c r="B81" s="2944" t="s">
        <v>2936</v>
      </c>
      <c r="C81" s="2944">
        <v>18080</v>
      </c>
      <c r="D81" s="2944"/>
      <c r="E81" s="2944">
        <v>20900</v>
      </c>
      <c r="F81" s="2944"/>
      <c r="G81" s="2944"/>
    </row>
    <row r="82" spans="1:7" s="2778" customFormat="1" ht="14.25" customHeight="1">
      <c r="A82" s="2944" t="s">
        <v>110</v>
      </c>
      <c r="B82" s="2944" t="s">
        <v>2943</v>
      </c>
      <c r="C82" s="2944"/>
      <c r="D82" s="2944"/>
      <c r="E82" s="2944">
        <v>20840</v>
      </c>
      <c r="F82" s="2944"/>
      <c r="G82" s="2944"/>
    </row>
    <row r="83" spans="1:7" s="2778" customFormat="1" ht="14.25" customHeight="1">
      <c r="A83" s="2944" t="s">
        <v>110</v>
      </c>
      <c r="B83" s="2944" t="s">
        <v>3054</v>
      </c>
      <c r="C83" s="2944"/>
      <c r="D83" s="2944"/>
      <c r="E83" s="2944"/>
      <c r="F83" s="2944">
        <v>4770</v>
      </c>
      <c r="G83" s="2944"/>
    </row>
    <row r="84" spans="1:7" s="2778" customFormat="1" ht="14.25" customHeight="1">
      <c r="A84" s="2944" t="s">
        <v>110</v>
      </c>
      <c r="B84" s="2944" t="s">
        <v>3055</v>
      </c>
      <c r="C84" s="2944"/>
      <c r="D84" s="2944"/>
      <c r="E84" s="2944"/>
      <c r="F84" s="2944">
        <v>4600</v>
      </c>
      <c r="G84" s="2944"/>
    </row>
    <row r="85" spans="1:7" s="2778" customFormat="1" ht="14.25" customHeight="1">
      <c r="A85" s="2944" t="s">
        <v>110</v>
      </c>
      <c r="B85" s="2944" t="s">
        <v>3056</v>
      </c>
      <c r="C85" s="2944"/>
      <c r="D85" s="2944"/>
      <c r="E85" s="2944"/>
      <c r="F85" s="2944">
        <v>4680</v>
      </c>
      <c r="G85" s="2944"/>
    </row>
    <row r="86" spans="1:7" s="2778" customFormat="1" ht="14.25" customHeight="1" thickBot="1">
      <c r="A86" s="2952" t="s">
        <v>110</v>
      </c>
      <c r="B86" s="2954" t="s">
        <v>3057</v>
      </c>
      <c r="C86" s="2955">
        <v>16610</v>
      </c>
      <c r="D86" s="2955">
        <v>16540</v>
      </c>
      <c r="E86" s="2955">
        <v>18850</v>
      </c>
      <c r="F86" s="2955"/>
      <c r="G86" s="2955">
        <v>11220</v>
      </c>
    </row>
    <row r="87" spans="1:7" s="2778" customFormat="1" ht="14.25" customHeight="1">
      <c r="A87" s="2949" t="s">
        <v>303</v>
      </c>
      <c r="B87" s="2940" t="s">
        <v>3058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2937</v>
      </c>
      <c r="C113" s="2944">
        <v>15520</v>
      </c>
      <c r="D113" s="2944">
        <v>15450</v>
      </c>
      <c r="E113" s="2944"/>
      <c r="F113" s="2944"/>
      <c r="G113" s="2957">
        <v>10210</v>
      </c>
    </row>
    <row r="114" spans="1:7" s="2778" customFormat="1" ht="14.25" customHeight="1">
      <c r="A114" s="2944" t="s">
        <v>303</v>
      </c>
      <c r="B114" s="2944" t="s">
        <v>2944</v>
      </c>
      <c r="C114" s="2944">
        <v>13110</v>
      </c>
      <c r="D114" s="2944">
        <v>13050</v>
      </c>
      <c r="E114" s="2944"/>
      <c r="F114" s="2944"/>
      <c r="G114" s="2957">
        <v>8620</v>
      </c>
    </row>
    <row r="115" spans="1:7" s="2778" customFormat="1" ht="14.25" customHeight="1">
      <c r="A115" s="2944" t="s">
        <v>303</v>
      </c>
      <c r="B115" s="2944" t="s">
        <v>2950</v>
      </c>
      <c r="C115" s="2944">
        <v>12460</v>
      </c>
      <c r="D115" s="2944">
        <v>12390</v>
      </c>
      <c r="E115" s="2944"/>
      <c r="F115" s="2944"/>
      <c r="G115" s="2957">
        <v>8190</v>
      </c>
    </row>
    <row r="116" spans="1:7" s="2778" customFormat="1" ht="14.25" customHeight="1">
      <c r="A116" s="2944" t="s">
        <v>303</v>
      </c>
      <c r="B116" s="2944" t="s">
        <v>2957</v>
      </c>
      <c r="C116" s="2944">
        <v>13580</v>
      </c>
      <c r="D116" s="2944">
        <v>13520</v>
      </c>
      <c r="E116" s="2944"/>
      <c r="F116" s="2944"/>
      <c r="G116" s="2957">
        <v>8930</v>
      </c>
    </row>
    <row r="117" spans="1:7" s="2778" customFormat="1" ht="14.25" customHeight="1">
      <c r="A117" s="2944" t="s">
        <v>303</v>
      </c>
      <c r="B117" s="2944" t="s">
        <v>2964</v>
      </c>
      <c r="C117" s="2944">
        <v>17120</v>
      </c>
      <c r="D117" s="2944">
        <v>17040</v>
      </c>
      <c r="E117" s="2944"/>
      <c r="F117" s="2944"/>
      <c r="G117" s="2957">
        <v>11260</v>
      </c>
    </row>
    <row r="118" spans="1:7" s="2778" customFormat="1" ht="14.25" customHeight="1">
      <c r="A118" s="2944" t="s">
        <v>303</v>
      </c>
      <c r="B118" s="2944" t="s">
        <v>2969</v>
      </c>
      <c r="C118" s="2944">
        <v>14860</v>
      </c>
      <c r="D118" s="2944">
        <v>14790</v>
      </c>
      <c r="E118" s="2944"/>
      <c r="F118" s="2944"/>
      <c r="G118" s="2957">
        <v>9780</v>
      </c>
    </row>
    <row r="119" spans="1:7" s="2778" customFormat="1" ht="14.25" customHeight="1">
      <c r="A119" s="2944" t="s">
        <v>303</v>
      </c>
      <c r="B119" s="2944" t="s">
        <v>2973</v>
      </c>
      <c r="C119" s="2944">
        <v>16470</v>
      </c>
      <c r="D119" s="2944">
        <v>16400</v>
      </c>
      <c r="E119" s="2944"/>
      <c r="F119" s="2944"/>
      <c r="G119" s="2957">
        <v>10840</v>
      </c>
    </row>
    <row r="120" spans="1:7" s="2778" customFormat="1" ht="14.25" customHeight="1">
      <c r="A120" s="2944" t="s">
        <v>303</v>
      </c>
      <c r="B120" s="2944" t="s">
        <v>3059</v>
      </c>
      <c r="C120" s="2944"/>
      <c r="D120" s="2944"/>
      <c r="E120" s="2944"/>
      <c r="F120" s="2944">
        <v>4160</v>
      </c>
      <c r="G120" s="2957"/>
    </row>
    <row r="121" spans="1:7" s="2778" customFormat="1" ht="14.25" customHeight="1">
      <c r="A121" s="2944" t="s">
        <v>303</v>
      </c>
      <c r="B121" s="2944" t="s">
        <v>3060</v>
      </c>
      <c r="C121" s="2944"/>
      <c r="D121" s="2944"/>
      <c r="E121" s="2944"/>
      <c r="F121" s="2944">
        <v>3880</v>
      </c>
      <c r="G121" s="2957"/>
    </row>
    <row r="122" spans="1:7" s="2778" customFormat="1" ht="14.25" customHeight="1">
      <c r="A122" s="2944" t="s">
        <v>303</v>
      </c>
      <c r="B122" s="2944" t="s">
        <v>3061</v>
      </c>
      <c r="C122" s="2944">
        <v>13750</v>
      </c>
      <c r="D122" s="2944">
        <v>13680</v>
      </c>
      <c r="E122" s="2944">
        <v>16460</v>
      </c>
      <c r="F122" s="2944">
        <v>2880</v>
      </c>
      <c r="G122" s="2957">
        <v>9040</v>
      </c>
    </row>
    <row r="123" spans="1:7" s="2778" customFormat="1" ht="14.25" customHeight="1">
      <c r="A123" s="2944" t="s">
        <v>303</v>
      </c>
      <c r="B123" s="2944" t="s">
        <v>2992</v>
      </c>
      <c r="C123" s="2944">
        <v>13590</v>
      </c>
      <c r="D123" s="2944">
        <v>13520</v>
      </c>
      <c r="E123" s="2944">
        <v>16290</v>
      </c>
      <c r="F123" s="2944">
        <v>2790</v>
      </c>
      <c r="G123" s="2957">
        <v>8930</v>
      </c>
    </row>
    <row r="124" spans="1:7" s="2778" customFormat="1" ht="14.25" customHeight="1">
      <c r="A124" s="2944" t="s">
        <v>303</v>
      </c>
      <c r="B124" s="2944" t="s">
        <v>2997</v>
      </c>
      <c r="C124" s="2944">
        <v>13400</v>
      </c>
      <c r="D124" s="2944">
        <v>13320</v>
      </c>
      <c r="E124" s="2944">
        <v>16100</v>
      </c>
      <c r="F124" s="2944">
        <v>2320</v>
      </c>
      <c r="G124" s="2957">
        <v>8800</v>
      </c>
    </row>
    <row r="125" spans="1:7" s="2778" customFormat="1" ht="14.25" customHeight="1">
      <c r="A125" s="2944" t="s">
        <v>303</v>
      </c>
      <c r="B125" s="2944" t="s">
        <v>3002</v>
      </c>
      <c r="C125" s="2944">
        <v>12860</v>
      </c>
      <c r="D125" s="2944">
        <v>12790</v>
      </c>
      <c r="E125" s="2944">
        <v>15370</v>
      </c>
      <c r="F125" s="2944">
        <v>2280</v>
      </c>
      <c r="G125" s="2957">
        <v>8450</v>
      </c>
    </row>
    <row r="126" spans="1:7" s="2778" customFormat="1" ht="14.25" customHeight="1" thickBot="1">
      <c r="A126" s="2958" t="s">
        <v>303</v>
      </c>
      <c r="B126" s="2951" t="s">
        <v>3007</v>
      </c>
      <c r="C126" s="2951">
        <v>12960</v>
      </c>
      <c r="D126" s="2951">
        <v>12890</v>
      </c>
      <c r="E126" s="2951">
        <v>15530</v>
      </c>
      <c r="F126" s="2951">
        <v>2910</v>
      </c>
      <c r="G126" s="2959">
        <v>8520</v>
      </c>
    </row>
    <row r="127" spans="1:7" s="2778" customFormat="1" ht="14.25" customHeight="1">
      <c r="A127" s="2949" t="s">
        <v>29</v>
      </c>
      <c r="B127" s="2940" t="s">
        <v>3062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3063</v>
      </c>
      <c r="C148" s="2944">
        <v>10370</v>
      </c>
      <c r="D148" s="2944">
        <v>10310</v>
      </c>
      <c r="E148" s="2944">
        <v>12970</v>
      </c>
      <c r="F148" s="2944"/>
      <c r="G148" s="2944">
        <v>6630</v>
      </c>
    </row>
    <row r="149" spans="1:7" s="2778" customFormat="1" ht="14.25" customHeight="1">
      <c r="A149" s="2944" t="s">
        <v>29</v>
      </c>
      <c r="B149" s="2944" t="s">
        <v>3064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2938</v>
      </c>
      <c r="C153" s="2944">
        <v>10880</v>
      </c>
      <c r="D153" s="2944">
        <v>10820</v>
      </c>
      <c r="E153" s="2944">
        <v>13660</v>
      </c>
      <c r="F153" s="2944">
        <v>2260</v>
      </c>
      <c r="G153" s="2944">
        <v>6970</v>
      </c>
    </row>
    <row r="154" spans="1:7" s="2778" customFormat="1" ht="14.25" customHeight="1">
      <c r="A154" s="2944" t="s">
        <v>29</v>
      </c>
      <c r="B154" s="2944" t="s">
        <v>3065</v>
      </c>
      <c r="C154" s="2944">
        <v>11220</v>
      </c>
      <c r="D154" s="2944">
        <v>11160</v>
      </c>
      <c r="E154" s="2944">
        <v>14130</v>
      </c>
      <c r="F154" s="2944">
        <v>2230</v>
      </c>
      <c r="G154" s="2944">
        <v>7180</v>
      </c>
    </row>
    <row r="155" spans="1:7" s="2778" customFormat="1" ht="14.25" customHeight="1">
      <c r="A155" s="2944" t="s">
        <v>29</v>
      </c>
      <c r="B155" s="2944" t="s">
        <v>2951</v>
      </c>
      <c r="C155" s="2944">
        <v>10430</v>
      </c>
      <c r="D155" s="2944">
        <v>10380</v>
      </c>
      <c r="E155" s="2944">
        <v>13140</v>
      </c>
      <c r="F155" s="2944">
        <v>2080</v>
      </c>
      <c r="G155" s="2944">
        <v>6650</v>
      </c>
    </row>
    <row r="156" spans="1:7" s="2778" customFormat="1" ht="14.25" customHeight="1">
      <c r="A156" s="2944" t="s">
        <v>29</v>
      </c>
      <c r="B156" s="2944" t="s">
        <v>3066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3067</v>
      </c>
      <c r="C160" s="2944">
        <v>11180</v>
      </c>
      <c r="D160" s="2944">
        <v>11140</v>
      </c>
      <c r="E160" s="2944">
        <v>14050</v>
      </c>
      <c r="F160" s="2944">
        <v>2270</v>
      </c>
      <c r="G160" s="2944">
        <v>7170</v>
      </c>
    </row>
    <row r="161" spans="1:7" s="2778" customFormat="1" ht="14.25" customHeight="1">
      <c r="A161" s="2944" t="s">
        <v>29</v>
      </c>
      <c r="B161" s="2944" t="s">
        <v>2983</v>
      </c>
      <c r="C161" s="2944">
        <v>11160</v>
      </c>
      <c r="D161" s="2944">
        <v>11120</v>
      </c>
      <c r="E161" s="2944">
        <v>14020</v>
      </c>
      <c r="F161" s="2944">
        <v>2150</v>
      </c>
      <c r="G161" s="2944">
        <v>7160</v>
      </c>
    </row>
    <row r="162" spans="1:7" s="2778" customFormat="1" ht="14.25" customHeight="1">
      <c r="A162" s="2944" t="s">
        <v>29</v>
      </c>
      <c r="B162" s="2944" t="s">
        <v>2988</v>
      </c>
      <c r="C162" s="2944">
        <v>9620</v>
      </c>
      <c r="D162" s="2944">
        <v>9570</v>
      </c>
      <c r="E162" s="2944">
        <v>12320</v>
      </c>
      <c r="F162" s="2944">
        <v>2010</v>
      </c>
      <c r="G162" s="2944">
        <v>6160</v>
      </c>
    </row>
    <row r="163" spans="1:7" s="2778" customFormat="1" ht="14.25" customHeight="1">
      <c r="A163" s="2944" t="s">
        <v>29</v>
      </c>
      <c r="B163" s="2944" t="s">
        <v>2993</v>
      </c>
      <c r="C163" s="2944">
        <v>9320</v>
      </c>
      <c r="D163" s="2944">
        <v>9270</v>
      </c>
      <c r="E163" s="2944">
        <v>11790</v>
      </c>
      <c r="F163" s="2944">
        <v>1920</v>
      </c>
      <c r="G163" s="2944">
        <v>5960</v>
      </c>
    </row>
    <row r="164" spans="1:7" s="2778" customFormat="1" ht="14.25" customHeight="1">
      <c r="A164" s="2944" t="s">
        <v>29</v>
      </c>
      <c r="B164" s="2944" t="s">
        <v>2998</v>
      </c>
      <c r="C164" s="2944"/>
      <c r="D164" s="2944"/>
      <c r="E164" s="2944"/>
      <c r="F164" s="2944">
        <v>1980</v>
      </c>
      <c r="G164" s="2944"/>
    </row>
    <row r="165" spans="1:7" s="2778" customFormat="1" ht="14.25" customHeight="1">
      <c r="A165" s="2944" t="s">
        <v>29</v>
      </c>
      <c r="B165" s="2944" t="s">
        <v>3068</v>
      </c>
      <c r="C165" s="2944">
        <v>11060</v>
      </c>
      <c r="D165" s="2944">
        <v>11030</v>
      </c>
      <c r="E165" s="2944">
        <v>13850</v>
      </c>
      <c r="F165" s="2944">
        <v>2170</v>
      </c>
      <c r="G165" s="2944">
        <v>7090</v>
      </c>
    </row>
    <row r="166" spans="1:7" s="2778" customFormat="1" ht="14.25" customHeight="1">
      <c r="A166" s="2944" t="s">
        <v>29</v>
      </c>
      <c r="B166" s="2944" t="s">
        <v>3008</v>
      </c>
      <c r="C166" s="2944">
        <v>11050</v>
      </c>
      <c r="D166" s="2944">
        <v>11010</v>
      </c>
      <c r="E166" s="2944">
        <v>13920</v>
      </c>
      <c r="F166" s="2944">
        <v>2140</v>
      </c>
      <c r="G166" s="2944">
        <v>7080</v>
      </c>
    </row>
    <row r="167" spans="1:7" s="2778" customFormat="1" ht="14.25" customHeight="1">
      <c r="A167" s="2944" t="s">
        <v>29</v>
      </c>
      <c r="B167" s="2944" t="s">
        <v>3012</v>
      </c>
      <c r="C167" s="2944">
        <v>10930</v>
      </c>
      <c r="D167" s="2944">
        <v>10890</v>
      </c>
      <c r="E167" s="2944">
        <v>13790</v>
      </c>
      <c r="F167" s="2944">
        <v>2010</v>
      </c>
      <c r="G167" s="2944">
        <v>7000</v>
      </c>
    </row>
    <row r="168" spans="1:7" s="2778" customFormat="1" ht="14.25" customHeight="1">
      <c r="A168" s="2944" t="s">
        <v>29</v>
      </c>
      <c r="B168" s="2944" t="s">
        <v>3017</v>
      </c>
      <c r="C168" s="2944">
        <v>9420</v>
      </c>
      <c r="D168" s="2944">
        <v>9380</v>
      </c>
      <c r="E168" s="2944">
        <v>11970</v>
      </c>
      <c r="F168" s="2944"/>
      <c r="G168" s="2944">
        <v>6040</v>
      </c>
    </row>
    <row r="169" spans="1:7" s="2778" customFormat="1" ht="14.25" customHeight="1">
      <c r="A169" s="2944" t="s">
        <v>29</v>
      </c>
      <c r="B169" s="2944" t="s">
        <v>3069</v>
      </c>
      <c r="C169" s="2944"/>
      <c r="D169" s="2944"/>
      <c r="E169" s="2944"/>
      <c r="F169" s="2944">
        <v>2880</v>
      </c>
      <c r="G169" s="2944"/>
    </row>
    <row r="170" spans="1:7" s="2778" customFormat="1" ht="14.25" customHeight="1">
      <c r="A170" s="2944" t="s">
        <v>29</v>
      </c>
      <c r="B170" s="2944" t="s">
        <v>3025</v>
      </c>
      <c r="C170" s="2944"/>
      <c r="D170" s="2944"/>
      <c r="E170" s="2944"/>
      <c r="F170" s="2944">
        <v>2880</v>
      </c>
      <c r="G170" s="2944"/>
    </row>
    <row r="171" spans="1:7" s="2778" customFormat="1" ht="14.25" customHeight="1">
      <c r="A171" s="2944" t="s">
        <v>29</v>
      </c>
      <c r="B171" s="2944" t="s">
        <v>3028</v>
      </c>
      <c r="C171" s="2944"/>
      <c r="D171" s="2944"/>
      <c r="E171" s="2944"/>
      <c r="F171" s="2944">
        <v>2880</v>
      </c>
      <c r="G171" s="2944"/>
    </row>
    <row r="172" spans="1:7" s="2778" customFormat="1" ht="14.25" customHeight="1">
      <c r="A172" s="2944" t="s">
        <v>29</v>
      </c>
      <c r="B172" s="2944" t="s">
        <v>3030</v>
      </c>
      <c r="C172" s="2944"/>
      <c r="D172" s="2944"/>
      <c r="E172" s="2944"/>
      <c r="F172" s="2944">
        <v>2880</v>
      </c>
      <c r="G172" s="2944"/>
    </row>
    <row r="173" spans="1:7" s="2778" customFormat="1" ht="14.25" customHeight="1">
      <c r="A173" s="2944" t="s">
        <v>29</v>
      </c>
      <c r="B173" s="2944" t="s">
        <v>3032</v>
      </c>
      <c r="C173" s="2944"/>
      <c r="D173" s="2944"/>
      <c r="E173" s="2944"/>
      <c r="F173" s="2944">
        <v>2150</v>
      </c>
      <c r="G173" s="2944"/>
    </row>
    <row r="174" spans="1:7" s="2778" customFormat="1" ht="14.25" customHeight="1">
      <c r="A174" s="2944" t="s">
        <v>29</v>
      </c>
      <c r="B174" s="2944" t="s">
        <v>3034</v>
      </c>
      <c r="C174" s="2944"/>
      <c r="D174" s="2944"/>
      <c r="E174" s="2944"/>
      <c r="F174" s="2944">
        <v>2030</v>
      </c>
      <c r="G174" s="2944"/>
    </row>
    <row r="175" spans="1:7" s="2778" customFormat="1" ht="14.25" customHeight="1">
      <c r="A175" s="2944" t="s">
        <v>29</v>
      </c>
      <c r="B175" s="2944" t="s">
        <v>3036</v>
      </c>
      <c r="C175" s="2944"/>
      <c r="D175" s="2944"/>
      <c r="E175" s="2944"/>
      <c r="F175" s="2944">
        <v>2780</v>
      </c>
      <c r="G175" s="2944"/>
    </row>
    <row r="176" spans="1:7" s="2778" customFormat="1" ht="14.25" customHeight="1">
      <c r="A176" s="2944" t="s">
        <v>29</v>
      </c>
      <c r="B176" s="2944" t="s">
        <v>3038</v>
      </c>
      <c r="C176" s="2944"/>
      <c r="D176" s="2944"/>
      <c r="E176" s="2944"/>
      <c r="F176" s="2944">
        <v>2780</v>
      </c>
      <c r="G176" s="2944"/>
    </row>
    <row r="177" spans="1:7" s="2778" customFormat="1" ht="14.25" customHeight="1">
      <c r="A177" s="2944" t="s">
        <v>29</v>
      </c>
      <c r="B177" s="2944" t="s">
        <v>3070</v>
      </c>
      <c r="C177" s="2944"/>
      <c r="D177" s="2944"/>
      <c r="E177" s="2944"/>
      <c r="F177" s="2944">
        <v>2780</v>
      </c>
      <c r="G177" s="2944"/>
    </row>
    <row r="178" spans="1:7" s="2778" customFormat="1" ht="14.25" customHeight="1">
      <c r="A178" s="2944" t="s">
        <v>29</v>
      </c>
      <c r="B178" s="2944" t="s">
        <v>3071</v>
      </c>
      <c r="C178" s="2944"/>
      <c r="D178" s="2944"/>
      <c r="E178" s="2944"/>
      <c r="F178" s="2944">
        <v>2060</v>
      </c>
      <c r="G178" s="2944"/>
    </row>
    <row r="179" spans="1:7" s="2778" customFormat="1" ht="14.25" customHeight="1">
      <c r="A179" s="2944" t="s">
        <v>29</v>
      </c>
      <c r="B179" s="2944" t="s">
        <v>3072</v>
      </c>
      <c r="C179" s="2944"/>
      <c r="D179" s="2944"/>
      <c r="E179" s="2944"/>
      <c r="F179" s="2944">
        <v>2120</v>
      </c>
      <c r="G179" s="2944"/>
    </row>
    <row r="180" spans="1:7" s="2778" customFormat="1" ht="14.25" customHeight="1">
      <c r="A180" s="2944" t="s">
        <v>29</v>
      </c>
      <c r="B180" s="2944" t="s">
        <v>3044</v>
      </c>
      <c r="C180" s="2944"/>
      <c r="D180" s="2944"/>
      <c r="E180" s="2944"/>
      <c r="F180" s="2944">
        <v>2340</v>
      </c>
      <c r="G180" s="2944"/>
    </row>
    <row r="181" spans="1:7" s="2778" customFormat="1" ht="14.25" customHeight="1">
      <c r="A181" s="2944" t="s">
        <v>29</v>
      </c>
      <c r="B181" s="2944" t="s">
        <v>3045</v>
      </c>
      <c r="C181" s="2944"/>
      <c r="D181" s="2944"/>
      <c r="E181" s="2944"/>
      <c r="F181" s="2944">
        <v>2340</v>
      </c>
      <c r="G181" s="2944"/>
    </row>
    <row r="182" spans="1:7" s="2778" customFormat="1" ht="14.25" customHeight="1">
      <c r="A182" s="2944" t="s">
        <v>29</v>
      </c>
      <c r="B182" s="2944" t="s">
        <v>3046</v>
      </c>
      <c r="C182" s="2944"/>
      <c r="D182" s="2944"/>
      <c r="E182" s="2944"/>
      <c r="F182" s="2944">
        <v>2340</v>
      </c>
      <c r="G182" s="2944"/>
    </row>
    <row r="183" spans="1:7" s="2778" customFormat="1" ht="14.25" customHeight="1">
      <c r="A183" s="2944" t="s">
        <v>29</v>
      </c>
      <c r="B183" s="2944" t="s">
        <v>3047</v>
      </c>
      <c r="C183" s="2944"/>
      <c r="D183" s="2944"/>
      <c r="E183" s="2944"/>
      <c r="F183" s="2944">
        <v>2340</v>
      </c>
      <c r="G183" s="2944"/>
    </row>
    <row r="184" spans="1:7" s="2778" customFormat="1" ht="14.25" customHeight="1">
      <c r="A184" s="2944" t="s">
        <v>29</v>
      </c>
      <c r="B184" s="2944" t="s">
        <v>3048</v>
      </c>
      <c r="C184" s="2944"/>
      <c r="D184" s="2944"/>
      <c r="E184" s="2944"/>
      <c r="F184" s="2944">
        <v>2340</v>
      </c>
      <c r="G184" s="2944"/>
    </row>
    <row r="185" spans="1:7" s="2778" customFormat="1" ht="14.25" customHeight="1">
      <c r="A185" s="2944" t="s">
        <v>29</v>
      </c>
      <c r="B185" s="2944" t="s">
        <v>3049</v>
      </c>
      <c r="C185" s="2944"/>
      <c r="D185" s="2944"/>
      <c r="E185" s="2944"/>
      <c r="F185" s="2944">
        <v>2530</v>
      </c>
      <c r="G185" s="2944"/>
    </row>
    <row r="186" spans="1:7" s="2778" customFormat="1" ht="14.25" customHeight="1">
      <c r="A186" s="2944" t="s">
        <v>29</v>
      </c>
      <c r="B186" s="2944" t="s">
        <v>3050</v>
      </c>
      <c r="C186" s="2944"/>
      <c r="D186" s="2944"/>
      <c r="E186" s="2944"/>
      <c r="F186" s="2944">
        <v>2550</v>
      </c>
      <c r="G186" s="2944"/>
    </row>
    <row r="187" spans="1:7" s="2778" customFormat="1" ht="14.25" customHeight="1">
      <c r="A187" s="2944" t="s">
        <v>29</v>
      </c>
      <c r="B187" s="2944" t="s">
        <v>3051</v>
      </c>
      <c r="C187" s="2944"/>
      <c r="D187" s="2944"/>
      <c r="E187" s="2944"/>
      <c r="F187" s="2944">
        <v>2070</v>
      </c>
      <c r="G187" s="2944"/>
    </row>
    <row r="188" spans="1:7" s="2778" customFormat="1" ht="14.25" customHeight="1">
      <c r="A188" s="2944" t="s">
        <v>29</v>
      </c>
      <c r="B188" s="2944" t="s">
        <v>3052</v>
      </c>
      <c r="C188" s="2944"/>
      <c r="D188" s="2944"/>
      <c r="E188" s="2944"/>
      <c r="F188" s="2944">
        <v>2340</v>
      </c>
      <c r="G188" s="2944"/>
    </row>
    <row r="189" spans="1:7" s="2778" customFormat="1" ht="14.25" customHeight="1" thickBot="1">
      <c r="A189" s="2952" t="s">
        <v>29</v>
      </c>
      <c r="B189" s="2955" t="s">
        <v>3053</v>
      </c>
      <c r="C189" s="2955"/>
      <c r="D189" s="2955"/>
      <c r="E189" s="2955"/>
      <c r="F189" s="2955">
        <v>2050</v>
      </c>
      <c r="G189" s="2955"/>
    </row>
    <row r="190" spans="1:7" s="2778" customFormat="1" ht="14.25" customHeight="1">
      <c r="A190" s="2949" t="s">
        <v>304</v>
      </c>
      <c r="B190" s="2940" t="s">
        <v>3073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3074</v>
      </c>
      <c r="C199" s="2944">
        <v>8690</v>
      </c>
      <c r="D199" s="2944">
        <v>8630</v>
      </c>
      <c r="E199" s="2944">
        <v>11350</v>
      </c>
      <c r="F199" s="2944">
        <v>1600</v>
      </c>
      <c r="G199" s="2957">
        <v>5450</v>
      </c>
    </row>
    <row r="200" spans="1:7" s="2778" customFormat="1" ht="14.25" customHeight="1">
      <c r="A200" s="2944" t="s">
        <v>304</v>
      </c>
      <c r="B200" s="2944" t="s">
        <v>2885</v>
      </c>
      <c r="C200" s="2944"/>
      <c r="D200" s="2944"/>
      <c r="E200" s="2944"/>
      <c r="F200" s="2944">
        <v>1510</v>
      </c>
      <c r="G200" s="2957"/>
    </row>
    <row r="201" spans="1:7" s="2778" customFormat="1" ht="14.25" customHeight="1">
      <c r="A201" s="2944" t="s">
        <v>304</v>
      </c>
      <c r="B201" s="2944" t="s">
        <v>3075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3076</v>
      </c>
      <c r="C203" s="2944">
        <v>8130</v>
      </c>
      <c r="D203" s="2944">
        <v>8070</v>
      </c>
      <c r="E203" s="2944">
        <v>10820</v>
      </c>
      <c r="F203" s="2944">
        <v>1690</v>
      </c>
      <c r="G203" s="2957">
        <v>5100</v>
      </c>
    </row>
    <row r="204" spans="1:7" s="2778" customFormat="1" ht="14.25" customHeight="1">
      <c r="A204" s="2944" t="s">
        <v>304</v>
      </c>
      <c r="B204" s="2944" t="s">
        <v>2896</v>
      </c>
      <c r="C204" s="2944">
        <v>8350</v>
      </c>
      <c r="D204" s="2944">
        <v>8290</v>
      </c>
      <c r="E204" s="2944">
        <v>11080</v>
      </c>
      <c r="F204" s="2944">
        <v>1450</v>
      </c>
      <c r="G204" s="2957">
        <v>5240</v>
      </c>
    </row>
    <row r="205" spans="1:7" s="2778" customFormat="1" ht="14.25" customHeight="1">
      <c r="A205" s="2944" t="s">
        <v>304</v>
      </c>
      <c r="B205" s="2944" t="s">
        <v>2898</v>
      </c>
      <c r="C205" s="2944">
        <v>7190</v>
      </c>
      <c r="D205" s="2944">
        <v>7130</v>
      </c>
      <c r="E205" s="2944">
        <v>9490</v>
      </c>
      <c r="F205" s="2944">
        <v>1470</v>
      </c>
      <c r="G205" s="2957">
        <v>4510</v>
      </c>
    </row>
    <row r="206" spans="1:7" s="2778" customFormat="1" ht="14.25" customHeight="1">
      <c r="A206" s="2944" t="s">
        <v>304</v>
      </c>
      <c r="B206" s="2944" t="s">
        <v>2901</v>
      </c>
      <c r="C206" s="2944">
        <v>7000</v>
      </c>
      <c r="D206" s="2944">
        <v>6950</v>
      </c>
      <c r="E206" s="2944">
        <v>9170</v>
      </c>
      <c r="F206" s="2944">
        <v>1400</v>
      </c>
      <c r="G206" s="2957">
        <v>4380</v>
      </c>
    </row>
    <row r="207" spans="1:7" s="2778" customFormat="1" ht="14.25" customHeight="1">
      <c r="A207" s="2944" t="s">
        <v>304</v>
      </c>
      <c r="B207" s="2944" t="s">
        <v>2903</v>
      </c>
      <c r="C207" s="2944">
        <v>6950</v>
      </c>
      <c r="D207" s="2944">
        <v>6900</v>
      </c>
      <c r="E207" s="2944">
        <v>9110</v>
      </c>
      <c r="F207" s="2944">
        <v>1790</v>
      </c>
      <c r="G207" s="2957">
        <v>4360</v>
      </c>
    </row>
    <row r="208" spans="1:7" s="2778" customFormat="1" ht="14.25" customHeight="1">
      <c r="A208" s="2944" t="s">
        <v>304</v>
      </c>
      <c r="B208" s="2944" t="s">
        <v>3077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2913</v>
      </c>
      <c r="C210" s="2944">
        <v>8710</v>
      </c>
      <c r="D210" s="2944">
        <v>8660</v>
      </c>
      <c r="E210" s="2944">
        <v>11440</v>
      </c>
      <c r="F210" s="2944">
        <v>1740</v>
      </c>
      <c r="G210" s="2957">
        <v>5470</v>
      </c>
    </row>
    <row r="211" spans="1:7" s="2778" customFormat="1" ht="14.25" customHeight="1">
      <c r="A211" s="2944" t="s">
        <v>304</v>
      </c>
      <c r="B211" s="2944" t="s">
        <v>3078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3079</v>
      </c>
      <c r="C214" s="2944">
        <v>8090</v>
      </c>
      <c r="D214" s="2944">
        <v>8030</v>
      </c>
      <c r="E214" s="2944">
        <v>10780</v>
      </c>
      <c r="F214" s="2944">
        <v>1570</v>
      </c>
      <c r="G214" s="2957">
        <v>5070</v>
      </c>
    </row>
    <row r="215" spans="1:7" s="2778" customFormat="1" ht="14.25" customHeight="1">
      <c r="A215" s="2944" t="s">
        <v>304</v>
      </c>
      <c r="B215" s="2944" t="s">
        <v>3080</v>
      </c>
      <c r="C215" s="2944">
        <v>7950</v>
      </c>
      <c r="D215" s="2944">
        <v>7900</v>
      </c>
      <c r="E215" s="2944">
        <v>10560</v>
      </c>
      <c r="F215" s="2944">
        <v>1630</v>
      </c>
      <c r="G215" s="2957">
        <v>4990</v>
      </c>
    </row>
    <row r="216" spans="1:7" s="2778" customFormat="1" ht="14.25" customHeight="1">
      <c r="A216" s="2944" t="s">
        <v>304</v>
      </c>
      <c r="B216" s="2944" t="s">
        <v>3081</v>
      </c>
      <c r="C216" s="2944">
        <v>8490</v>
      </c>
      <c r="D216" s="2944">
        <v>8440</v>
      </c>
      <c r="E216" s="2944">
        <v>11260</v>
      </c>
      <c r="F216" s="2944">
        <v>1690</v>
      </c>
      <c r="G216" s="2957">
        <v>5330</v>
      </c>
    </row>
    <row r="217" spans="1:7" s="2778" customFormat="1" ht="14.25" customHeight="1">
      <c r="A217" s="2944" t="s">
        <v>304</v>
      </c>
      <c r="B217" s="2944" t="s">
        <v>2946</v>
      </c>
      <c r="C217" s="2944">
        <v>8200</v>
      </c>
      <c r="D217" s="2944">
        <v>8150</v>
      </c>
      <c r="E217" s="2944">
        <v>10910</v>
      </c>
      <c r="F217" s="2944">
        <v>1670</v>
      </c>
      <c r="G217" s="2957">
        <v>5150</v>
      </c>
    </row>
    <row r="218" spans="1:7" s="2778" customFormat="1" ht="14.25" customHeight="1">
      <c r="A218" s="2944" t="s">
        <v>304</v>
      </c>
      <c r="B218" s="2944" t="s">
        <v>3082</v>
      </c>
      <c r="C218" s="2944"/>
      <c r="D218" s="2944"/>
      <c r="E218" s="2944"/>
      <c r="F218" s="2944">
        <v>2040</v>
      </c>
      <c r="G218" s="2957"/>
    </row>
    <row r="219" spans="1:7" s="2778" customFormat="1" ht="14.25" customHeight="1">
      <c r="A219" s="2944" t="s">
        <v>304</v>
      </c>
      <c r="B219" s="2944" t="s">
        <v>3083</v>
      </c>
      <c r="C219" s="2944"/>
      <c r="D219" s="2944"/>
      <c r="E219" s="2944"/>
      <c r="F219" s="2944">
        <v>2040</v>
      </c>
      <c r="G219" s="2957"/>
    </row>
    <row r="220" spans="1:7" s="2778" customFormat="1" ht="14.25" customHeight="1">
      <c r="A220" s="2944" t="s">
        <v>304</v>
      </c>
      <c r="B220" s="2944" t="s">
        <v>3084</v>
      </c>
      <c r="C220" s="2944"/>
      <c r="D220" s="2944"/>
      <c r="E220" s="2944"/>
      <c r="F220" s="2944">
        <v>2040</v>
      </c>
      <c r="G220" s="2957"/>
    </row>
    <row r="221" spans="1:7" s="2778" customFormat="1" ht="14.25" customHeight="1">
      <c r="A221" s="2944" t="s">
        <v>304</v>
      </c>
      <c r="B221" s="2944" t="s">
        <v>3085</v>
      </c>
      <c r="C221" s="2944"/>
      <c r="D221" s="2944"/>
      <c r="E221" s="2944"/>
      <c r="F221" s="2944">
        <v>2040</v>
      </c>
      <c r="G221" s="2957"/>
    </row>
    <row r="222" spans="1:7" s="2778" customFormat="1" ht="14.25" customHeight="1">
      <c r="A222" s="2944" t="s">
        <v>304</v>
      </c>
      <c r="B222" s="2944" t="s">
        <v>3086</v>
      </c>
      <c r="C222" s="2944"/>
      <c r="D222" s="2944"/>
      <c r="E222" s="2944"/>
      <c r="F222" s="2944">
        <v>2040</v>
      </c>
      <c r="G222" s="2957"/>
    </row>
    <row r="223" spans="1:7" s="2778" customFormat="1" ht="14.25" customHeight="1">
      <c r="A223" s="2944" t="s">
        <v>304</v>
      </c>
      <c r="B223" s="2944" t="s">
        <v>3087</v>
      </c>
      <c r="C223" s="2944"/>
      <c r="D223" s="2944"/>
      <c r="E223" s="2944"/>
      <c r="F223" s="2944">
        <v>1930</v>
      </c>
      <c r="G223" s="2957"/>
    </row>
    <row r="224" spans="1:7" s="2778" customFormat="1" ht="14.25" customHeight="1">
      <c r="A224" s="2944" t="s">
        <v>304</v>
      </c>
      <c r="B224" s="2944" t="s">
        <v>3088</v>
      </c>
      <c r="C224" s="2944"/>
      <c r="D224" s="2944"/>
      <c r="E224" s="2944"/>
      <c r="F224" s="2944">
        <v>1930</v>
      </c>
      <c r="G224" s="2957"/>
    </row>
    <row r="225" spans="1:7" s="2778" customFormat="1" ht="14.25" customHeight="1">
      <c r="A225" s="2944" t="s">
        <v>304</v>
      </c>
      <c r="B225" s="2944" t="s">
        <v>3089</v>
      </c>
      <c r="C225" s="2944"/>
      <c r="D225" s="2944"/>
      <c r="E225" s="2944"/>
      <c r="F225" s="2944">
        <v>1930</v>
      </c>
      <c r="G225" s="2957"/>
    </row>
    <row r="226" spans="1:7" s="2778" customFormat="1" ht="14.25" customHeight="1">
      <c r="A226" s="2944" t="s">
        <v>304</v>
      </c>
      <c r="B226" s="2944" t="s">
        <v>3090</v>
      </c>
      <c r="C226" s="2944"/>
      <c r="D226" s="2944"/>
      <c r="E226" s="2944"/>
      <c r="F226" s="2944">
        <v>1700</v>
      </c>
      <c r="G226" s="2957"/>
    </row>
    <row r="227" spans="1:7" s="2778" customFormat="1" ht="14.25" customHeight="1">
      <c r="A227" s="2944" t="s">
        <v>304</v>
      </c>
      <c r="B227" s="2944" t="s">
        <v>3091</v>
      </c>
      <c r="C227" s="2944"/>
      <c r="D227" s="2944"/>
      <c r="E227" s="2944"/>
      <c r="F227" s="2944">
        <v>1520</v>
      </c>
      <c r="G227" s="2957"/>
    </row>
    <row r="228" spans="1:7" s="2778" customFormat="1" ht="14.25" customHeight="1">
      <c r="A228" s="2944" t="s">
        <v>304</v>
      </c>
      <c r="B228" s="2944" t="s">
        <v>3092</v>
      </c>
      <c r="C228" s="2944"/>
      <c r="D228" s="2944"/>
      <c r="E228" s="2944"/>
      <c r="F228" s="2944">
        <v>1520</v>
      </c>
      <c r="G228" s="2957"/>
    </row>
    <row r="229" spans="1:7" s="2778" customFormat="1" ht="14.25" customHeight="1">
      <c r="A229" s="2944" t="s">
        <v>304</v>
      </c>
      <c r="B229" s="2944" t="s">
        <v>3009</v>
      </c>
      <c r="C229" s="2944"/>
      <c r="D229" s="2944"/>
      <c r="E229" s="2944"/>
      <c r="F229" s="2944">
        <v>1520</v>
      </c>
      <c r="G229" s="2957"/>
    </row>
    <row r="230" spans="1:7" s="2778" customFormat="1" ht="14.25" customHeight="1">
      <c r="A230" s="2944" t="s">
        <v>304</v>
      </c>
      <c r="B230" s="2944" t="s">
        <v>3093</v>
      </c>
      <c r="C230" s="2944"/>
      <c r="D230" s="2944"/>
      <c r="E230" s="2944"/>
      <c r="F230" s="2944">
        <v>1820</v>
      </c>
      <c r="G230" s="2957"/>
    </row>
    <row r="231" spans="1:7" s="2778" customFormat="1" ht="14.25" customHeight="1">
      <c r="A231" s="2944" t="s">
        <v>304</v>
      </c>
      <c r="B231" s="2944" t="s">
        <v>3094</v>
      </c>
      <c r="C231" s="2944"/>
      <c r="D231" s="2944"/>
      <c r="E231" s="2944"/>
      <c r="F231" s="2944">
        <v>1760</v>
      </c>
      <c r="G231" s="2957"/>
    </row>
    <row r="232" spans="1:7" s="2778" customFormat="1" ht="14.25" customHeight="1">
      <c r="A232" s="2944" t="s">
        <v>304</v>
      </c>
      <c r="B232" s="2944" t="s">
        <v>3095</v>
      </c>
      <c r="C232" s="2944"/>
      <c r="D232" s="2944"/>
      <c r="E232" s="2944"/>
      <c r="F232" s="2944">
        <v>1840</v>
      </c>
      <c r="G232" s="2957"/>
    </row>
    <row r="233" spans="1:7" s="2778" customFormat="1" ht="14.25" customHeight="1" thickBot="1">
      <c r="A233" s="2958" t="s">
        <v>304</v>
      </c>
      <c r="B233" s="2951" t="s">
        <v>3026</v>
      </c>
      <c r="C233" s="2951"/>
      <c r="D233" s="2951"/>
      <c r="E233" s="2951"/>
      <c r="F233" s="2951">
        <v>1770</v>
      </c>
      <c r="G233" s="2959"/>
    </row>
    <row r="234" spans="1:7" s="2778" customFormat="1" ht="14.25" customHeight="1">
      <c r="A234" s="2949" t="s">
        <v>305</v>
      </c>
      <c r="B234" s="2940" t="s">
        <v>3096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2867</v>
      </c>
      <c r="C238" s="2944">
        <v>6920</v>
      </c>
      <c r="D238" s="2944">
        <v>6890</v>
      </c>
      <c r="E238" s="2944">
        <v>8640</v>
      </c>
      <c r="F238" s="2944">
        <v>1310</v>
      </c>
      <c r="G238" s="2944">
        <v>4230</v>
      </c>
    </row>
    <row r="239" spans="1:7" s="2778" customFormat="1" ht="14.25" customHeight="1">
      <c r="A239" s="2944" t="s">
        <v>305</v>
      </c>
      <c r="B239" s="2944" t="s">
        <v>3097</v>
      </c>
      <c r="C239" s="2944">
        <v>6780</v>
      </c>
      <c r="D239" s="2944">
        <v>6750</v>
      </c>
      <c r="E239" s="2944">
        <v>8440</v>
      </c>
      <c r="F239" s="2944">
        <v>1160</v>
      </c>
      <c r="G239" s="2944">
        <v>4140</v>
      </c>
    </row>
    <row r="240" spans="1:7" s="2778" customFormat="1" ht="14.25" customHeight="1">
      <c r="A240" s="2944" t="s">
        <v>305</v>
      </c>
      <c r="B240" s="2944" t="s">
        <v>3098</v>
      </c>
      <c r="C240" s="2944">
        <v>5420</v>
      </c>
      <c r="D240" s="2944">
        <v>5380</v>
      </c>
      <c r="E240" s="2944">
        <v>6640</v>
      </c>
      <c r="F240" s="2944">
        <v>1020</v>
      </c>
      <c r="G240" s="2944">
        <v>3300</v>
      </c>
    </row>
    <row r="241" spans="1:7" s="2778" customFormat="1" ht="14.25" customHeight="1">
      <c r="A241" s="2944" t="s">
        <v>305</v>
      </c>
      <c r="B241" s="2944" t="s">
        <v>3099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2929</v>
      </c>
      <c r="C258" s="2944">
        <v>6190</v>
      </c>
      <c r="D258" s="2944">
        <v>6160</v>
      </c>
      <c r="E258" s="2944">
        <v>7680</v>
      </c>
      <c r="F258" s="2944">
        <v>1170</v>
      </c>
      <c r="G258" s="2944">
        <v>3780</v>
      </c>
    </row>
    <row r="259" spans="1:7" s="2778" customFormat="1" ht="14.25" customHeight="1">
      <c r="A259" s="2944" t="s">
        <v>305</v>
      </c>
      <c r="B259" s="2944" t="s">
        <v>3105</v>
      </c>
      <c r="C259" s="2944">
        <v>7610</v>
      </c>
      <c r="D259" s="2944">
        <v>7570</v>
      </c>
      <c r="E259" s="2944">
        <v>9350</v>
      </c>
      <c r="F259" s="2944">
        <v>1350</v>
      </c>
      <c r="G259" s="2944">
        <v>4650</v>
      </c>
    </row>
    <row r="260" spans="1:7" s="2778" customFormat="1" ht="14.25" customHeight="1">
      <c r="A260" s="2944" t="s">
        <v>305</v>
      </c>
      <c r="B260" s="2944" t="s">
        <v>3106</v>
      </c>
      <c r="C260" s="2944">
        <v>6920</v>
      </c>
      <c r="D260" s="2944">
        <v>6880</v>
      </c>
      <c r="E260" s="2944">
        <v>8380</v>
      </c>
      <c r="F260" s="2944">
        <v>1160</v>
      </c>
      <c r="G260" s="2944">
        <v>4220</v>
      </c>
    </row>
    <row r="261" spans="1:7" s="2778" customFormat="1" ht="14.25" customHeight="1">
      <c r="A261" s="2944" t="s">
        <v>305</v>
      </c>
      <c r="B261" s="2944" t="s">
        <v>3107</v>
      </c>
      <c r="C261" s="2944">
        <v>6850</v>
      </c>
      <c r="D261" s="2944">
        <v>6810</v>
      </c>
      <c r="E261" s="2944">
        <v>8290</v>
      </c>
      <c r="F261" s="2944">
        <v>1130</v>
      </c>
      <c r="G261" s="2944">
        <v>4180</v>
      </c>
    </row>
    <row r="262" spans="1:7" s="2778" customFormat="1" ht="14.25" customHeight="1">
      <c r="A262" s="2944" t="s">
        <v>305</v>
      </c>
      <c r="B262" s="2944" t="s">
        <v>3108</v>
      </c>
      <c r="C262" s="2944">
        <v>5860</v>
      </c>
      <c r="D262" s="2944">
        <v>5820</v>
      </c>
      <c r="E262" s="2944">
        <v>7640</v>
      </c>
      <c r="F262" s="2944">
        <v>1070</v>
      </c>
      <c r="G262" s="2944">
        <v>3570</v>
      </c>
    </row>
    <row r="263" spans="1:7" s="2778" customFormat="1" ht="14.25" customHeight="1">
      <c r="A263" s="2944" t="s">
        <v>305</v>
      </c>
      <c r="B263" s="2944" t="s">
        <v>3109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3110</v>
      </c>
      <c r="C265" s="2944"/>
      <c r="D265" s="2944"/>
      <c r="E265" s="2944"/>
      <c r="F265" s="2944">
        <v>1500</v>
      </c>
      <c r="G265" s="2944"/>
    </row>
    <row r="266" spans="1:7" s="2778" customFormat="1" ht="14.25" customHeight="1">
      <c r="A266" s="2944" t="s">
        <v>305</v>
      </c>
      <c r="B266" s="2944" t="s">
        <v>3111</v>
      </c>
      <c r="C266" s="2944"/>
      <c r="D266" s="2944"/>
      <c r="E266" s="2944"/>
      <c r="F266" s="2944">
        <v>1500</v>
      </c>
      <c r="G266" s="2944"/>
    </row>
    <row r="267" spans="1:7" s="2778" customFormat="1" ht="14.25" customHeight="1">
      <c r="A267" s="2944" t="s">
        <v>305</v>
      </c>
      <c r="B267" s="2944" t="s">
        <v>3112</v>
      </c>
      <c r="C267" s="2944"/>
      <c r="D267" s="2944"/>
      <c r="E267" s="2944"/>
      <c r="F267" s="2944">
        <v>1500</v>
      </c>
      <c r="G267" s="2944"/>
    </row>
    <row r="268" spans="1:7" s="2778" customFormat="1" ht="14.25" customHeight="1">
      <c r="A268" s="2944" t="s">
        <v>305</v>
      </c>
      <c r="B268" s="2944" t="s">
        <v>3113</v>
      </c>
      <c r="C268" s="2944"/>
      <c r="D268" s="2944"/>
      <c r="E268" s="2944"/>
      <c r="F268" s="2944">
        <v>1290</v>
      </c>
      <c r="G268" s="2944"/>
    </row>
    <row r="269" spans="1:7" s="2778" customFormat="1" ht="14.25" customHeight="1">
      <c r="A269" s="2944" t="s">
        <v>305</v>
      </c>
      <c r="B269" s="2944" t="s">
        <v>3114</v>
      </c>
      <c r="C269" s="2944"/>
      <c r="D269" s="2944"/>
      <c r="E269" s="2944"/>
      <c r="F269" s="2944">
        <v>1150</v>
      </c>
      <c r="G269" s="2944"/>
    </row>
    <row r="270" spans="1:7" s="2778" customFormat="1" ht="14.25" customHeight="1">
      <c r="A270" s="2944" t="s">
        <v>305</v>
      </c>
      <c r="B270" s="2944" t="s">
        <v>3115</v>
      </c>
      <c r="C270" s="2944"/>
      <c r="D270" s="2944"/>
      <c r="E270" s="2944"/>
      <c r="F270" s="2944">
        <v>1380</v>
      </c>
      <c r="G270" s="2944"/>
    </row>
    <row r="271" spans="1:7" s="2778" customFormat="1" ht="14.25" customHeight="1">
      <c r="A271" s="2944" t="s">
        <v>305</v>
      </c>
      <c r="B271" s="2944" t="s">
        <v>3116</v>
      </c>
      <c r="C271" s="2944"/>
      <c r="D271" s="2944"/>
      <c r="E271" s="2944"/>
      <c r="F271" s="2944">
        <v>1460</v>
      </c>
      <c r="G271" s="2944"/>
    </row>
    <row r="272" spans="1:7" s="2778" customFormat="1" ht="14.25" customHeight="1">
      <c r="A272" s="2944" t="s">
        <v>305</v>
      </c>
      <c r="B272" s="2944" t="s">
        <v>3117</v>
      </c>
      <c r="C272" s="2944"/>
      <c r="D272" s="2944"/>
      <c r="E272" s="2944"/>
      <c r="F272" s="2944">
        <v>1460</v>
      </c>
      <c r="G272" s="2944"/>
    </row>
    <row r="273" spans="1:7" s="2778" customFormat="1" ht="14.25" customHeight="1">
      <c r="A273" s="2944" t="s">
        <v>305</v>
      </c>
      <c r="B273" s="2944" t="s">
        <v>3010</v>
      </c>
      <c r="C273" s="2944"/>
      <c r="D273" s="2944"/>
      <c r="E273" s="2944"/>
      <c r="F273" s="2944">
        <v>1490</v>
      </c>
      <c r="G273" s="2944"/>
    </row>
    <row r="274" spans="1:7" s="2778" customFormat="1" ht="14.25" customHeight="1">
      <c r="A274" s="2944" t="s">
        <v>305</v>
      </c>
      <c r="B274" s="2944" t="s">
        <v>3118</v>
      </c>
      <c r="C274" s="2944"/>
      <c r="D274" s="2944"/>
      <c r="E274" s="2944"/>
      <c r="F274" s="2944">
        <v>1490</v>
      </c>
      <c r="G274" s="2944"/>
    </row>
    <row r="275" spans="1:7" s="2778" customFormat="1" ht="14.25" customHeight="1">
      <c r="A275" s="2944" t="s">
        <v>305</v>
      </c>
      <c r="B275" s="2944" t="s">
        <v>3119</v>
      </c>
      <c r="C275" s="2944"/>
      <c r="D275" s="2944"/>
      <c r="E275" s="2944"/>
      <c r="F275" s="2944">
        <v>1220</v>
      </c>
      <c r="G275" s="2944"/>
    </row>
    <row r="276" spans="1:7" s="2778" customFormat="1" ht="14.25" customHeight="1" thickBot="1">
      <c r="A276" s="2952" t="s">
        <v>305</v>
      </c>
      <c r="B276" s="2954" t="s">
        <v>3120</v>
      </c>
      <c r="C276" s="2955"/>
      <c r="D276" s="2955"/>
      <c r="E276" s="2955"/>
      <c r="F276" s="2955">
        <v>1380</v>
      </c>
      <c r="G276" s="2955"/>
    </row>
    <row r="277" spans="1:7" s="2778" customFormat="1" ht="14.25" customHeight="1">
      <c r="A277" s="2949" t="s">
        <v>306</v>
      </c>
      <c r="B277" s="2940" t="s">
        <v>3121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3122</v>
      </c>
      <c r="C279" s="2944">
        <v>4760</v>
      </c>
      <c r="D279" s="2944">
        <v>4720</v>
      </c>
      <c r="E279" s="2944">
        <v>5540</v>
      </c>
      <c r="F279" s="2944">
        <v>810</v>
      </c>
      <c r="G279" s="2957">
        <v>2850</v>
      </c>
    </row>
    <row r="280" spans="1:7" s="2778" customFormat="1" ht="14.25" customHeight="1">
      <c r="A280" s="2944" t="s">
        <v>306</v>
      </c>
      <c r="B280" s="2944" t="s">
        <v>3123</v>
      </c>
      <c r="C280" s="2944">
        <v>4010</v>
      </c>
      <c r="D280" s="2944">
        <v>3950</v>
      </c>
      <c r="E280" s="2944">
        <v>4710</v>
      </c>
      <c r="F280" s="2944">
        <v>800</v>
      </c>
      <c r="G280" s="2957">
        <v>2390</v>
      </c>
    </row>
    <row r="281" spans="1:7" s="2778" customFormat="1" ht="14.25" customHeight="1">
      <c r="A281" s="2944" t="s">
        <v>306</v>
      </c>
      <c r="B281" s="2944" t="s">
        <v>3124</v>
      </c>
      <c r="C281" s="2944">
        <v>4480</v>
      </c>
      <c r="D281" s="2944">
        <v>4420</v>
      </c>
      <c r="E281" s="2944">
        <v>5230</v>
      </c>
      <c r="F281" s="2944">
        <v>870</v>
      </c>
      <c r="G281" s="2957">
        <v>2660</v>
      </c>
    </row>
    <row r="282" spans="1:7" s="2778" customFormat="1" ht="14.25" customHeight="1">
      <c r="A282" s="2944" t="s">
        <v>306</v>
      </c>
      <c r="B282" s="2944" t="s">
        <v>3125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3126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3127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2902</v>
      </c>
      <c r="C293" s="2944">
        <v>5320</v>
      </c>
      <c r="D293" s="2944">
        <v>5270</v>
      </c>
      <c r="E293" s="2944">
        <v>6160</v>
      </c>
      <c r="F293" s="2944">
        <v>990</v>
      </c>
      <c r="G293" s="2957">
        <v>3170</v>
      </c>
    </row>
    <row r="294" spans="1:7" s="2778" customFormat="1" ht="14.25" customHeight="1">
      <c r="A294" s="2944" t="s">
        <v>306</v>
      </c>
      <c r="B294" s="2944" t="s">
        <v>3128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3129</v>
      </c>
      <c r="C302" s="2944">
        <v>5520</v>
      </c>
      <c r="D302" s="2944">
        <v>5470</v>
      </c>
      <c r="E302" s="2944">
        <v>6410</v>
      </c>
      <c r="F302" s="2944">
        <v>950</v>
      </c>
      <c r="G302" s="2957">
        <v>3300</v>
      </c>
    </row>
    <row r="303" spans="1:7" s="2778" customFormat="1" ht="14.25" customHeight="1">
      <c r="A303" s="2944" t="s">
        <v>306</v>
      </c>
      <c r="B303" s="2944" t="s">
        <v>2941</v>
      </c>
      <c r="C303" s="2944">
        <v>5630</v>
      </c>
      <c r="D303" s="2944">
        <v>5590</v>
      </c>
      <c r="E303" s="2944">
        <v>6550</v>
      </c>
      <c r="F303" s="2944">
        <v>1010</v>
      </c>
      <c r="G303" s="2957">
        <v>3370</v>
      </c>
    </row>
    <row r="304" spans="1:7" s="2778" customFormat="1" ht="14.25" customHeight="1">
      <c r="A304" s="2944" t="s">
        <v>306</v>
      </c>
      <c r="B304" s="2944" t="s">
        <v>2948</v>
      </c>
      <c r="C304" s="2944">
        <v>5680</v>
      </c>
      <c r="D304" s="2944">
        <v>5620</v>
      </c>
      <c r="E304" s="2944">
        <v>6620</v>
      </c>
      <c r="F304" s="2944">
        <v>1050</v>
      </c>
      <c r="G304" s="2957">
        <v>3390</v>
      </c>
    </row>
    <row r="305" spans="1:7" s="2778" customFormat="1" ht="14.25" customHeight="1">
      <c r="A305" s="2944" t="s">
        <v>306</v>
      </c>
      <c r="B305" s="2944" t="s">
        <v>2954</v>
      </c>
      <c r="C305" s="2944">
        <v>5590</v>
      </c>
      <c r="D305" s="2944">
        <v>5530</v>
      </c>
      <c r="E305" s="2944">
        <v>6460</v>
      </c>
      <c r="F305" s="2944">
        <v>900</v>
      </c>
      <c r="G305" s="2957">
        <v>3340</v>
      </c>
    </row>
    <row r="306" spans="1:7" s="2778" customFormat="1" ht="14.25" customHeight="1">
      <c r="A306" s="2944" t="s">
        <v>306</v>
      </c>
      <c r="B306" s="2944" t="s">
        <v>3130</v>
      </c>
      <c r="C306" s="2944">
        <v>5560</v>
      </c>
      <c r="D306" s="2944">
        <v>5510</v>
      </c>
      <c r="E306" s="2944">
        <v>6440</v>
      </c>
      <c r="F306" s="2944">
        <v>900</v>
      </c>
      <c r="G306" s="2957">
        <v>3320</v>
      </c>
    </row>
    <row r="307" spans="1:7" s="2778" customFormat="1" ht="14.25" customHeight="1">
      <c r="A307" s="2944" t="s">
        <v>306</v>
      </c>
      <c r="B307" s="2944" t="s">
        <v>2966</v>
      </c>
      <c r="C307" s="2944">
        <v>5650</v>
      </c>
      <c r="D307" s="2944">
        <v>5600</v>
      </c>
      <c r="E307" s="2944">
        <v>6590</v>
      </c>
      <c r="F307" s="2944">
        <v>930</v>
      </c>
      <c r="G307" s="2957">
        <v>3380</v>
      </c>
    </row>
    <row r="308" spans="1:7" s="2778" customFormat="1" ht="14.25" customHeight="1">
      <c r="A308" s="2944" t="s">
        <v>306</v>
      </c>
      <c r="B308" s="2944" t="s">
        <v>3131</v>
      </c>
      <c r="C308" s="2944">
        <v>5620</v>
      </c>
      <c r="D308" s="2944">
        <v>5580</v>
      </c>
      <c r="E308" s="2944">
        <v>6540</v>
      </c>
      <c r="F308" s="2944">
        <v>910</v>
      </c>
      <c r="G308" s="2957">
        <v>3370</v>
      </c>
    </row>
    <row r="309" spans="1:7" s="2778" customFormat="1" ht="14.25" customHeight="1">
      <c r="A309" s="2944" t="s">
        <v>306</v>
      </c>
      <c r="B309" s="2944" t="s">
        <v>3132</v>
      </c>
      <c r="C309" s="2944">
        <v>5060</v>
      </c>
      <c r="D309" s="2944">
        <v>5020</v>
      </c>
      <c r="E309" s="2944">
        <v>6370</v>
      </c>
      <c r="F309" s="2944">
        <v>800</v>
      </c>
      <c r="G309" s="2957">
        <v>3020</v>
      </c>
    </row>
    <row r="310" spans="1:7" s="2778" customFormat="1" ht="14.25" customHeight="1">
      <c r="A310" s="2944" t="s">
        <v>306</v>
      </c>
      <c r="B310" s="2944" t="s">
        <v>2981</v>
      </c>
      <c r="C310" s="2944">
        <v>5150</v>
      </c>
      <c r="D310" s="2944">
        <v>5110</v>
      </c>
      <c r="E310" s="2944">
        <v>6500</v>
      </c>
      <c r="F310" s="2944">
        <v>880</v>
      </c>
      <c r="G310" s="2957">
        <v>3080</v>
      </c>
    </row>
    <row r="311" spans="1:7" s="2778" customFormat="1" ht="14.25" customHeight="1">
      <c r="A311" s="2944" t="s">
        <v>306</v>
      </c>
      <c r="B311" s="2944" t="s">
        <v>3133</v>
      </c>
      <c r="C311" s="2944">
        <v>4750</v>
      </c>
      <c r="D311" s="2944">
        <v>4710</v>
      </c>
      <c r="E311" s="2944">
        <v>5510</v>
      </c>
      <c r="F311" s="2944">
        <v>880</v>
      </c>
      <c r="G311" s="2957">
        <v>2840</v>
      </c>
    </row>
    <row r="312" spans="1:7" s="2778" customFormat="1" ht="14.25" customHeight="1">
      <c r="A312" s="2944" t="s">
        <v>306</v>
      </c>
      <c r="B312" s="2944" t="s">
        <v>2991</v>
      </c>
      <c r="C312" s="2944">
        <v>4690</v>
      </c>
      <c r="D312" s="2944">
        <v>4640</v>
      </c>
      <c r="E312" s="2944">
        <v>5420</v>
      </c>
      <c r="F312" s="2944">
        <v>800</v>
      </c>
      <c r="G312" s="2957">
        <v>2800</v>
      </c>
    </row>
    <row r="313" spans="1:7" s="2778" customFormat="1" ht="14.25" customHeight="1">
      <c r="A313" s="2944" t="s">
        <v>306</v>
      </c>
      <c r="B313" s="2944" t="s">
        <v>2996</v>
      </c>
      <c r="C313" s="2944">
        <v>4810</v>
      </c>
      <c r="D313" s="2944">
        <v>4760</v>
      </c>
      <c r="E313" s="2944">
        <v>5550</v>
      </c>
      <c r="F313" s="2944">
        <v>920</v>
      </c>
      <c r="G313" s="2957">
        <v>2870</v>
      </c>
    </row>
    <row r="314" spans="1:7" s="2778" customFormat="1" ht="14.25" customHeight="1">
      <c r="A314" s="2944" t="s">
        <v>306</v>
      </c>
      <c r="B314" s="2944" t="s">
        <v>3134</v>
      </c>
      <c r="C314" s="2944"/>
      <c r="D314" s="2944"/>
      <c r="E314" s="2944"/>
      <c r="F314" s="2944">
        <v>1020</v>
      </c>
      <c r="G314" s="2957"/>
    </row>
    <row r="315" spans="1:7" s="2778" customFormat="1" ht="14.25" customHeight="1">
      <c r="A315" s="2944" t="s">
        <v>306</v>
      </c>
      <c r="B315" s="2944" t="s">
        <v>3135</v>
      </c>
      <c r="C315" s="2944"/>
      <c r="D315" s="2944"/>
      <c r="E315" s="2944"/>
      <c r="F315" s="2944">
        <v>1050</v>
      </c>
      <c r="G315" s="2957"/>
    </row>
    <row r="316" spans="1:7" s="2778" customFormat="1" ht="14.25" customHeight="1">
      <c r="A316" s="2944" t="s">
        <v>306</v>
      </c>
      <c r="B316" s="2944" t="s">
        <v>3011</v>
      </c>
      <c r="C316" s="2944"/>
      <c r="D316" s="2944"/>
      <c r="E316" s="2944"/>
      <c r="F316" s="2944">
        <v>900</v>
      </c>
      <c r="G316" s="2957"/>
    </row>
    <row r="317" spans="1:7" s="2778" customFormat="1" ht="14.25" customHeight="1">
      <c r="A317" s="2944" t="s">
        <v>306</v>
      </c>
      <c r="B317" s="2944" t="s">
        <v>3136</v>
      </c>
      <c r="C317" s="2944"/>
      <c r="D317" s="2944"/>
      <c r="E317" s="2944"/>
      <c r="F317" s="2944">
        <v>920</v>
      </c>
      <c r="G317" s="2957"/>
    </row>
    <row r="318" spans="1:7" s="2778" customFormat="1" ht="14.25" customHeight="1">
      <c r="A318" s="2944" t="s">
        <v>306</v>
      </c>
      <c r="B318" s="2944" t="s">
        <v>3137</v>
      </c>
      <c r="C318" s="2944"/>
      <c r="D318" s="2944"/>
      <c r="E318" s="2944"/>
      <c r="F318" s="2944">
        <v>1080</v>
      </c>
      <c r="G318" s="2957"/>
    </row>
    <row r="319" spans="1:7" s="2778" customFormat="1" ht="14.25" customHeight="1">
      <c r="A319" s="2944" t="s">
        <v>306</v>
      </c>
      <c r="B319" s="2944" t="s">
        <v>3024</v>
      </c>
      <c r="C319" s="2944"/>
      <c r="D319" s="2944"/>
      <c r="E319" s="2944"/>
      <c r="F319" s="2944">
        <v>1020</v>
      </c>
      <c r="G319" s="2957"/>
    </row>
    <row r="320" spans="1:7" s="2778" customFormat="1" ht="14.25" customHeight="1">
      <c r="A320" s="2944" t="s">
        <v>306</v>
      </c>
      <c r="B320" s="2944" t="s">
        <v>3027</v>
      </c>
      <c r="C320" s="2944"/>
      <c r="D320" s="2944"/>
      <c r="E320" s="2944"/>
      <c r="F320" s="2944">
        <v>1050</v>
      </c>
      <c r="G320" s="2957"/>
    </row>
    <row r="321" spans="1:7" s="2778" customFormat="1" ht="14.25" customHeight="1">
      <c r="A321" s="2944" t="s">
        <v>306</v>
      </c>
      <c r="B321" s="2944" t="s">
        <v>3029</v>
      </c>
      <c r="C321" s="2944"/>
      <c r="D321" s="2944"/>
      <c r="E321" s="2944"/>
      <c r="F321" s="2944">
        <v>960</v>
      </c>
      <c r="G321" s="2957"/>
    </row>
    <row r="322" spans="1:7" s="2778" customFormat="1" ht="14.25" customHeight="1">
      <c r="A322" s="2944" t="s">
        <v>306</v>
      </c>
      <c r="B322" s="2944" t="s">
        <v>3031</v>
      </c>
      <c r="C322" s="2944"/>
      <c r="D322" s="2944"/>
      <c r="E322" s="2944"/>
      <c r="F322" s="2944">
        <v>960</v>
      </c>
      <c r="G322" s="2957"/>
    </row>
    <row r="323" spans="1:7" s="2778" customFormat="1" ht="14.25" customHeight="1">
      <c r="A323" s="2944" t="s">
        <v>306</v>
      </c>
      <c r="B323" s="2944" t="s">
        <v>3033</v>
      </c>
      <c r="C323" s="2944"/>
      <c r="D323" s="2944"/>
      <c r="E323" s="2944"/>
      <c r="F323" s="2944">
        <v>880</v>
      </c>
      <c r="G323" s="2957"/>
    </row>
    <row r="324" spans="1:7" s="2778" customFormat="1" ht="14.25" customHeight="1">
      <c r="A324" s="2944" t="s">
        <v>306</v>
      </c>
      <c r="B324" s="2944" t="s">
        <v>3035</v>
      </c>
      <c r="C324" s="2944"/>
      <c r="D324" s="2944"/>
      <c r="E324" s="2944"/>
      <c r="F324" s="2944">
        <v>930</v>
      </c>
      <c r="G324" s="2957"/>
    </row>
    <row r="325" spans="1:7" s="2778" customFormat="1" ht="14.25" customHeight="1">
      <c r="A325" s="2944" t="s">
        <v>306</v>
      </c>
      <c r="B325" s="2945" t="s">
        <v>3037</v>
      </c>
      <c r="C325" s="2944"/>
      <c r="D325" s="2944"/>
      <c r="E325" s="2944"/>
      <c r="F325" s="2944">
        <v>900</v>
      </c>
      <c r="G325" s="2957"/>
    </row>
    <row r="326" spans="1:7" s="2778" customFormat="1" ht="14.25" customHeight="1" thickBot="1">
      <c r="A326" s="2958" t="s">
        <v>306</v>
      </c>
      <c r="B326" s="2951" t="s">
        <v>3039</v>
      </c>
      <c r="C326" s="2951"/>
      <c r="D326" s="2951"/>
      <c r="E326" s="2951"/>
      <c r="F326" s="2951">
        <v>790</v>
      </c>
      <c r="G326" s="2959"/>
    </row>
    <row r="327" spans="1:7" s="2778" customFormat="1" ht="14.25" customHeight="1">
      <c r="A327" s="2949" t="s">
        <v>307</v>
      </c>
      <c r="B327" s="2940" t="s">
        <v>3138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3139</v>
      </c>
      <c r="C329" s="2944">
        <v>2730</v>
      </c>
      <c r="D329" s="2944">
        <v>2690</v>
      </c>
      <c r="E329" s="2944">
        <v>3100</v>
      </c>
      <c r="F329" s="2944">
        <v>660</v>
      </c>
      <c r="G329" s="2944">
        <v>1610</v>
      </c>
    </row>
    <row r="330" spans="1:7" s="2778" customFormat="1" ht="14.25" customHeight="1">
      <c r="A330" s="2944" t="s">
        <v>307</v>
      </c>
      <c r="B330" s="2944" t="s">
        <v>3140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2873</v>
      </c>
      <c r="C332" s="2944">
        <v>3520</v>
      </c>
      <c r="D332" s="2944">
        <v>3480</v>
      </c>
      <c r="E332" s="2944">
        <v>3830</v>
      </c>
      <c r="F332" s="2944">
        <v>720</v>
      </c>
      <c r="G332" s="2944">
        <v>2090</v>
      </c>
    </row>
    <row r="333" spans="1:7" s="2778" customFormat="1" ht="14.25" customHeight="1">
      <c r="A333" s="2944" t="s">
        <v>307</v>
      </c>
      <c r="B333" s="2944" t="s">
        <v>3141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2883</v>
      </c>
      <c r="C336" s="2944">
        <v>3570</v>
      </c>
      <c r="D336" s="2944">
        <v>3530</v>
      </c>
      <c r="E336" s="2944">
        <v>3880</v>
      </c>
      <c r="F336" s="2944">
        <v>770</v>
      </c>
      <c r="G336" s="2944">
        <v>2110</v>
      </c>
    </row>
    <row r="337" spans="1:10" s="2778" customFormat="1" ht="14.25" customHeight="1">
      <c r="A337" s="2944" t="s">
        <v>307</v>
      </c>
      <c r="B337" s="2944" t="s">
        <v>3142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2908</v>
      </c>
      <c r="C345" s="2944">
        <v>3190</v>
      </c>
      <c r="D345" s="2944">
        <v>3140</v>
      </c>
      <c r="E345" s="2944">
        <v>3450</v>
      </c>
      <c r="F345" s="2944">
        <v>720</v>
      </c>
      <c r="G345" s="2944">
        <v>1880</v>
      </c>
      <c r="J345" s="2778"/>
    </row>
    <row r="346" spans="1:10">
      <c r="A346" s="2944" t="s">
        <v>307</v>
      </c>
      <c r="B346" s="2944" t="s">
        <v>3145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2917</v>
      </c>
      <c r="C348" s="2944">
        <v>4000</v>
      </c>
      <c r="D348" s="2944">
        <v>3950</v>
      </c>
      <c r="E348" s="2944">
        <v>4430</v>
      </c>
      <c r="F348" s="2944">
        <v>760</v>
      </c>
      <c r="G348" s="2944">
        <v>2360</v>
      </c>
      <c r="J348" s="2778"/>
    </row>
    <row r="349" spans="1:10">
      <c r="A349" s="2944" t="s">
        <v>307</v>
      </c>
      <c r="B349" s="2944" t="s">
        <v>2922</v>
      </c>
      <c r="C349" s="2944">
        <v>3820</v>
      </c>
      <c r="D349" s="2944">
        <v>3780</v>
      </c>
      <c r="E349" s="2944">
        <v>4170</v>
      </c>
      <c r="F349" s="2944">
        <v>710</v>
      </c>
      <c r="G349" s="2944">
        <v>2260</v>
      </c>
      <c r="J349" s="2778"/>
    </row>
    <row r="350" spans="1:10">
      <c r="A350" s="2944" t="s">
        <v>307</v>
      </c>
      <c r="B350" s="2944" t="s">
        <v>3146</v>
      </c>
      <c r="C350" s="2944">
        <v>3760</v>
      </c>
      <c r="D350" s="2944">
        <v>3730</v>
      </c>
      <c r="E350" s="2944">
        <v>4100</v>
      </c>
      <c r="F350" s="2944">
        <v>800</v>
      </c>
      <c r="G350" s="2944">
        <v>2230</v>
      </c>
      <c r="J350" s="2778"/>
    </row>
    <row r="351" spans="1:10">
      <c r="A351" s="2944" t="s">
        <v>307</v>
      </c>
      <c r="B351" s="2944" t="s">
        <v>2930</v>
      </c>
      <c r="C351" s="2944">
        <v>3610</v>
      </c>
      <c r="D351" s="2944">
        <v>3580</v>
      </c>
      <c r="E351" s="2944">
        <v>3930</v>
      </c>
      <c r="F351" s="2944">
        <v>700</v>
      </c>
      <c r="G351" s="2944">
        <v>2140</v>
      </c>
      <c r="J351" s="2778"/>
    </row>
    <row r="352" spans="1:10">
      <c r="A352" s="2944" t="s">
        <v>307</v>
      </c>
      <c r="B352" s="2944" t="s">
        <v>2935</v>
      </c>
      <c r="C352" s="2944">
        <v>3670</v>
      </c>
      <c r="D352" s="2944">
        <v>3630</v>
      </c>
      <c r="E352" s="2944">
        <v>4000</v>
      </c>
      <c r="F352" s="2944">
        <v>750</v>
      </c>
      <c r="G352" s="2944">
        <v>2180</v>
      </c>
    </row>
    <row r="353" spans="1:7" s="2779" customFormat="1">
      <c r="A353" s="2944" t="s">
        <v>307</v>
      </c>
      <c r="B353" s="2944" t="s">
        <v>3147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2955</v>
      </c>
      <c r="C355" s="2944">
        <v>3650</v>
      </c>
      <c r="D355" s="2944">
        <v>3610</v>
      </c>
      <c r="E355" s="2944">
        <v>4200</v>
      </c>
      <c r="F355" s="2944">
        <v>640</v>
      </c>
      <c r="G355" s="2944">
        <v>2160</v>
      </c>
    </row>
    <row r="356" spans="1:7" s="2779" customFormat="1">
      <c r="A356" s="2944" t="s">
        <v>307</v>
      </c>
      <c r="B356" s="2944" t="s">
        <v>2962</v>
      </c>
      <c r="C356" s="2944">
        <v>3260</v>
      </c>
      <c r="D356" s="2944">
        <v>3230</v>
      </c>
      <c r="E356" s="2944">
        <v>3740</v>
      </c>
      <c r="F356" s="2944">
        <v>600</v>
      </c>
      <c r="G356" s="2944">
        <v>1930</v>
      </c>
    </row>
    <row r="357" spans="1:7" s="2779" customFormat="1" ht="12" thickBot="1">
      <c r="A357" s="2952" t="s">
        <v>307</v>
      </c>
      <c r="B357" s="2955" t="s">
        <v>3148</v>
      </c>
      <c r="C357" s="2955">
        <v>3690</v>
      </c>
      <c r="D357" s="2955">
        <v>3650</v>
      </c>
      <c r="E357" s="2955">
        <v>4020</v>
      </c>
      <c r="F357" s="2955">
        <v>700</v>
      </c>
      <c r="G357" s="2955">
        <v>2190</v>
      </c>
    </row>
    <row r="358" spans="1:7" s="2779" customFormat="1">
      <c r="A358" s="2949" t="s">
        <v>3149</v>
      </c>
      <c r="B358" s="2940" t="s">
        <v>3150</v>
      </c>
      <c r="C358" s="2940">
        <v>2080</v>
      </c>
      <c r="D358" s="2940">
        <v>2040</v>
      </c>
      <c r="E358" s="2940">
        <v>2010</v>
      </c>
      <c r="F358" s="2940">
        <v>530</v>
      </c>
      <c r="G358" s="2956">
        <v>1230</v>
      </c>
    </row>
    <row r="359" spans="1:7" s="2779" customFormat="1">
      <c r="A359" s="2944" t="s">
        <v>3149</v>
      </c>
      <c r="B359" s="2944" t="s">
        <v>3151</v>
      </c>
      <c r="C359" s="2944">
        <v>1850</v>
      </c>
      <c r="D359" s="2944">
        <v>1820</v>
      </c>
      <c r="E359" s="2944">
        <v>1780</v>
      </c>
      <c r="F359" s="2944">
        <v>520</v>
      </c>
      <c r="G359" s="2957">
        <v>1100</v>
      </c>
    </row>
    <row r="360" spans="1:7" s="2779" customFormat="1">
      <c r="A360" s="2944" t="s">
        <v>3149</v>
      </c>
      <c r="B360" s="2944" t="s">
        <v>3152</v>
      </c>
      <c r="C360" s="2944">
        <v>2020</v>
      </c>
      <c r="D360" s="2944">
        <v>1990</v>
      </c>
      <c r="E360" s="2944">
        <v>1950</v>
      </c>
      <c r="F360" s="2944">
        <v>500</v>
      </c>
      <c r="G360" s="2957">
        <v>1200</v>
      </c>
    </row>
    <row r="361" spans="1:7" s="2779" customFormat="1">
      <c r="A361" s="2944" t="s">
        <v>3149</v>
      </c>
      <c r="B361" s="2944" t="s">
        <v>153</v>
      </c>
      <c r="C361" s="2944">
        <v>2260</v>
      </c>
      <c r="D361" s="2944">
        <v>2220</v>
      </c>
      <c r="E361" s="2944">
        <v>2180</v>
      </c>
      <c r="F361" s="2944">
        <v>580</v>
      </c>
      <c r="G361" s="2957">
        <v>1340</v>
      </c>
    </row>
    <row r="362" spans="1:7" s="2779" customFormat="1">
      <c r="A362" s="2944" t="s">
        <v>3149</v>
      </c>
      <c r="B362" s="2944" t="s">
        <v>3153</v>
      </c>
      <c r="C362" s="2944">
        <v>2650</v>
      </c>
      <c r="D362" s="2944">
        <v>2610</v>
      </c>
      <c r="E362" s="2944">
        <v>2570</v>
      </c>
      <c r="F362" s="2944">
        <v>630</v>
      </c>
      <c r="G362" s="2957">
        <v>1570</v>
      </c>
    </row>
    <row r="363" spans="1:7" s="2779" customFormat="1">
      <c r="A363" s="2944" t="s">
        <v>3149</v>
      </c>
      <c r="B363" s="2944" t="s">
        <v>2874</v>
      </c>
      <c r="C363" s="2944">
        <v>2390</v>
      </c>
      <c r="D363" s="2944">
        <v>2360</v>
      </c>
      <c r="E363" s="2944">
        <v>2320</v>
      </c>
      <c r="F363" s="2944">
        <v>600</v>
      </c>
      <c r="G363" s="2957">
        <v>1420</v>
      </c>
    </row>
    <row r="364" spans="1:7" s="2779" customFormat="1">
      <c r="A364" s="2944" t="s">
        <v>3149</v>
      </c>
      <c r="B364" s="2944" t="s">
        <v>3154</v>
      </c>
      <c r="C364" s="2944">
        <v>2050</v>
      </c>
      <c r="D364" s="2944">
        <v>2030</v>
      </c>
      <c r="E364" s="2944">
        <v>1990</v>
      </c>
      <c r="F364" s="2944">
        <v>550</v>
      </c>
      <c r="G364" s="2957">
        <v>1220</v>
      </c>
    </row>
    <row r="365" spans="1:7" s="2779" customFormat="1">
      <c r="A365" s="2944" t="s">
        <v>3149</v>
      </c>
      <c r="B365" s="2944" t="s">
        <v>200</v>
      </c>
      <c r="C365" s="2944">
        <v>2140</v>
      </c>
      <c r="D365" s="2944">
        <v>2100</v>
      </c>
      <c r="E365" s="2944">
        <v>2060</v>
      </c>
      <c r="F365" s="2944">
        <v>540</v>
      </c>
      <c r="G365" s="2957">
        <v>1270</v>
      </c>
    </row>
    <row r="366" spans="1:7" s="2779" customFormat="1">
      <c r="A366" s="2944" t="s">
        <v>3149</v>
      </c>
      <c r="B366" s="2944" t="s">
        <v>2881</v>
      </c>
      <c r="C366" s="2944">
        <v>2410</v>
      </c>
      <c r="D366" s="2944">
        <v>2370</v>
      </c>
      <c r="E366" s="2944">
        <v>2330</v>
      </c>
      <c r="F366" s="2944">
        <v>570</v>
      </c>
      <c r="G366" s="2957">
        <v>1440</v>
      </c>
    </row>
    <row r="367" spans="1:7" s="2779" customFormat="1">
      <c r="A367" s="2944" t="s">
        <v>3149</v>
      </c>
      <c r="B367" s="2944" t="s">
        <v>3155</v>
      </c>
      <c r="C367" s="2944">
        <v>2300</v>
      </c>
      <c r="D367" s="2944">
        <v>2260</v>
      </c>
      <c r="E367" s="2944">
        <v>2220</v>
      </c>
      <c r="F367" s="2944">
        <v>560</v>
      </c>
      <c r="G367" s="2957">
        <v>1370</v>
      </c>
    </row>
    <row r="368" spans="1:7" s="2779" customFormat="1">
      <c r="A368" s="2944" t="s">
        <v>3149</v>
      </c>
      <c r="B368" s="2944" t="s">
        <v>3156</v>
      </c>
      <c r="C368" s="2944">
        <v>2430</v>
      </c>
      <c r="D368" s="2944">
        <v>2390</v>
      </c>
      <c r="E368" s="2944">
        <v>2350</v>
      </c>
      <c r="F368" s="2944">
        <v>570</v>
      </c>
      <c r="G368" s="2957">
        <v>1450</v>
      </c>
    </row>
    <row r="369" spans="1:7" s="2779" customFormat="1">
      <c r="A369" s="2944" t="s">
        <v>3149</v>
      </c>
      <c r="B369" s="2944" t="s">
        <v>214</v>
      </c>
      <c r="C369" s="2944">
        <v>2320</v>
      </c>
      <c r="D369" s="2944">
        <v>2290</v>
      </c>
      <c r="E369" s="2944">
        <v>2250</v>
      </c>
      <c r="F369" s="2944">
        <v>550</v>
      </c>
      <c r="G369" s="2957">
        <v>1380</v>
      </c>
    </row>
    <row r="370" spans="1:7" s="2779" customFormat="1">
      <c r="A370" s="2944" t="s">
        <v>3149</v>
      </c>
      <c r="B370" s="2944" t="s">
        <v>221</v>
      </c>
      <c r="C370" s="2944">
        <v>2190</v>
      </c>
      <c r="D370" s="2944">
        <v>2170</v>
      </c>
      <c r="E370" s="2944">
        <v>2130</v>
      </c>
      <c r="F370" s="2944">
        <v>530</v>
      </c>
      <c r="G370" s="2957">
        <v>1310</v>
      </c>
    </row>
    <row r="371" spans="1:7" s="2779" customFormat="1">
      <c r="A371" s="2944" t="s">
        <v>3149</v>
      </c>
      <c r="B371" s="2944" t="s">
        <v>229</v>
      </c>
      <c r="C371" s="2944">
        <v>2460</v>
      </c>
      <c r="D371" s="2944">
        <v>2420</v>
      </c>
      <c r="E371" s="2944">
        <v>2370</v>
      </c>
      <c r="F371" s="2944">
        <v>560</v>
      </c>
      <c r="G371" s="2957">
        <v>1470</v>
      </c>
    </row>
    <row r="372" spans="1:7" s="2779" customFormat="1">
      <c r="A372" s="2944" t="s">
        <v>3149</v>
      </c>
      <c r="B372" s="2944" t="s">
        <v>3157</v>
      </c>
      <c r="C372" s="2944">
        <v>2250</v>
      </c>
      <c r="D372" s="2944">
        <v>2210</v>
      </c>
      <c r="E372" s="2944">
        <v>2180</v>
      </c>
      <c r="F372" s="2944">
        <v>550</v>
      </c>
      <c r="G372" s="2957">
        <v>1340</v>
      </c>
    </row>
    <row r="373" spans="1:7" s="2779" customFormat="1">
      <c r="A373" s="2944" t="s">
        <v>3149</v>
      </c>
      <c r="B373" s="2944" t="s">
        <v>258</v>
      </c>
      <c r="C373" s="2944">
        <v>2210</v>
      </c>
      <c r="D373" s="2944">
        <v>2190</v>
      </c>
      <c r="E373" s="2944">
        <v>2150</v>
      </c>
      <c r="F373" s="2944">
        <v>530</v>
      </c>
      <c r="G373" s="2957">
        <v>1320</v>
      </c>
    </row>
    <row r="374" spans="1:7" s="2779" customFormat="1">
      <c r="A374" s="2944" t="s">
        <v>3149</v>
      </c>
      <c r="B374" s="2944" t="s">
        <v>266</v>
      </c>
      <c r="C374" s="2944">
        <v>2320</v>
      </c>
      <c r="D374" s="2944">
        <v>2280</v>
      </c>
      <c r="E374" s="2944">
        <v>2230</v>
      </c>
      <c r="F374" s="2944">
        <v>580</v>
      </c>
      <c r="G374" s="2957">
        <v>1380</v>
      </c>
    </row>
    <row r="375" spans="1:7" s="2779" customFormat="1">
      <c r="A375" s="2944" t="s">
        <v>3149</v>
      </c>
      <c r="B375" s="2944" t="s">
        <v>3158</v>
      </c>
      <c r="C375" s="2944">
        <v>2090</v>
      </c>
      <c r="D375" s="2944">
        <v>2050</v>
      </c>
      <c r="E375" s="2944">
        <v>2020</v>
      </c>
      <c r="F375" s="2944">
        <v>520</v>
      </c>
      <c r="G375" s="2957">
        <v>1240</v>
      </c>
    </row>
    <row r="376" spans="1:7" s="2779" customFormat="1">
      <c r="A376" s="2944" t="s">
        <v>3149</v>
      </c>
      <c r="B376" s="2944" t="s">
        <v>277</v>
      </c>
      <c r="C376" s="2944">
        <v>2010</v>
      </c>
      <c r="D376" s="2944">
        <v>1980</v>
      </c>
      <c r="E376" s="2944">
        <v>1940</v>
      </c>
      <c r="F376" s="2944">
        <v>540</v>
      </c>
      <c r="G376" s="2957">
        <v>1190</v>
      </c>
    </row>
    <row r="377" spans="1:7" s="2779" customFormat="1" ht="12" thickBot="1">
      <c r="A377" s="2952" t="s">
        <v>3149</v>
      </c>
      <c r="B377" s="2955" t="s">
        <v>2911</v>
      </c>
      <c r="C377" s="2955">
        <v>1930</v>
      </c>
      <c r="D377" s="2955">
        <v>1890</v>
      </c>
      <c r="E377" s="2955">
        <v>1860</v>
      </c>
      <c r="F377" s="2955">
        <v>530</v>
      </c>
      <c r="G377" s="2960">
        <v>1150</v>
      </c>
    </row>
    <row r="378" spans="1:7" s="2779" customFormat="1">
      <c r="A378" s="2961" t="s">
        <v>3159</v>
      </c>
      <c r="B378" s="2940" t="s">
        <v>3160</v>
      </c>
      <c r="C378" s="2940">
        <v>1520</v>
      </c>
      <c r="D378" s="2940">
        <v>1490</v>
      </c>
      <c r="E378" s="2940">
        <v>1460</v>
      </c>
      <c r="F378" s="2940">
        <v>460</v>
      </c>
      <c r="G378" s="2956">
        <v>940</v>
      </c>
    </row>
    <row r="379" spans="1:7" s="2779" customFormat="1">
      <c r="A379" s="2962" t="s">
        <v>3159</v>
      </c>
      <c r="B379" s="2944" t="s">
        <v>3161</v>
      </c>
      <c r="C379" s="2944">
        <v>1500</v>
      </c>
      <c r="D379" s="2944">
        <v>1470</v>
      </c>
      <c r="E379" s="2944">
        <v>1430</v>
      </c>
      <c r="F379" s="2944">
        <v>460</v>
      </c>
      <c r="G379" s="2957">
        <v>920</v>
      </c>
    </row>
    <row r="380" spans="1:7" s="2779" customFormat="1">
      <c r="A380" s="2962" t="s">
        <v>3159</v>
      </c>
      <c r="B380" s="2944" t="s">
        <v>3162</v>
      </c>
      <c r="C380" s="2944">
        <v>1620</v>
      </c>
      <c r="D380" s="2944">
        <v>1590</v>
      </c>
      <c r="E380" s="2944">
        <v>1560</v>
      </c>
      <c r="F380" s="2944">
        <v>480</v>
      </c>
      <c r="G380" s="2957">
        <v>1000</v>
      </c>
    </row>
    <row r="381" spans="1:7" s="2779" customFormat="1">
      <c r="A381" s="2962" t="s">
        <v>3159</v>
      </c>
      <c r="B381" s="2944" t="s">
        <v>3163</v>
      </c>
      <c r="C381" s="2944">
        <v>1460</v>
      </c>
      <c r="D381" s="2944">
        <v>1430</v>
      </c>
      <c r="E381" s="2944">
        <v>1390</v>
      </c>
      <c r="F381" s="2944">
        <v>450</v>
      </c>
      <c r="G381" s="2957">
        <v>900</v>
      </c>
    </row>
    <row r="382" spans="1:7" s="2779" customFormat="1">
      <c r="A382" s="2962" t="s">
        <v>3159</v>
      </c>
      <c r="B382" s="2944" t="s">
        <v>3164</v>
      </c>
      <c r="C382" s="2944">
        <v>1310</v>
      </c>
      <c r="D382" s="2944">
        <v>1280</v>
      </c>
      <c r="E382" s="2944">
        <v>1250</v>
      </c>
      <c r="F382" s="2944">
        <v>440</v>
      </c>
      <c r="G382" s="2957">
        <v>800</v>
      </c>
    </row>
    <row r="383" spans="1:7" s="2779" customFormat="1">
      <c r="A383" s="2962" t="s">
        <v>3159</v>
      </c>
      <c r="B383" s="2944" t="s">
        <v>3165</v>
      </c>
      <c r="C383" s="2944">
        <v>1260</v>
      </c>
      <c r="D383" s="2944">
        <v>1230</v>
      </c>
      <c r="E383" s="2944">
        <v>1200</v>
      </c>
      <c r="F383" s="2944">
        <v>420</v>
      </c>
      <c r="G383" s="2957">
        <v>770</v>
      </c>
    </row>
    <row r="384" spans="1:7" s="2779" customFormat="1" ht="12" thickBot="1">
      <c r="A384" s="2963" t="s">
        <v>3159</v>
      </c>
      <c r="B384" s="2951" t="s">
        <v>3166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45804</v>
      </c>
      <c r="D1" s="1215" t="s">
        <v>603</v>
      </c>
      <c r="E1" s="1210">
        <f>'数据-取费表'!B22</f>
        <v>2.5</v>
      </c>
      <c r="F1" s="1215" t="s">
        <v>604</v>
      </c>
      <c r="G1" s="1211">
        <f ca="1">INDIRECT("d"&amp;$K$1)/100</f>
        <v>0.03</v>
      </c>
      <c r="H1" s="1215" t="s">
        <v>634</v>
      </c>
      <c r="I1" s="1211">
        <f ca="1">F4/100</f>
        <v>1.4999999999999999E-2</v>
      </c>
      <c r="J1" s="1216">
        <f>IF(C1&gt;C13,0,MATCH(C1,C$13:C$115,-1))+IF(SUMIF(C13:C115,C1,D13:D115)=0,13,12)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2">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45097</v>
      </c>
      <c r="D18" s="1203">
        <v>3.55</v>
      </c>
      <c r="E18" s="1203">
        <f>D18</f>
        <v>3.55</v>
      </c>
      <c r="F18" s="1203">
        <f t="shared" si="0"/>
        <v>3.55</v>
      </c>
      <c r="G18" s="1203">
        <f t="shared" si="1"/>
        <v>3.55</v>
      </c>
      <c r="H18" s="1203">
        <v>4.2</v>
      </c>
      <c r="I18" s="1199"/>
      <c r="J18" s="1199"/>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3"/>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1198" t="s">
        <v>2295</v>
      </c>
      <c r="C27" s="1205">
        <v>43697</v>
      </c>
      <c r="D27" s="2571">
        <v>4.25</v>
      </c>
      <c r="E27" s="2571">
        <v>4.25</v>
      </c>
      <c r="F27" s="2571">
        <v>4.25</v>
      </c>
      <c r="G27" s="2571">
        <v>4.25</v>
      </c>
      <c r="H27" s="2571">
        <v>4.8499999999999996</v>
      </c>
      <c r="I27" s="2571"/>
      <c r="J27" s="2571"/>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4.25">
      <c r="B28" s="2574"/>
      <c r="C28" s="2575">
        <v>42301</v>
      </c>
      <c r="D28" s="2576">
        <v>4.3499999999999996</v>
      </c>
      <c r="E28" s="2576">
        <v>4.3499999999999996</v>
      </c>
      <c r="F28" s="2576">
        <v>4.75</v>
      </c>
      <c r="G28" s="2576">
        <v>4.75</v>
      </c>
      <c r="H28" s="2576">
        <v>4.9000000000000004</v>
      </c>
      <c r="I28" s="2576"/>
      <c r="J28" s="2576"/>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5" t="s">
        <v>944</v>
      </c>
      <c r="B1" s="3205"/>
      <c r="C1" s="3205"/>
      <c r="D1" s="3205"/>
    </row>
    <row r="2" spans="1:4" ht="18">
      <c r="A2" s="3206" t="s">
        <v>928</v>
      </c>
      <c r="B2" s="3206"/>
      <c r="C2" s="3206"/>
      <c r="D2" s="3206"/>
    </row>
    <row r="3" spans="1:4" ht="18.75">
      <c r="A3" s="1405" t="s">
        <v>929</v>
      </c>
      <c r="B3" s="1405" t="s">
        <v>930</v>
      </c>
      <c r="C3" s="1405" t="s">
        <v>931</v>
      </c>
      <c r="D3" s="1405" t="s">
        <v>932</v>
      </c>
    </row>
    <row r="4" spans="1:4" ht="56.25" customHeight="1">
      <c r="A4" s="1406">
        <f>项目基本情况!B4</f>
        <v>0</v>
      </c>
      <c r="B4" s="1407">
        <f>项目基本情况!C4</f>
        <v>0</v>
      </c>
      <c r="C4" s="1408"/>
      <c r="D4" s="1409" t="s">
        <v>933</v>
      </c>
    </row>
    <row r="5" spans="1:4" ht="56.25" customHeight="1">
      <c r="A5" s="1406">
        <f>项目基本情况!D4</f>
        <v>0</v>
      </c>
      <c r="B5" s="1407">
        <f>项目基本情况!E4</f>
        <v>0</v>
      </c>
      <c r="C5" s="1410"/>
      <c r="D5" s="1409" t="s">
        <v>933</v>
      </c>
    </row>
    <row r="6" spans="1:4" ht="18">
      <c r="A6" s="3206" t="s">
        <v>934</v>
      </c>
      <c r="B6" s="3206"/>
      <c r="C6" s="3206"/>
      <c r="D6" s="3206"/>
    </row>
    <row r="7" spans="1:4" ht="18.75">
      <c r="A7" s="1405" t="s">
        <v>929</v>
      </c>
      <c r="B7" s="1407" t="s">
        <v>935</v>
      </c>
      <c r="C7" s="1405" t="s">
        <v>931</v>
      </c>
      <c r="D7" s="1405" t="s">
        <v>932</v>
      </c>
    </row>
    <row r="8" spans="1:4" ht="56.25" customHeight="1">
      <c r="A8" s="1411" t="s">
        <v>390</v>
      </c>
      <c r="B8" s="1411" t="s">
        <v>0</v>
      </c>
      <c r="C8" s="1408"/>
      <c r="D8" s="1409" t="s">
        <v>933</v>
      </c>
    </row>
    <row r="10" spans="1:4" ht="18.75">
      <c r="A10" s="1412" t="s">
        <v>936</v>
      </c>
    </row>
    <row r="11" spans="1:4" ht="30" customHeight="1">
      <c r="A11" s="3207" t="s">
        <v>937</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938</v>
      </c>
      <c r="B16" s="3201"/>
      <c r="C16" s="3201"/>
      <c r="D16" s="3201"/>
    </row>
    <row r="17" spans="1:4" ht="144" customHeight="1">
      <c r="A17" s="3201" t="s">
        <v>939</v>
      </c>
      <c r="B17" s="3201"/>
      <c r="C17" s="3201"/>
      <c r="D17" s="3201"/>
    </row>
    <row r="18" spans="1:4" ht="15.75" customHeight="1">
      <c r="A18" s="3199" t="str">
        <f>IF(项目基本情况!B8="抵押",商业结果表!K120,"——")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商业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商业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940</v>
      </c>
      <c r="B22" s="3203"/>
      <c r="C22" s="3203"/>
      <c r="D22" s="3203"/>
    </row>
    <row r="23" spans="1:4">
      <c r="A23" s="1413"/>
      <c r="B23" s="459"/>
      <c r="C23" s="459"/>
      <c r="D23" s="459"/>
    </row>
    <row r="24" spans="1:4">
      <c r="A24" s="1413"/>
      <c r="B24" s="459"/>
      <c r="C24" s="459"/>
      <c r="D24" s="459"/>
    </row>
    <row r="25" spans="1:4" ht="18.75">
      <c r="A25" s="1414" t="s">
        <v>941</v>
      </c>
    </row>
    <row r="26" spans="1:4" ht="18">
      <c r="A26" s="1385"/>
    </row>
    <row r="27" spans="1:4" ht="18.75">
      <c r="A27" s="1385" t="s">
        <v>942</v>
      </c>
    </row>
    <row r="30" spans="1:4" ht="18.75">
      <c r="D30" s="1414" t="s">
        <v>943</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945</v>
      </c>
    </row>
    <row r="3" spans="1:7">
      <c r="A3" s="1418" t="s">
        <v>55</v>
      </c>
      <c r="B3" s="1403" t="s">
        <v>946</v>
      </c>
      <c r="G3" s="1419"/>
    </row>
    <row r="4" spans="1:7">
      <c r="G4" s="1419"/>
    </row>
    <row r="5" spans="1:7">
      <c r="A5" s="1421" t="s">
        <v>46</v>
      </c>
      <c r="B5" s="1403" t="s">
        <v>947</v>
      </c>
      <c r="G5" s="1419"/>
    </row>
    <row r="6" spans="1:7">
      <c r="G6" s="1419"/>
    </row>
    <row r="7" spans="1:7">
      <c r="A7" s="1422" t="s">
        <v>108</v>
      </c>
      <c r="B7" s="1403" t="s">
        <v>948</v>
      </c>
      <c r="G7" s="1419"/>
    </row>
    <row r="8" spans="1:7">
      <c r="G8" s="1419"/>
    </row>
    <row r="9" spans="1:7">
      <c r="A9" s="1423" t="s">
        <v>47</v>
      </c>
      <c r="B9" s="1403" t="s">
        <v>949</v>
      </c>
    </row>
    <row r="11" spans="1:7">
      <c r="A11" s="1424" t="s">
        <v>48</v>
      </c>
      <c r="B11" s="1425" t="s">
        <v>45</v>
      </c>
    </row>
    <row r="13" spans="1:7">
      <c r="A13" s="1426" t="s">
        <v>950</v>
      </c>
    </row>
    <row r="15" spans="1:7" ht="13.5">
      <c r="A15" s="3213" t="s">
        <v>951</v>
      </c>
      <c r="B15" s="3208" t="s">
        <v>109</v>
      </c>
      <c r="C15" s="3209"/>
    </row>
    <row r="16" spans="1:7" ht="13.5">
      <c r="A16" s="3214"/>
      <c r="B16" s="3208" t="s">
        <v>42</v>
      </c>
      <c r="C16" s="3209"/>
    </row>
    <row r="17" spans="1:3" ht="13.5">
      <c r="A17" s="3214"/>
      <c r="B17" s="3211" t="s">
        <v>952</v>
      </c>
      <c r="C17" s="1427" t="s">
        <v>951</v>
      </c>
    </row>
    <row r="18" spans="1:3" ht="13.5">
      <c r="A18" s="3214"/>
      <c r="B18" s="3211"/>
      <c r="C18" s="1427" t="s">
        <v>953</v>
      </c>
    </row>
    <row r="19" spans="1:3" ht="13.5">
      <c r="A19" s="3214"/>
      <c r="B19" s="3211"/>
      <c r="C19" s="1427" t="s">
        <v>954</v>
      </c>
    </row>
    <row r="20" spans="1:3" ht="13.5">
      <c r="A20" s="3215"/>
      <c r="B20" s="3210" t="s">
        <v>955</v>
      </c>
      <c r="C20" s="3209"/>
    </row>
    <row r="21" spans="1:3" ht="13.5">
      <c r="A21" s="1428" t="s">
        <v>956</v>
      </c>
      <c r="B21" s="1429"/>
      <c r="C21" s="1430"/>
    </row>
    <row r="22" spans="1:3" ht="13.5">
      <c r="A22" s="3212" t="s">
        <v>957</v>
      </c>
      <c r="B22" s="3210" t="s">
        <v>958</v>
      </c>
      <c r="C22" s="3209"/>
    </row>
    <row r="23" spans="1:3" ht="13.5">
      <c r="A23" s="3212"/>
      <c r="B23" s="3210" t="s">
        <v>959</v>
      </c>
      <c r="C23" s="3209"/>
    </row>
    <row r="24" spans="1:3" ht="13.5">
      <c r="A24" s="3212"/>
      <c r="B24" s="3210" t="s">
        <v>960</v>
      </c>
      <c r="C24" s="3209"/>
    </row>
    <row r="25" spans="1:3" ht="13.5">
      <c r="A25" s="3212"/>
      <c r="B25" s="3211" t="s">
        <v>961</v>
      </c>
      <c r="C25" s="1427" t="s">
        <v>962</v>
      </c>
    </row>
    <row r="26" spans="1:3" ht="13.5">
      <c r="A26" s="3212"/>
      <c r="B26" s="3211"/>
      <c r="C26" s="1427" t="s">
        <v>963</v>
      </c>
    </row>
    <row r="27" spans="1:3" ht="13.5">
      <c r="A27" s="3212"/>
      <c r="B27" s="3211"/>
      <c r="C27" s="1427" t="s">
        <v>964</v>
      </c>
    </row>
    <row r="28" spans="1:3" ht="13.5">
      <c r="A28" s="3212"/>
      <c r="B28" s="3211"/>
      <c r="C28" s="1427" t="s">
        <v>965</v>
      </c>
    </row>
    <row r="29" spans="1:3" ht="13.5">
      <c r="A29" s="3212"/>
      <c r="B29" s="3211"/>
      <c r="C29" s="1427" t="s">
        <v>966</v>
      </c>
    </row>
    <row r="30" spans="1:3" ht="13.5">
      <c r="A30" s="3212"/>
      <c r="B30" s="3211"/>
      <c r="C30" s="1427" t="s">
        <v>967</v>
      </c>
    </row>
    <row r="31" spans="1:3" ht="13.5">
      <c r="A31" s="3212"/>
      <c r="B31" s="3211"/>
      <c r="C31" s="1427" t="s">
        <v>968</v>
      </c>
    </row>
    <row r="32" spans="1:3" ht="13.5">
      <c r="A32" s="3212"/>
      <c r="B32" s="3211"/>
      <c r="C32" s="1427" t="s">
        <v>969</v>
      </c>
    </row>
    <row r="33" spans="1:3" ht="13.5">
      <c r="A33" s="3212"/>
      <c r="B33" s="3211"/>
      <c r="C33" s="1427" t="s">
        <v>970</v>
      </c>
    </row>
    <row r="34" spans="1:3">
      <c r="A34" s="1431" t="s">
        <v>49</v>
      </c>
    </row>
    <row r="37" spans="1:3">
      <c r="A37" s="1431" t="s">
        <v>971</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2134</v>
      </c>
      <c r="B2" s="2155">
        <f ca="1">TODAY()</f>
        <v>45805</v>
      </c>
      <c r="C2" s="2156" t="s">
        <v>2135</v>
      </c>
      <c r="D2" s="2156"/>
      <c r="E2" s="2156"/>
      <c r="F2" s="2152"/>
      <c r="G2" s="2152"/>
      <c r="H2" s="2152"/>
    </row>
    <row r="3" spans="1:8" ht="24" customHeight="1">
      <c r="A3" s="2157" t="s">
        <v>2136</v>
      </c>
      <c r="B3" s="1217" t="s">
        <v>2137</v>
      </c>
      <c r="C3" s="1217" t="s">
        <v>2138</v>
      </c>
      <c r="D3" s="2158" t="s">
        <v>2139</v>
      </c>
      <c r="E3" s="2159" t="s">
        <v>2140</v>
      </c>
      <c r="F3" s="1217" t="s">
        <v>2141</v>
      </c>
      <c r="G3" s="1217" t="s">
        <v>2138</v>
      </c>
      <c r="H3" s="2158" t="s">
        <v>2142</v>
      </c>
    </row>
    <row r="4" spans="1:8" ht="24" customHeight="1">
      <c r="A4" s="1217" t="s">
        <v>2143</v>
      </c>
      <c r="B4" s="1217">
        <f ca="1">IF(C4&lt;B2,"已过期",1119970066)</f>
        <v>1119970066</v>
      </c>
      <c r="C4" s="2160">
        <v>45937</v>
      </c>
      <c r="D4" s="2161" t="str">
        <f ca="1">A4&amp;"（注册号："&amp;B4&amp;"）"</f>
        <v>梁津（注册号：1119970066）</v>
      </c>
      <c r="E4" s="2162" t="s">
        <v>2143</v>
      </c>
      <c r="F4" s="1217">
        <f ca="1">IF(G4&lt;B2,"已过期",96010014)</f>
        <v>96010014</v>
      </c>
      <c r="G4" s="2163">
        <v>47118</v>
      </c>
      <c r="H4" s="2164" t="str">
        <f ca="1">E4&amp;"（注册号："&amp;F4&amp;"）"</f>
        <v>梁津（注册号：96010014）</v>
      </c>
    </row>
    <row r="5" spans="1:8" ht="24" customHeight="1">
      <c r="A5" s="1217" t="s">
        <v>2144</v>
      </c>
      <c r="B5" s="1217">
        <f ca="1">IF(C5&lt;B2,"已过期",1119970111)</f>
        <v>1119970111</v>
      </c>
      <c r="C5" s="2160">
        <v>45937</v>
      </c>
      <c r="D5" s="2161" t="str">
        <f t="shared" ref="D5:D15" ca="1" si="0">A5&amp;"（注册号："&amp;B5&amp;"）"</f>
        <v>叶凌（注册号：1119970111）</v>
      </c>
      <c r="E5" s="2162" t="s">
        <v>2144</v>
      </c>
      <c r="F5" s="1217">
        <f ca="1">IF(G5&lt;B2,"已过期",94010078)</f>
        <v>94010078</v>
      </c>
      <c r="G5" s="2163">
        <v>46387</v>
      </c>
      <c r="H5" s="2164" t="str">
        <f t="shared" ref="H5:H16" ca="1" si="1">E5&amp;"（注册号："&amp;F5&amp;"）"</f>
        <v>叶凌（注册号：94010078）</v>
      </c>
    </row>
    <row r="6" spans="1:8" ht="24" customHeight="1">
      <c r="A6" s="1217" t="s">
        <v>2145</v>
      </c>
      <c r="B6" s="1217" t="str">
        <f ca="1">IF(C6&lt;B2,"已过期",1120050019)</f>
        <v>已过期</v>
      </c>
      <c r="C6" s="2160">
        <v>45410</v>
      </c>
      <c r="D6" s="2161" t="str">
        <f t="shared" ca="1" si="0"/>
        <v>王鹏（注册号：已过期）</v>
      </c>
      <c r="E6" s="2162" t="s">
        <v>2145</v>
      </c>
      <c r="F6" s="1217">
        <f ca="1">IF(G6&lt;B2,"已过期",2002110030)</f>
        <v>2002110030</v>
      </c>
      <c r="G6" s="2163">
        <v>46387</v>
      </c>
      <c r="H6" s="2164" t="str">
        <f t="shared" ca="1" si="1"/>
        <v>王鹏（注册号：2002110030）</v>
      </c>
    </row>
    <row r="7" spans="1:8" ht="24" customHeight="1">
      <c r="A7" s="1217" t="s">
        <v>2146</v>
      </c>
      <c r="B7" s="1217">
        <f ca="1">IF(C7&lt;B2,"已过期",1120000080)</f>
        <v>1120000080</v>
      </c>
      <c r="C7" s="2160">
        <v>45937</v>
      </c>
      <c r="D7" s="2161" t="str">
        <f t="shared" ca="1" si="0"/>
        <v>欧红伟（注册号：1120000080）</v>
      </c>
      <c r="E7" s="2162" t="s">
        <v>2146</v>
      </c>
      <c r="F7" s="1217">
        <f ca="1">IF(G7&lt;B2,"已过期",2000110082)</f>
        <v>2000110082</v>
      </c>
      <c r="G7" s="2163">
        <v>46387</v>
      </c>
      <c r="H7" s="2164" t="str">
        <f t="shared" ca="1" si="1"/>
        <v>欧红伟（注册号：2000110082）</v>
      </c>
    </row>
    <row r="8" spans="1:8" ht="24" customHeight="1">
      <c r="A8" s="1217" t="s">
        <v>2147</v>
      </c>
      <c r="B8" s="1217">
        <f ca="1">IF(C8&lt;B2,"已过期",1419970001)</f>
        <v>1419970001</v>
      </c>
      <c r="C8" s="2160">
        <v>45937</v>
      </c>
      <c r="D8" s="2161" t="str">
        <f t="shared" ca="1" si="0"/>
        <v>吴薇（注册号：1419970001）</v>
      </c>
      <c r="E8" s="2162" t="s">
        <v>2147</v>
      </c>
      <c r="F8" s="1217">
        <f ca="1">IF(G8&lt;B2,"已过期",2002110125)</f>
        <v>2002110125</v>
      </c>
      <c r="G8" s="2163">
        <v>47118</v>
      </c>
      <c r="H8" s="2164" t="str">
        <f t="shared" ca="1" si="1"/>
        <v>吴薇（注册号：2002110125）</v>
      </c>
    </row>
    <row r="9" spans="1:8" ht="24" customHeight="1">
      <c r="A9" s="1217" t="s">
        <v>2148</v>
      </c>
      <c r="B9" s="1217" t="str">
        <f ca="1">IF(C9&lt;B2,"已过期",1120060040)</f>
        <v>已过期</v>
      </c>
      <c r="C9" s="2165">
        <v>45592</v>
      </c>
      <c r="D9" s="2161" t="str">
        <f t="shared" ca="1" si="0"/>
        <v>陈颖（注册号：已过期）</v>
      </c>
      <c r="E9" s="2162" t="s">
        <v>2148</v>
      </c>
      <c r="F9" s="1217">
        <f ca="1">IF(G9&lt;B2,"已过期",2004110096)</f>
        <v>2004110096</v>
      </c>
      <c r="G9" s="2163">
        <v>47118</v>
      </c>
      <c r="H9" s="2164" t="str">
        <f t="shared" ca="1" si="1"/>
        <v>陈颖（注册号：2004110096）</v>
      </c>
    </row>
    <row r="10" spans="1:8" ht="24" customHeight="1">
      <c r="A10" s="1217" t="s">
        <v>2149</v>
      </c>
      <c r="B10" s="1217" t="str">
        <f ca="1">IF(C10&lt;B2,"已过期",1120100036)</f>
        <v>已过期</v>
      </c>
      <c r="C10" s="2165">
        <v>45752</v>
      </c>
      <c r="D10" s="2161" t="str">
        <f t="shared" ca="1" si="0"/>
        <v>崔锴（注册号：已过期）</v>
      </c>
      <c r="E10" s="2162" t="s">
        <v>2149</v>
      </c>
      <c r="F10" s="1217">
        <f ca="1">IF(G10&lt;B2,"已过期",2010110070)</f>
        <v>2010110070</v>
      </c>
      <c r="G10" s="2163">
        <v>47907</v>
      </c>
      <c r="H10" s="2164" t="str">
        <f t="shared" ca="1" si="1"/>
        <v>崔锴（注册号：2010110070）</v>
      </c>
    </row>
    <row r="11" spans="1:8" ht="24" customHeight="1">
      <c r="A11" s="1217" t="s">
        <v>2150</v>
      </c>
      <c r="B11" s="1217">
        <f ca="1">IF(C11&lt;B2,"已过期",1120070131)</f>
        <v>1120070131</v>
      </c>
      <c r="C11" s="2160">
        <v>45937</v>
      </c>
      <c r="D11" s="2161" t="str">
        <f t="shared" ca="1" si="0"/>
        <v>郑燚（注册号：1120070131）</v>
      </c>
      <c r="E11" s="2162" t="s">
        <v>2150</v>
      </c>
      <c r="F11" s="1217">
        <f ca="1">IF(G11&lt;B2,"已过期",2014110011)</f>
        <v>2014110011</v>
      </c>
      <c r="G11" s="2163">
        <v>49302</v>
      </c>
      <c r="H11" s="2164" t="str">
        <f t="shared" ca="1" si="1"/>
        <v>郑燚（注册号：2014110011）</v>
      </c>
    </row>
    <row r="12" spans="1:8" ht="24" customHeight="1">
      <c r="A12" s="1217" t="s">
        <v>2151</v>
      </c>
      <c r="B12" s="1217">
        <f ca="1">IF(C12&lt;B2,"已过期",1120040230)</f>
        <v>1120040230</v>
      </c>
      <c r="C12" s="2165">
        <v>45937</v>
      </c>
      <c r="D12" s="2161" t="str">
        <f t="shared" ca="1" si="0"/>
        <v>苏海（注册号：1120040230）</v>
      </c>
      <c r="E12" s="2162" t="s">
        <v>2151</v>
      </c>
      <c r="F12" s="1217">
        <f ca="1">IF(G12&lt;B2,"已过期",98030020)</f>
        <v>98030020</v>
      </c>
      <c r="G12" s="2163">
        <v>47118</v>
      </c>
      <c r="H12" s="2164" t="str">
        <f t="shared" ca="1" si="1"/>
        <v>苏海（注册号：98030020）</v>
      </c>
    </row>
    <row r="13" spans="1:8" ht="24" customHeight="1">
      <c r="A13" s="1217" t="s">
        <v>2152</v>
      </c>
      <c r="B13" s="1217" t="str">
        <f ca="1">IF(C13&lt;B2,"已过期",1120020033)</f>
        <v>已过期</v>
      </c>
      <c r="C13" s="2160">
        <v>45375</v>
      </c>
      <c r="D13" s="2161" t="str">
        <f t="shared" ca="1" si="0"/>
        <v>刘敬东（注册号：已过期）</v>
      </c>
      <c r="E13" s="2162" t="s">
        <v>2152</v>
      </c>
      <c r="F13" s="1217">
        <f ca="1">IF(G13&lt;B2,"已过期",2000110137)</f>
        <v>2000110137</v>
      </c>
      <c r="G13" s="2163">
        <v>46387</v>
      </c>
      <c r="H13" s="2164" t="str">
        <f t="shared" ca="1" si="1"/>
        <v>刘敬东（注册号：2000110137）</v>
      </c>
    </row>
    <row r="14" spans="1:8" ht="24" customHeight="1">
      <c r="A14" s="1217" t="s">
        <v>2153</v>
      </c>
      <c r="B14" s="1217" t="str">
        <f ca="1">IF(C14&lt;B2,"已过期",1119980106)</f>
        <v>已过期</v>
      </c>
      <c r="C14" s="2165">
        <v>44969</v>
      </c>
      <c r="D14" s="2161" t="str">
        <f t="shared" ca="1" si="0"/>
        <v>刘俊财（注册号：已过期）</v>
      </c>
      <c r="E14" s="2162" t="s">
        <v>2153</v>
      </c>
      <c r="F14" s="1217">
        <f ca="1">IF(G14&lt;B2,"已过期",96010063)</f>
        <v>96010063</v>
      </c>
      <c r="G14" s="2163">
        <v>47483</v>
      </c>
      <c r="H14" s="2164" t="str">
        <f t="shared" ca="1" si="1"/>
        <v>刘俊财（注册号：96010063）</v>
      </c>
    </row>
    <row r="15" spans="1:8" ht="24" customHeight="1">
      <c r="A15" s="1217" t="s">
        <v>2423</v>
      </c>
      <c r="B15" s="1217">
        <v>1120210056</v>
      </c>
      <c r="C15" s="2165">
        <v>45410</v>
      </c>
      <c r="D15" s="2161" t="str">
        <f t="shared" si="0"/>
        <v>宁小鳗（注册号：1120210056）</v>
      </c>
      <c r="E15" s="2162" t="s">
        <v>2154</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6" t="s">
        <v>2155</v>
      </c>
      <c r="B17" s="3216"/>
      <c r="C17" s="3216"/>
      <c r="D17" s="3216"/>
      <c r="E17" s="3216"/>
      <c r="F17" s="3216"/>
      <c r="G17" s="3216"/>
      <c r="H17" s="3216"/>
    </row>
    <row r="18" spans="1:8" ht="24" customHeight="1">
      <c r="A18" s="3217" t="s">
        <v>2156</v>
      </c>
      <c r="B18" s="3217"/>
      <c r="C18" s="3217"/>
      <c r="D18" s="2158"/>
      <c r="E18" s="3218" t="s">
        <v>2157</v>
      </c>
      <c r="F18" s="3217"/>
      <c r="G18" s="3217"/>
    </row>
    <row r="19" spans="1:8" s="2168" customFormat="1" ht="24" customHeight="1">
      <c r="A19" s="2167" t="s">
        <v>2158</v>
      </c>
      <c r="B19" s="1217" t="s">
        <v>2159</v>
      </c>
      <c r="C19" s="1217" t="s">
        <v>2138</v>
      </c>
      <c r="D19" s="2158"/>
      <c r="E19" s="2162" t="s">
        <v>2158</v>
      </c>
      <c r="F19" s="1217" t="s">
        <v>2159</v>
      </c>
      <c r="G19" s="1217" t="s">
        <v>2138</v>
      </c>
    </row>
    <row r="20" spans="1:8" s="2168" customFormat="1" ht="24" customHeight="1">
      <c r="A20" s="2169" t="s">
        <v>2160</v>
      </c>
      <c r="B20" s="2169" t="s">
        <v>2161</v>
      </c>
      <c r="C20" s="2163">
        <v>45898</v>
      </c>
      <c r="D20" s="2170"/>
      <c r="E20" s="2171" t="s">
        <v>2162</v>
      </c>
      <c r="F20" s="2174" t="s">
        <v>2424</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98" priority="32" stopIfTrue="1" operator="equal">
      <formula>"已过期"</formula>
    </cfRule>
  </conditionalFormatting>
  <conditionalFormatting sqref="B4:B15">
    <cfRule type="cellIs" dxfId="197" priority="4" stopIfTrue="1" operator="equal">
      <formula>"已过期"</formula>
    </cfRule>
  </conditionalFormatting>
  <conditionalFormatting sqref="C7:C12">
    <cfRule type="expression" dxfId="196" priority="22">
      <formula>AND($C7-TODAY()&lt;30,TODAY()&lt;$C7)</formula>
    </cfRule>
    <cfRule type="cellIs" dxfId="195" priority="23" stopIfTrue="1" operator="lessThan">
      <formula>$B$2</formula>
    </cfRule>
  </conditionalFormatting>
  <conditionalFormatting sqref="C14:C15">
    <cfRule type="expression" dxfId="194" priority="7">
      <formula>AND($C14-TODAY()&lt;30,TODAY()&lt;$C14)</formula>
    </cfRule>
    <cfRule type="cellIs" dxfId="193" priority="8" stopIfTrue="1" operator="lessThan">
      <formula>$B$2</formula>
    </cfRule>
  </conditionalFormatting>
  <conditionalFormatting sqref="C4:D6 D14">
    <cfRule type="cellIs" dxfId="192" priority="50" stopIfTrue="1" operator="lessThan">
      <formula>$B$2</formula>
    </cfRule>
  </conditionalFormatting>
  <conditionalFormatting sqref="C12:D13">
    <cfRule type="expression" dxfId="191" priority="47">
      <formula>AND($C12-TODAY()&lt;30,TODAY()&lt;$C12)</formula>
    </cfRule>
  </conditionalFormatting>
  <conditionalFormatting sqref="C13:D14">
    <cfRule type="expression" dxfId="190" priority="18">
      <formula>AND($C13-TODAY()&lt;30,TODAY()&lt;$C13)</formula>
    </cfRule>
    <cfRule type="cellIs" dxfId="189" priority="19" stopIfTrue="1" operator="lessThan">
      <formula>$B$2</formula>
    </cfRule>
  </conditionalFormatting>
  <conditionalFormatting sqref="C15:D15">
    <cfRule type="expression" dxfId="188" priority="5">
      <formula>AND($C15-TODAY()&lt;30,TODAY()&lt;$C15)</formula>
    </cfRule>
    <cfRule type="cellIs" dxfId="187" priority="6" stopIfTrue="1" operator="lessThan">
      <formula>$B$2</formula>
    </cfRule>
  </conditionalFormatting>
  <conditionalFormatting sqref="C20:D20 C13:D13">
    <cfRule type="cellIs" dxfId="186" priority="54" stopIfTrue="1" operator="lessThan">
      <formula>$B$2</formula>
    </cfRule>
  </conditionalFormatting>
  <conditionalFormatting sqref="C20:D20">
    <cfRule type="expression" dxfId="185" priority="52">
      <formula>AND($C20-TODAY()&lt;30,TODAY()&lt;$C20)</formula>
    </cfRule>
  </conditionalFormatting>
  <conditionalFormatting sqref="D7:D12 D16">
    <cfRule type="expression" dxfId="184" priority="53">
      <formula>AND($C7-TODAY()&lt;30,TODAY()&lt;$C7)</formula>
    </cfRule>
  </conditionalFormatting>
  <conditionalFormatting sqref="D7:D12">
    <cfRule type="cellIs" dxfId="183" priority="48" stopIfTrue="1" operator="lessThan">
      <formula>$B$2</formula>
    </cfRule>
  </conditionalFormatting>
  <conditionalFormatting sqref="D14 C4:D6">
    <cfRule type="expression" dxfId="182" priority="49">
      <formula>AND($C4-TODAY()&lt;30,TODAY()&lt;$C4)</formula>
    </cfRule>
  </conditionalFormatting>
  <conditionalFormatting sqref="D15:D16">
    <cfRule type="expression" dxfId="181" priority="12">
      <formula>AND($C15-TODAY()&lt;30,TODAY()&lt;$C15)</formula>
    </cfRule>
    <cfRule type="cellIs" dxfId="180" priority="13" stopIfTrue="1" operator="lessThan">
      <formula>$B$2</formula>
    </cfRule>
  </conditionalFormatting>
  <conditionalFormatting sqref="E16:G16">
    <cfRule type="cellIs" dxfId="179" priority="31" stopIfTrue="1" operator="equal">
      <formula>"已过期"</formula>
    </cfRule>
  </conditionalFormatting>
  <conditionalFormatting sqref="F4:F15">
    <cfRule type="cellIs" dxfId="178" priority="9" stopIfTrue="1" operator="equal">
      <formula>"已过期"</formula>
    </cfRule>
  </conditionalFormatting>
  <conditionalFormatting sqref="G4:G15">
    <cfRule type="cellIs" dxfId="177" priority="3" stopIfTrue="1" operator="lessThan">
      <formula>$B$2</formula>
    </cfRule>
  </conditionalFormatting>
  <conditionalFormatting sqref="G20:G21">
    <cfRule type="expression" dxfId="176" priority="1" stopIfTrue="1">
      <formula>AND(#REF!-TODAY()&lt;30,TODAY()&lt;#REF!)</formula>
    </cfRule>
    <cfRule type="cellIs" dxfId="17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162</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Sheet1</vt:lpstr>
      <vt:lpstr>数据-基础表</vt:lpstr>
      <vt:lpstr>数据-汇总表</vt:lpstr>
      <vt:lpstr>数据-取费表</vt:lpstr>
      <vt:lpstr>估价对象房地状况</vt:lpstr>
      <vt:lpstr>系统读取表</vt:lpstr>
      <vt:lpstr>商业结果表</vt:lpstr>
      <vt:lpstr>商业成本法</vt:lpstr>
      <vt:lpstr>成本法 (元)</vt:lpstr>
      <vt:lpstr>假设开发法</vt:lpstr>
      <vt:lpstr>收益法 (元)</vt:lpstr>
      <vt:lpstr>收益法-酒店模型</vt:lpstr>
      <vt:lpstr>商业收益法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商业-基准地价修正</vt:lpstr>
      <vt:lpstr>办公结果表 </vt:lpstr>
      <vt:lpstr>办公成本法</vt:lpstr>
      <vt:lpstr>办公收益法 </vt:lpstr>
      <vt:lpstr>办公-基准地价修正</vt:lpstr>
      <vt:lpstr>地下车库结果表</vt:lpstr>
      <vt:lpstr>地下车库成本法</vt:lpstr>
      <vt:lpstr>地下车库收益法</vt:lpstr>
      <vt:lpstr>车库-基准地价修正</vt:lpstr>
      <vt:lpstr>修正</vt:lpstr>
      <vt:lpstr>容积率修正</vt:lpstr>
      <vt:lpstr>成本法（废）</vt:lpstr>
      <vt:lpstr>因素修正幅度</vt:lpstr>
      <vt:lpstr>区片价（范围）</vt:lpstr>
      <vt:lpstr>地价-分区</vt:lpstr>
      <vt:lpstr>地价</vt:lpstr>
      <vt:lpstr>区片价</vt:lpstr>
      <vt:lpstr>存贷款利率</vt:lpstr>
      <vt:lpstr>办公成本法!Print_Area</vt:lpstr>
      <vt:lpstr>'办公-基准地价修正'!Print_Area</vt:lpstr>
      <vt:lpstr>'办公结果表 '!Print_Area</vt:lpstr>
      <vt:lpstr>'办公收益法 '!Print_Area</vt:lpstr>
      <vt:lpstr>'比较法-办公'!Print_Area</vt:lpstr>
      <vt:lpstr>'比较法-仓储'!Print_Area</vt:lpstr>
      <vt:lpstr>'比较法-车位'!Print_Area</vt:lpstr>
      <vt:lpstr>'比较法-工业'!Print_Area</vt:lpstr>
      <vt:lpstr>'比较法-商业'!Print_Area</vt:lpstr>
      <vt:lpstr>'比较法-住宅'!Print_Area</vt:lpstr>
      <vt:lpstr>'车库-基准地价修正'!Print_Area</vt:lpstr>
      <vt:lpstr>'成本法 (元)'!Print_Area</vt:lpstr>
      <vt:lpstr>地下车库成本法!Print_Area</vt:lpstr>
      <vt:lpstr>地下车库结果表!Print_Area</vt:lpstr>
      <vt:lpstr>地下车库收益法!Print_Area</vt:lpstr>
      <vt:lpstr>估价对象房地状况!Print_Area</vt:lpstr>
      <vt:lpstr>估价师及机构信息!Print_Area</vt:lpstr>
      <vt:lpstr>'基准地价（汇总）'!Print_Area</vt:lpstr>
      <vt:lpstr>假设开发法!Print_Area</vt:lpstr>
      <vt:lpstr>商业成本法!Print_Area</vt:lpstr>
      <vt:lpstr>'商业-基准地价修正'!Print_Area</vt:lpstr>
      <vt:lpstr>商业结果表!Print_Area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'办公-基准地价修正'!季度</vt:lpstr>
      <vt:lpstr>'车库-基准地价修正'!季度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2025-05-28T05:53:48Z</dcterms:modified>
</cp:coreProperties>
</file>