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20" windowWidth="20730" windowHeight="553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收益法" sheetId="15" r:id="rId20"/>
    <sheet name="成本法" sheetId="68" r:id="rId21"/>
    <sheet name="成本法 (元)" sheetId="69" state="hidden" r:id="rId22"/>
    <sheet name="假设开发法" sheetId="12"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8">结果表!$A$1:$I$127</definedName>
    <definedName name="_xlnm.Print_Area" localSheetId="19">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G44" i="43"/>
  <c r="D42" i="43"/>
  <c r="D33" i="43"/>
  <c r="E19" i="43"/>
  <c r="G19" i="43" s="1"/>
  <c r="AH6" i="1"/>
  <c r="Y6" i="1"/>
  <c r="N19" i="1" l="1"/>
  <c r="G19" i="6"/>
  <c r="F19" i="6"/>
  <c r="K13" i="3"/>
  <c r="I13" i="3"/>
  <c r="A3" i="3"/>
  <c r="H8" i="80"/>
  <c r="I8" i="80"/>
  <c r="J8" i="80"/>
  <c r="I6" i="80"/>
  <c r="H6" i="80"/>
  <c r="I7" i="80"/>
  <c r="H7" i="80"/>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T25" i="79"/>
  <c r="W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M15" i="79"/>
  <c r="L15" i="79"/>
  <c r="K15" i="79"/>
  <c r="R15" i="79" s="1"/>
  <c r="I15" i="79"/>
  <c r="AD14" i="79"/>
  <c r="AC14" i="79"/>
  <c r="AB14" i="79"/>
  <c r="AA14" i="79"/>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D7" i="78"/>
  <c r="D6" i="78"/>
  <c r="D5" i="78"/>
  <c r="F93" i="43" l="1"/>
  <c r="H97" i="43" s="1"/>
  <c r="C18" i="78"/>
  <c r="G23" i="78"/>
  <c r="G24" i="78"/>
  <c r="G25" i="78"/>
  <c r="B15" i="78"/>
  <c r="B18" i="78"/>
  <c r="G16" i="73"/>
  <c r="F16" i="73"/>
  <c r="E16" i="73"/>
  <c r="H96" i="43" l="1"/>
  <c r="H101" i="43"/>
  <c r="H98" i="43"/>
  <c r="H95" i="43"/>
  <c r="H100" i="43"/>
  <c r="H99" i="43"/>
  <c r="H93" i="43"/>
  <c r="H94" i="43"/>
  <c r="G17" i="73"/>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C32" i="77" s="1"/>
  <c r="C38" i="77" s="1"/>
  <c r="C39" i="77" s="1"/>
  <c r="R14" i="77"/>
  <c r="R24" i="77" s="1"/>
  <c r="R25" i="77"/>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c r="U48" i="71" s="1"/>
  <c r="O45" i="71"/>
  <c r="C46" i="71" s="1"/>
  <c r="C47"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N41" i="71"/>
  <c r="B42" i="71" s="1"/>
  <c r="B43" i="71"/>
  <c r="B44" i="71" s="1"/>
  <c r="S44" i="71" s="1"/>
  <c r="D41" i="71"/>
  <c r="Q40" i="71"/>
  <c r="P40" i="71"/>
  <c r="O40" i="71"/>
  <c r="N40" i="71"/>
  <c r="AB39" i="71"/>
  <c r="Q39" i="71"/>
  <c r="P39" i="71"/>
  <c r="O39" i="71"/>
  <c r="N39" i="71"/>
  <c r="X39" i="71"/>
  <c r="Q38" i="71"/>
  <c r="AB38" i="71"/>
  <c r="P38" i="71"/>
  <c r="O38" i="71"/>
  <c r="N38" i="71"/>
  <c r="Q37" i="71"/>
  <c r="AB34" i="71" s="1"/>
  <c r="P37" i="71"/>
  <c r="O37" i="71"/>
  <c r="C38" i="71" s="1"/>
  <c r="C39" i="71" s="1"/>
  <c r="N37" i="71"/>
  <c r="D37" i="71"/>
  <c r="Q36" i="71"/>
  <c r="AB36" i="71"/>
  <c r="P36" i="71"/>
  <c r="O36" i="71"/>
  <c r="Y36" i="71" s="1"/>
  <c r="Z36" i="71" s="1"/>
  <c r="N36" i="71"/>
  <c r="Q35" i="71"/>
  <c r="P35" i="71"/>
  <c r="O35" i="71"/>
  <c r="Y35" i="71"/>
  <c r="Z35" i="71" s="1"/>
  <c r="N35" i="71"/>
  <c r="Q34" i="71"/>
  <c r="P34" i="71"/>
  <c r="O34" i="71"/>
  <c r="N34" i="71"/>
  <c r="Q33" i="71"/>
  <c r="AB30" i="71" s="1"/>
  <c r="P33" i="71"/>
  <c r="O33" i="71"/>
  <c r="N33" i="71"/>
  <c r="D33" i="71"/>
  <c r="Q32" i="71"/>
  <c r="AB32" i="71"/>
  <c r="P32" i="71"/>
  <c r="O32" i="71"/>
  <c r="Y32" i="71" s="1"/>
  <c r="Z32" i="71" s="1"/>
  <c r="N32" i="71"/>
  <c r="Q31" i="71"/>
  <c r="P31" i="71"/>
  <c r="O31" i="71"/>
  <c r="Y31" i="71"/>
  <c r="Z31" i="71" s="1"/>
  <c r="N31" i="71"/>
  <c r="X29" i="71" s="1"/>
  <c r="Q30" i="71"/>
  <c r="P30" i="71"/>
  <c r="O30" i="71"/>
  <c r="N30" i="71"/>
  <c r="Q29" i="71"/>
  <c r="AB29" i="71" s="1"/>
  <c r="P29" i="71"/>
  <c r="O29" i="7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F51" i="71"/>
  <c r="F52" i="71"/>
  <c r="V52" i="71" s="1"/>
  <c r="C28" i="71"/>
  <c r="C27" i="71" s="1"/>
  <c r="X25" i="71"/>
  <c r="X27" i="71"/>
  <c r="C31" i="71"/>
  <c r="D34" i="71"/>
  <c r="D38" i="71"/>
  <c r="D42" i="71"/>
  <c r="D47" i="71"/>
  <c r="D46" i="71"/>
  <c r="C51" i="71"/>
  <c r="D50" i="71"/>
  <c r="P28" i="71"/>
  <c r="AA24" i="71" s="1"/>
  <c r="E55" i="71"/>
  <c r="E56" i="71"/>
  <c r="U56" i="71" s="1"/>
  <c r="E59" i="71"/>
  <c r="E60" i="71" s="1"/>
  <c r="U60" i="71" s="1"/>
  <c r="E63" i="71"/>
  <c r="E64" i="71"/>
  <c r="U64" i="71" s="1"/>
  <c r="U68" i="71"/>
  <c r="E67" i="71"/>
  <c r="Q28" i="71"/>
  <c r="C55" i="71"/>
  <c r="D54" i="71"/>
  <c r="C59" i="71"/>
  <c r="D58" i="71"/>
  <c r="C63" i="71"/>
  <c r="C64" i="71" s="1"/>
  <c r="D62"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F28" i="71"/>
  <c r="F27" i="71"/>
  <c r="F26" i="71" s="1"/>
  <c r="AB25" i="71"/>
  <c r="AB26" i="71"/>
  <c r="AB27" i="71"/>
  <c r="AB28" i="71"/>
  <c r="E28" i="71"/>
  <c r="E27" i="71" s="1"/>
  <c r="E26" i="71" s="1"/>
  <c r="AA25" i="71"/>
  <c r="AA27" i="71"/>
  <c r="AA28" i="71"/>
  <c r="D28" i="71"/>
  <c r="U28" i="71" s="1"/>
  <c r="C66" i="71"/>
  <c r="D66" i="71" s="1"/>
  <c r="D67" i="71"/>
  <c r="D63" i="71"/>
  <c r="C82" i="71"/>
  <c r="D82" i="71" s="1"/>
  <c r="D75" i="71"/>
  <c r="N65" i="71"/>
  <c r="N66" i="71"/>
  <c r="D87" i="71"/>
  <c r="C86" i="71"/>
  <c r="D86" i="71" s="1"/>
  <c r="D79" i="71"/>
  <c r="C70" i="71"/>
  <c r="D70" i="71" s="1"/>
  <c r="C60" i="71"/>
  <c r="T60" i="71" s="1"/>
  <c r="D59" i="71"/>
  <c r="C56" i="71"/>
  <c r="T56" i="71" s="1"/>
  <c r="D55" i="71"/>
  <c r="P67" i="71"/>
  <c r="E66" i="71"/>
  <c r="C52" i="71"/>
  <c r="T52" i="71" s="1"/>
  <c r="D51" i="71"/>
  <c r="C44" i="71"/>
  <c r="T44" i="71" s="1"/>
  <c r="D43" i="71"/>
  <c r="C40" i="71"/>
  <c r="T40" i="71" s="1"/>
  <c r="D39" i="71"/>
  <c r="C36" i="71"/>
  <c r="T36" i="71" s="1"/>
  <c r="D35" i="71"/>
  <c r="C32" i="71"/>
  <c r="T32" i="71" s="1"/>
  <c r="D31" i="71"/>
  <c r="P65" i="71"/>
  <c r="P66" i="71"/>
  <c r="O66" i="71"/>
  <c r="O65" i="71"/>
  <c r="D32" i="71"/>
  <c r="D36" i="71"/>
  <c r="D40" i="71"/>
  <c r="D44"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Q11" i="34"/>
  <c r="Z11" i="34" s="1"/>
  <c r="Q10" i="34"/>
  <c r="Z10" i="34" s="1"/>
  <c r="F10" i="34"/>
  <c r="AA10" i="34" s="1"/>
  <c r="Q9" i="34"/>
  <c r="Z9" i="34"/>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B12" i="36"/>
  <c r="W32" i="40"/>
  <c r="S44" i="39"/>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G123" i="21"/>
  <c r="H123" i="21" s="1"/>
  <c r="I123" i="21"/>
  <c r="J123" i="21" s="1"/>
  <c r="K123" i="21" s="1"/>
  <c r="L123" i="21" s="1"/>
  <c r="M123" i="21" s="1"/>
  <c r="J42" i="21"/>
  <c r="AC42" i="21"/>
  <c r="H42" i="21"/>
  <c r="U42" i="21"/>
  <c r="J44" i="34"/>
  <c r="F44" i="34"/>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c r="J10" i="36"/>
  <c r="AC10" i="36" s="1"/>
  <c r="AB26" i="33"/>
  <c r="AB30" i="21"/>
  <c r="AA14" i="37"/>
  <c r="W31" i="34"/>
  <c r="W13" i="36"/>
  <c r="S11" i="36"/>
  <c r="AB46" i="34"/>
  <c r="AA14" i="34"/>
  <c r="AB45" i="33"/>
  <c r="U31" i="33"/>
  <c r="AC28" i="21"/>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AZ583" i="3"/>
  <c r="BQ581" i="3"/>
  <c r="BL581" i="3"/>
  <c r="BQ579" i="3"/>
  <c r="BL579" i="3"/>
  <c r="BQ577" i="3"/>
  <c r="BL577" i="3" s="1"/>
  <c r="AZ577" i="3"/>
  <c r="BQ575" i="3"/>
  <c r="BL575" i="3"/>
  <c r="BQ573" i="3"/>
  <c r="BL573" i="3" s="1"/>
  <c r="AZ573" i="3"/>
  <c r="BQ571" i="3"/>
  <c r="BL571" i="3"/>
  <c r="BQ569" i="3"/>
  <c r="BL569" i="3" s="1"/>
  <c r="AZ569" i="3"/>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AZ555" i="3" s="1"/>
  <c r="BQ553" i="3"/>
  <c r="BL553" i="3" s="1"/>
  <c r="AZ553" i="3"/>
  <c r="BQ551" i="3"/>
  <c r="BL551" i="3"/>
  <c r="BQ549" i="3"/>
  <c r="BQ547" i="3"/>
  <c r="BL547" i="3" s="1"/>
  <c r="BQ545" i="3"/>
  <c r="BL545" i="3"/>
  <c r="AZ545" i="3" s="1"/>
  <c r="BQ543" i="3"/>
  <c r="BL543" i="3" s="1"/>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c r="AZ525" i="3" s="1"/>
  <c r="BQ523" i="3"/>
  <c r="BL523" i="3" s="1"/>
  <c r="BA521" i="3"/>
  <c r="AC521" i="3"/>
  <c r="G521" i="3"/>
  <c r="BQ521" i="3"/>
  <c r="BL521" i="3"/>
  <c r="AZ521" i="3" s="1"/>
  <c r="BL520" i="3"/>
  <c r="AZ520" i="3"/>
  <c r="G519" i="3"/>
  <c r="G517" i="3"/>
  <c r="G515" i="3"/>
  <c r="G513" i="3"/>
  <c r="G511" i="3"/>
  <c r="BQ519" i="3"/>
  <c r="BL519" i="3" s="1"/>
  <c r="AZ519" i="3"/>
  <c r="BQ517" i="3"/>
  <c r="BL517" i="3"/>
  <c r="BQ515" i="3"/>
  <c r="BL515" i="3" s="1"/>
  <c r="AZ515" i="3"/>
  <c r="BQ513" i="3"/>
  <c r="BL513" i="3"/>
  <c r="BQ511" i="3"/>
  <c r="BL511" i="3"/>
  <c r="AZ511" i="3" s="1"/>
  <c r="BA509" i="3"/>
  <c r="AC509" i="3"/>
  <c r="BQ509" i="3"/>
  <c r="BL509" i="3" s="1"/>
  <c r="AZ509" i="3" s="1"/>
  <c r="BL508" i="3"/>
  <c r="AZ508" i="3" s="1"/>
  <c r="G507" i="3"/>
  <c r="G505" i="3"/>
  <c r="G503" i="3"/>
  <c r="G501" i="3"/>
  <c r="G499" i="3"/>
  <c r="G497" i="3"/>
  <c r="G495" i="3"/>
  <c r="BQ507" i="3"/>
  <c r="BL507" i="3"/>
  <c r="BQ505" i="3"/>
  <c r="BL505" i="3" s="1"/>
  <c r="AZ505" i="3" s="1"/>
  <c r="BQ503" i="3"/>
  <c r="BL503" i="3"/>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s="1"/>
  <c r="E123" i="33"/>
  <c r="F42" i="33"/>
  <c r="AA42"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s="1"/>
  <c r="K123" i="33" s="1"/>
  <c r="L123" i="33" s="1"/>
  <c r="M123" i="33" s="1"/>
  <c r="H42" i="33"/>
  <c r="AB42" i="33" s="1"/>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c r="F71" i="37"/>
  <c r="G7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J11" i="39"/>
  <c r="W11" i="39"/>
  <c r="F11" i="39"/>
  <c r="AA11" i="39"/>
  <c r="S11" i="39"/>
  <c r="G4" i="4"/>
  <c r="I4" i="4"/>
  <c r="F61" i="43"/>
  <c r="H64" i="43" s="1"/>
  <c r="AZ20" i="3"/>
  <c r="AZ24" i="3"/>
  <c r="AZ28" i="3"/>
  <c r="AZ32"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G509" i="3"/>
  <c r="BL493" i="3"/>
  <c r="AZ491" i="3"/>
  <c r="AZ390" i="3"/>
  <c r="AZ493" i="3"/>
  <c r="U36" i="40"/>
  <c r="F83" i="43"/>
  <c r="H85" i="43" s="1"/>
  <c r="G85" i="43" s="1"/>
  <c r="K85" i="43" s="1"/>
  <c r="D85" i="43" s="1"/>
  <c r="F50" i="43"/>
  <c r="H54" i="43" s="1"/>
  <c r="F72" i="43"/>
  <c r="H75" i="43" s="1"/>
  <c r="U17" i="39"/>
  <c r="S14" i="35"/>
  <c r="U43" i="21"/>
  <c r="U35" i="21"/>
  <c r="AC35" i="21"/>
  <c r="G8" i="1"/>
  <c r="G10" i="1"/>
  <c r="AC11" i="39"/>
  <c r="AZ563"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G5" i="3" s="1"/>
  <c r="B3" i="3" s="1"/>
  <c r="E510" i="3" s="1"/>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AB15" i="21"/>
  <c r="J23" i="21"/>
  <c r="W23" i="21" s="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0" i="15"/>
  <c r="F36" i="67"/>
  <c r="F37" i="15"/>
  <c r="B8" i="76"/>
  <c r="E2" i="69"/>
  <c r="F38" i="15"/>
  <c r="F38" i="67"/>
  <c r="M9" i="67"/>
  <c r="L47" i="67"/>
  <c r="F7" i="67"/>
  <c r="M22" i="67"/>
  <c r="F6" i="73"/>
  <c r="F7" i="15"/>
  <c r="F26" i="15"/>
  <c r="M29" i="67"/>
  <c r="M6" i="67"/>
  <c r="J15" i="15"/>
  <c r="F9" i="15"/>
  <c r="M8" i="67"/>
  <c r="E11" i="76"/>
  <c r="D3" i="73"/>
  <c r="M23" i="15"/>
  <c r="M24" i="15"/>
  <c r="F13" i="15"/>
  <c r="F43" i="15"/>
  <c r="M29" i="15"/>
  <c r="M26" i="15"/>
  <c r="B11" i="76"/>
  <c r="F36" i="15"/>
  <c r="M22" i="15"/>
  <c r="D5" i="73"/>
  <c r="D4" i="73"/>
  <c r="L48" i="15"/>
  <c r="F7" i="73"/>
  <c r="M26" i="67"/>
  <c r="F9" i="67"/>
  <c r="F3" i="73"/>
  <c r="F40" i="67"/>
  <c r="M28" i="67"/>
  <c r="E12" i="76"/>
  <c r="F43" i="67"/>
  <c r="B9" i="76"/>
  <c r="B10" i="76"/>
  <c r="C76" i="67"/>
  <c r="M8" i="15"/>
  <c r="F13" i="67"/>
  <c r="F8" i="15"/>
  <c r="J15" i="67"/>
  <c r="B7" i="76"/>
  <c r="E2" i="68"/>
  <c r="L48" i="67"/>
  <c r="F20" i="31"/>
  <c r="M28" i="15"/>
  <c r="F16" i="15"/>
  <c r="M6" i="15"/>
  <c r="B12" i="76"/>
  <c r="E9" i="76"/>
  <c r="C76" i="15"/>
  <c r="F6" i="67"/>
  <c r="M9" i="15"/>
  <c r="F16" i="67"/>
  <c r="M24" i="67"/>
  <c r="M23" i="67"/>
  <c r="F26" i="67"/>
  <c r="L47" i="15"/>
  <c r="F42" i="67"/>
  <c r="E13" i="76"/>
  <c r="F42" i="15"/>
  <c r="E8" i="76"/>
  <c r="F37" i="67"/>
  <c r="D6" i="73"/>
  <c r="F6" i="15"/>
  <c r="F8" i="67"/>
  <c r="D7" i="73"/>
  <c r="F5" i="73"/>
  <c r="F4" i="73"/>
  <c r="E7" i="76"/>
  <c r="E10" i="76"/>
  <c r="AO13" i="1"/>
  <c r="B13" i="76"/>
  <c r="M85" i="43" l="1"/>
  <c r="N85" i="43" s="1"/>
  <c r="A2" i="9"/>
  <c r="A4" i="52"/>
  <c r="B41" i="72" s="1"/>
  <c r="C28" i="67"/>
  <c r="E19" i="71"/>
  <c r="E18" i="71" s="1"/>
  <c r="E17" i="71" s="1"/>
  <c r="E16" i="71" s="1"/>
  <c r="V20" i="71"/>
  <c r="BL5" i="3"/>
  <c r="AZ581" i="3"/>
  <c r="AA14" i="33"/>
  <c r="AA44" i="33"/>
  <c r="S13" i="35"/>
  <c r="AA13" i="35"/>
  <c r="AB46" i="33"/>
  <c r="U46" i="33"/>
  <c r="W30" i="34"/>
  <c r="AC30" i="34"/>
  <c r="AA45" i="33"/>
  <c r="S45" i="33"/>
  <c r="AC29" i="33"/>
  <c r="W29" i="33"/>
  <c r="W12" i="34"/>
  <c r="AC12" i="34"/>
  <c r="U12" i="35"/>
  <c r="AB12" i="35"/>
  <c r="AC31" i="40"/>
  <c r="W31" i="40"/>
  <c r="C16" i="71"/>
  <c r="D17" i="71"/>
  <c r="D19" i="53"/>
  <c r="B38" i="72" s="1"/>
  <c r="D16" i="53"/>
  <c r="B34" i="72" s="1"/>
  <c r="W17" i="21"/>
  <c r="AC15" i="21"/>
  <c r="U12" i="39"/>
  <c r="AA27" i="40"/>
  <c r="AB27" i="40"/>
  <c r="G28" i="6"/>
  <c r="F29" i="6"/>
  <c r="AZ557" i="3"/>
  <c r="AZ513" i="3"/>
  <c r="AZ517" i="3"/>
  <c r="AZ567" i="3"/>
  <c r="AZ571" i="3"/>
  <c r="AZ575" i="3"/>
  <c r="AZ579" i="3"/>
  <c r="AA44" i="34"/>
  <c r="S44" i="34"/>
  <c r="AC9" i="34"/>
  <c r="W9" i="34"/>
  <c r="AC34" i="35"/>
  <c r="W34" i="35"/>
  <c r="AB9" i="36"/>
  <c r="U9" i="36"/>
  <c r="AB14" i="37"/>
  <c r="U14" i="37"/>
  <c r="AZ439" i="3"/>
  <c r="AZ472" i="3"/>
  <c r="AZ475" i="3"/>
  <c r="AZ489" i="3"/>
  <c r="AZ316" i="3"/>
  <c r="AZ264" i="3"/>
  <c r="AA29" i="35"/>
  <c r="AB23" i="34"/>
  <c r="U33" i="35"/>
  <c r="J12" i="21"/>
  <c r="B73" i="43"/>
  <c r="B79" i="43"/>
  <c r="B76" i="43"/>
  <c r="B75" i="43"/>
  <c r="F9" i="34"/>
  <c r="AA9" i="34" s="1"/>
  <c r="F12" i="34"/>
  <c r="F34" i="35"/>
  <c r="H34" i="35"/>
  <c r="J36" i="35"/>
  <c r="F23" i="36"/>
  <c r="H23" i="36"/>
  <c r="A15" i="62"/>
  <c r="B61" i="72" s="1"/>
  <c r="AZ400" i="3"/>
  <c r="AZ402" i="3"/>
  <c r="AZ406" i="3"/>
  <c r="AZ410" i="3"/>
  <c r="AZ413" i="3"/>
  <c r="AZ415" i="3"/>
  <c r="AZ420" i="3"/>
  <c r="AZ426" i="3"/>
  <c r="AZ431" i="3"/>
  <c r="AZ448" i="3"/>
  <c r="AZ452" i="3"/>
  <c r="AZ461" i="3"/>
  <c r="AZ463" i="3"/>
  <c r="AZ468" i="3"/>
  <c r="AZ479" i="3"/>
  <c r="AZ485" i="3"/>
  <c r="AZ385" i="3"/>
  <c r="AZ210" i="3"/>
  <c r="AZ225" i="3"/>
  <c r="AZ239" i="3"/>
  <c r="AZ255" i="3"/>
  <c r="AZ292" i="3"/>
  <c r="AZ302" i="3"/>
  <c r="AZ113" i="3"/>
  <c r="AZ126" i="3"/>
  <c r="AZ129" i="3"/>
  <c r="AZ141" i="3"/>
  <c r="AZ22" i="3"/>
  <c r="AZ54" i="3"/>
  <c r="AZ57" i="3"/>
  <c r="AZ284" i="3"/>
  <c r="AZ177" i="3"/>
  <c r="AZ73" i="3"/>
  <c r="AZ78" i="3"/>
  <c r="AZ87" i="3"/>
  <c r="AZ108" i="3"/>
  <c r="T64" i="71"/>
  <c r="D64" i="71"/>
  <c r="C26" i="71"/>
  <c r="D26" i="71" s="1"/>
  <c r="D27" i="71"/>
  <c r="U18" i="36"/>
  <c r="X21" i="71"/>
  <c r="X22" i="71"/>
  <c r="B28" i="71"/>
  <c r="X26" i="71"/>
  <c r="X28" i="71"/>
  <c r="Y29" i="71"/>
  <c r="Z29" i="71" s="1"/>
  <c r="Y25" i="71"/>
  <c r="Z25" i="71" s="1"/>
  <c r="Y26" i="71"/>
  <c r="Z26" i="71" s="1"/>
  <c r="Y27" i="71"/>
  <c r="Z27" i="71" s="1"/>
  <c r="Y28" i="71"/>
  <c r="Z28" i="71" s="1"/>
  <c r="F30" i="71"/>
  <c r="F31" i="71" s="1"/>
  <c r="F32" i="71" s="1"/>
  <c r="V32" i="71" s="1"/>
  <c r="AA30" i="71"/>
  <c r="AA31" i="71"/>
  <c r="F34" i="71"/>
  <c r="F35" i="71" s="1"/>
  <c r="F36" i="71" s="1"/>
  <c r="V36" i="71" s="1"/>
  <c r="AA33" i="71"/>
  <c r="AA32" i="71"/>
  <c r="F38" i="71"/>
  <c r="F39" i="71" s="1"/>
  <c r="F40" i="71" s="1"/>
  <c r="V40" i="71" s="1"/>
  <c r="Y9" i="71"/>
  <c r="Z9" i="71" s="1"/>
  <c r="Y10" i="71"/>
  <c r="Z10" i="71" s="1"/>
  <c r="Y39" i="71"/>
  <c r="Z39" i="71" s="1"/>
  <c r="V28" i="71"/>
  <c r="AA26" i="71"/>
  <c r="AA3" i="71"/>
  <c r="Y30" i="71"/>
  <c r="Z30" i="71" s="1"/>
  <c r="AB31" i="71"/>
  <c r="Y34" i="71"/>
  <c r="Z34" i="71" s="1"/>
  <c r="X33" i="71"/>
  <c r="X34" i="71"/>
  <c r="X35" i="71"/>
  <c r="AB35" i="71"/>
  <c r="Y38" i="71"/>
  <c r="Z38" i="71" s="1"/>
  <c r="AA9" i="71"/>
  <c r="AA10" i="71"/>
  <c r="AA39" i="71"/>
  <c r="AA37" i="71"/>
  <c r="V68" i="71"/>
  <c r="F67" i="71"/>
  <c r="X9" i="71"/>
  <c r="X10" i="71"/>
  <c r="AB9" i="71"/>
  <c r="X24" i="71"/>
  <c r="AA22" i="71"/>
  <c r="AA21" i="71"/>
  <c r="Y18" i="71"/>
  <c r="Z18" i="71" s="1"/>
  <c r="AB18" i="71"/>
  <c r="X17" i="71"/>
  <c r="AA17" i="71"/>
  <c r="AB24" i="71"/>
  <c r="Y24" i="71"/>
  <c r="Z24" i="71" s="1"/>
  <c r="AB21" i="71"/>
  <c r="X18" i="71"/>
  <c r="Y14" i="71"/>
  <c r="Z14" i="71" s="1"/>
  <c r="Y17" i="71"/>
  <c r="Z17" i="71" s="1"/>
  <c r="AB17" i="71"/>
  <c r="Y23" i="71"/>
  <c r="Z23" i="71" s="1"/>
  <c r="Y22" i="71"/>
  <c r="Z22" i="71" s="1"/>
  <c r="AA23" i="71"/>
  <c r="AB23" i="71"/>
  <c r="Y21" i="71"/>
  <c r="Z21" i="71" s="1"/>
  <c r="AA18" i="71"/>
  <c r="X15" i="71"/>
  <c r="AA15" i="71"/>
  <c r="AB11" i="71"/>
  <c r="AB13" i="71"/>
  <c r="AB10" i="71"/>
  <c r="Y11" i="71"/>
  <c r="Z11" i="71" s="1"/>
  <c r="Y13" i="71"/>
  <c r="Z13" i="71" s="1"/>
  <c r="AA13" i="71"/>
  <c r="AA14" i="71"/>
  <c r="X12" i="71"/>
  <c r="X13" i="71"/>
  <c r="AB15" i="71"/>
  <c r="AB12" i="71"/>
  <c r="AB14" i="71"/>
  <c r="Y12" i="71"/>
  <c r="Z12" i="71" s="1"/>
  <c r="AA11" i="71"/>
  <c r="AA12" i="71"/>
  <c r="X11" i="71"/>
  <c r="X14" i="71"/>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G90" i="43" s="1"/>
  <c r="C23" i="43"/>
  <c r="O23" i="43"/>
  <c r="I18" i="43"/>
  <c r="E17" i="43" s="1"/>
  <c r="C17" i="43" s="1"/>
  <c r="C24" i="43"/>
  <c r="H26" i="43"/>
  <c r="F26" i="43"/>
  <c r="J26" i="43"/>
  <c r="G26" i="43"/>
  <c r="E26" i="43"/>
  <c r="A1" i="79"/>
  <c r="H55" i="43"/>
  <c r="H86" i="43"/>
  <c r="G86" i="43" s="1"/>
  <c r="H87" i="43"/>
  <c r="G87" i="43" s="1"/>
  <c r="N370" i="46"/>
  <c r="N94" i="46"/>
  <c r="H89" i="43"/>
  <c r="G89" i="43" s="1"/>
  <c r="H88" i="43"/>
  <c r="G88" i="43" s="1"/>
  <c r="H84" i="43"/>
  <c r="G84" i="43" s="1"/>
  <c r="C69" i="39"/>
  <c r="D67" i="39"/>
  <c r="D69" i="39" s="1"/>
  <c r="A19" i="51"/>
  <c r="B14" i="72" s="1"/>
  <c r="T35" i="4"/>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D9" i="68"/>
  <c r="C16" i="15"/>
  <c r="G1" i="73"/>
  <c r="C16" i="67"/>
  <c r="K87" i="43" l="1"/>
  <c r="M87" i="43"/>
  <c r="N87" i="43" s="1"/>
  <c r="K83" i="43"/>
  <c r="M83" i="43"/>
  <c r="N83" i="43" s="1"/>
  <c r="K88" i="43"/>
  <c r="J88" i="43" s="1"/>
  <c r="D88" i="43" s="1"/>
  <c r="M88" i="43"/>
  <c r="N88" i="43" s="1"/>
  <c r="K84" i="43"/>
  <c r="M84" i="43"/>
  <c r="N84" i="43" s="1"/>
  <c r="K89" i="43"/>
  <c r="M89" i="43"/>
  <c r="N89" i="43" s="1"/>
  <c r="K86" i="43"/>
  <c r="M86" i="43"/>
  <c r="N86" i="43" s="1"/>
  <c r="K90" i="43"/>
  <c r="M90" i="43"/>
  <c r="N90" i="43" s="1"/>
  <c r="B15" i="71"/>
  <c r="B14" i="71" s="1"/>
  <c r="B13" i="71" s="1"/>
  <c r="B12" i="71" s="1"/>
  <c r="S16" i="71"/>
  <c r="F66" i="71"/>
  <c r="Q67" i="71"/>
  <c r="B27" i="71"/>
  <c r="B26" i="71" s="1"/>
  <c r="S28" i="71"/>
  <c r="AA23" i="36"/>
  <c r="S23" i="36"/>
  <c r="AB34" i="35"/>
  <c r="U34" i="35"/>
  <c r="S12" i="34"/>
  <c r="AA12" i="34"/>
  <c r="AC12" i="21"/>
  <c r="W12" i="21"/>
  <c r="AB23" i="36"/>
  <c r="U23" i="36"/>
  <c r="W36" i="35"/>
  <c r="AC36" i="35"/>
  <c r="S34" i="35"/>
  <c r="AA34" i="35"/>
  <c r="C15" i="71"/>
  <c r="T16" i="71"/>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AE6" i="1"/>
  <c r="F27" i="68"/>
  <c r="F41" i="67"/>
  <c r="D90" i="43" l="1"/>
  <c r="J90" i="43"/>
  <c r="D86" i="43"/>
  <c r="J86" i="43"/>
  <c r="D89" i="43"/>
  <c r="J89" i="43"/>
  <c r="D84" i="43"/>
  <c r="J84" i="43"/>
  <c r="J83" i="43"/>
  <c r="D83" i="43"/>
  <c r="D87" i="43"/>
  <c r="J87" i="43"/>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E83" i="43" l="1"/>
  <c r="B81" i="43" s="1"/>
  <c r="C28" i="43" s="1"/>
  <c r="T13" i="43" s="1"/>
  <c r="V13" i="43" s="1"/>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4" i="67"/>
  <c r="C17" i="15"/>
  <c r="C42" i="43" l="1"/>
  <c r="C40" i="43"/>
  <c r="T2" i="43"/>
  <c r="V2" i="43" s="1"/>
  <c r="T10" i="43"/>
  <c r="V10" i="43" s="1"/>
  <c r="T7" i="43"/>
  <c r="V7" i="43" s="1"/>
  <c r="T15" i="43"/>
  <c r="V15" i="43" s="1"/>
  <c r="C39" i="43"/>
  <c r="C33" i="43"/>
  <c r="T3" i="43"/>
  <c r="V3" i="43" s="1"/>
  <c r="T12" i="43"/>
  <c r="V12" i="43" s="1"/>
  <c r="T9" i="43"/>
  <c r="V9" i="43" s="1"/>
  <c r="C41" i="43"/>
  <c r="T5" i="43"/>
  <c r="V5" i="43" s="1"/>
  <c r="T4" i="43"/>
  <c r="V4" i="43" s="1"/>
  <c r="T14" i="43"/>
  <c r="V14" i="43" s="1"/>
  <c r="T11" i="43"/>
  <c r="V11" i="43" s="1"/>
  <c r="C38" i="43"/>
  <c r="C37" i="43"/>
  <c r="T6" i="43"/>
  <c r="V6" i="43" s="1"/>
  <c r="T8" i="43"/>
  <c r="V8" i="43" s="1"/>
  <c r="T16" i="43"/>
  <c r="V16" i="43" s="1"/>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8" i="68" l="1"/>
  <c r="C5" i="68" s="1"/>
  <c r="C23" i="68" s="1"/>
  <c r="B29" i="1"/>
  <c r="C18" i="12" s="1"/>
  <c r="E37" i="43"/>
  <c r="G37" i="43"/>
  <c r="I37" i="43" s="1"/>
  <c r="E41" i="43"/>
  <c r="G41" i="43"/>
  <c r="I41" i="43" s="1"/>
  <c r="C34" i="43"/>
  <c r="E34" i="43" s="1"/>
  <c r="E33" i="43"/>
  <c r="E40" i="43"/>
  <c r="G40" i="43"/>
  <c r="I40" i="43" s="1"/>
  <c r="G38" i="43"/>
  <c r="I38" i="43" s="1"/>
  <c r="E38" i="43"/>
  <c r="E39" i="43"/>
  <c r="G39" i="43"/>
  <c r="I39" i="43" s="1"/>
  <c r="E42" i="43"/>
  <c r="G42" i="43"/>
  <c r="I42"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30" i="43" l="1"/>
  <c r="C31" i="43"/>
  <c r="C10" i="71"/>
  <c r="D11" i="71"/>
  <c r="F7" i="21"/>
  <c r="S7" i="2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AC7" i="21"/>
  <c r="V48" i="21" s="1"/>
  <c r="I48" i="21" s="1"/>
  <c r="W7" i="21"/>
  <c r="E6" i="76"/>
  <c r="E2" i="76" l="1"/>
  <c r="B2" i="43"/>
  <c r="AA7" i="21"/>
  <c r="R48" i="21" s="1"/>
  <c r="C9" i="71"/>
  <c r="D10" i="7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M21" i="15"/>
  <c r="B6" i="76"/>
  <c r="F35" i="67"/>
  <c r="F35" i="15"/>
  <c r="B2" i="76" l="1"/>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B3" i="68"/>
  <c r="C20" i="9" s="1"/>
  <c r="C103" i="9" l="1"/>
  <c r="C102" i="9"/>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2" i="21"/>
  <c r="D35" i="9"/>
  <c r="C56" i="68"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D6" i="71" l="1"/>
  <c r="C5" i="71"/>
  <c r="D5" i="71"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4"/>
  <c r="L51" i="15"/>
  <c r="D2" i="35"/>
  <c r="M24" i="43" l="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9" i="1"/>
  <c r="AO8" i="1"/>
  <c r="AO11"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H118" i="9" l="1"/>
  <c r="H101" i="9" s="1"/>
  <c r="F118" i="9"/>
  <c r="G118" i="9" s="1"/>
  <c r="G4" i="52" s="1"/>
  <c r="B52" i="72" s="1"/>
  <c r="H119" i="9" l="1"/>
  <c r="H5" i="52" s="1"/>
  <c r="F119" i="9"/>
  <c r="F5" i="52" s="1"/>
  <c r="B53" i="72" s="1"/>
  <c r="F4" i="52"/>
  <c r="B51" i="72" s="1"/>
  <c r="C104" i="9"/>
  <c r="I118" i="9"/>
  <c r="H4" i="52"/>
  <c r="D118" i="9"/>
  <c r="H107" i="9"/>
  <c r="M48" i="9"/>
  <c r="D5" i="53"/>
  <c r="D45" i="9"/>
  <c r="I4" i="52" l="1"/>
  <c r="C105" i="9"/>
  <c r="E118" i="9"/>
  <c r="E4" i="52" s="1"/>
  <c r="B48" i="72" s="1"/>
  <c r="H102" i="9"/>
  <c r="D52" i="9"/>
  <c r="C78" i="9"/>
  <c r="C73" i="9" s="1"/>
  <c r="C93" i="9"/>
  <c r="C86" i="9" s="1"/>
  <c r="D55" i="9"/>
  <c r="M53" i="9" s="1"/>
  <c r="C72" i="9"/>
  <c r="C64" i="9"/>
  <c r="C63" i="9" s="1"/>
  <c r="C67" i="9" s="1"/>
  <c r="D53" i="9"/>
  <c r="C85" i="9"/>
  <c r="D4" i="52"/>
  <c r="B47" i="72" s="1"/>
  <c r="D119" i="9"/>
  <c r="D5" i="52" s="1"/>
  <c r="B49" i="72" s="1"/>
  <c r="B20" i="72"/>
  <c r="D6" i="53"/>
  <c r="B22" i="72" s="1"/>
  <c r="D122" i="9"/>
  <c r="M49" i="9"/>
  <c r="D13" i="53"/>
  <c r="D7" i="53" l="1"/>
  <c r="B21" i="72" s="1"/>
  <c r="C5" i="74"/>
  <c r="H108" i="9"/>
  <c r="D15" i="53" s="1"/>
  <c r="B31" i="72" s="1"/>
  <c r="C95" i="9"/>
  <c r="C96" i="9" s="1"/>
  <c r="D14" i="53"/>
  <c r="B32" i="72" s="1"/>
  <c r="B30" i="72"/>
  <c r="D8" i="52"/>
  <c r="D123" i="9"/>
  <c r="D9" i="52" s="1"/>
  <c r="D59" i="9"/>
  <c r="M55" i="9" s="1"/>
  <c r="C68" i="9"/>
  <c r="D54" i="9" s="1"/>
  <c r="L67" i="9"/>
  <c r="M67" i="9" s="1"/>
  <c r="L68" i="9"/>
  <c r="M68" i="9" s="1"/>
  <c r="L64" i="9"/>
  <c r="M64" i="9" s="1"/>
  <c r="L66" i="9"/>
  <c r="M66" i="9" s="1"/>
  <c r="L65" i="9"/>
  <c r="M65" i="9" s="1"/>
  <c r="L63" i="9"/>
  <c r="M63" i="9" s="1"/>
  <c r="C79" i="9"/>
  <c r="C6" i="74" l="1"/>
  <c r="E96" i="9"/>
  <c r="E97" i="9" s="1"/>
  <c r="C97" i="9"/>
  <c r="D58" i="9" s="1"/>
  <c r="D56" i="9" s="1"/>
  <c r="M54" i="9" s="1"/>
  <c r="N57" i="9" s="1"/>
  <c r="P57" i="9" s="1"/>
  <c r="C80" i="9"/>
  <c r="E80" i="9" s="1"/>
  <c r="E81" i="9" s="1"/>
  <c r="M69" i="9"/>
  <c r="N69" i="9" s="1"/>
  <c r="N58" i="9" l="1"/>
  <c r="N59" i="9"/>
  <c r="N60" i="9" s="1"/>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<sst xmlns="http://schemas.openxmlformats.org/spreadsheetml/2006/main" count="7829" uniqueCount="3428">
  <si>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</si>
  <si>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</si>
  <si>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</si>
  <si>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</si>
  <si>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</si>
  <si>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</si>
  <si>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</si>
  <si>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</si>
  <si>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</si>
  <si>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</si>
  <si>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</si>
  <si>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</si>
  <si>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</si>
  <si>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</si>
  <si>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</si>
  <si>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</si>
  <si>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</si>
  <si>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</si>
  <si>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</si>
  <si>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</si>
  <si>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</si>
  <si>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</si>
  <si>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</si>
  <si>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</si>
  <si>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</si>
  <si>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</si>
  <si>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</si>
  <si>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</si>
  <si>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</si>
  <si>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</si>
  <si>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</si>
  <si>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</si>
  <si>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</si>
  <si>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</si>
  <si>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</si>
  <si>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</si>
  <si>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</si>
  <si>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</si>
  <si>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</si>
  <si>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</si>
  <si>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</si>
  <si>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</si>
  <si>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</si>
  <si>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</si>
  <si>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</si>
  <si>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</si>
  <si>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</si>
  <si>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</si>
  <si>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</si>
  <si>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</si>
  <si>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</si>
  <si>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</si>
  <si>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</si>
  <si>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</si>
  <si>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</si>
  <si>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</si>
  <si>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</si>
  <si>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</si>
  <si>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</si>
  <si>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</si>
  <si>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</si>
  <si>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</si>
  <si>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</si>
  <si>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</si>
  <si>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</si>
  <si>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</si>
  <si>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</si>
  <si>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</si>
  <si>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</si>
  <si>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</si>
  <si>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</si>
  <si>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</si>
  <si>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</si>
  <si>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</si>
  <si>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</si>
  <si>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</si>
  <si>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</si>
  <si>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</si>
  <si>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</si>
  <si>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</si>
  <si>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</si>
  <si>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</si>
  <si>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</si>
  <si>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</si>
  <si>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</si>
  <si>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</si>
  <si>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</si>
  <si>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</si>
  <si>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</si>
  <si>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</si>
  <si>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</si>
  <si>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</si>
  <si>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</si>
  <si>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</si>
  <si>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</si>
  <si>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</si>
  <si>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</si>
  <si>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</si>
  <si>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</si>
  <si>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</si>
  <si>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</si>
  <si>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</si>
  <si>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</si>
  <si>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</si>
  <si>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</si>
  <si>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</si>
  <si>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</si>
  <si>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</si>
  <si>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</si>
  <si>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</si>
  <si>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</si>
  <si>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</si>
  <si>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</si>
  <si>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</si>
  <si>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</si>
  <si>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</si>
  <si>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</si>
  <si>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</si>
  <si>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</si>
  <si>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</si>
  <si>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</si>
  <si>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</si>
  <si>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</si>
  <si>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</si>
  <si>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</si>
  <si>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</si>
  <si>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</si>
  <si>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</si>
  <si>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</si>
  <si>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</si>
  <si>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</si>
  <si>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</si>
  <si>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</si>
  <si>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</si>
  <si>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</si>
  <si>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</si>
  <si>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</si>
  <si>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</si>
  <si>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</si>
  <si>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</si>
  <si>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</si>
  <si>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</si>
  <si>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</si>
  <si>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</si>
  <si>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</si>
  <si>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</si>
  <si>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</si>
  <si>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</si>
  <si>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</si>
  <si>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</si>
  <si>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</si>
  <si>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</si>
  <si>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</si>
  <si>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</si>
  <si>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</si>
  <si>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</si>
  <si>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</si>
  <si>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</si>
  <si>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</si>
  <si>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</si>
  <si>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</si>
  <si>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</si>
  <si>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</si>
  <si>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</si>
  <si>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</si>
  <si>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</si>
  <si>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</si>
  <si>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</si>
  <si>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</si>
  <si>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</si>
  <si>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</si>
  <si>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</si>
  <si>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</si>
  <si>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</si>
  <si>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</si>
  <si>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</si>
  <si>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</si>
  <si>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</si>
  <si>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</si>
  <si>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</si>
  <si>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</si>
  <si>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</si>
  <si>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</si>
  <si>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</si>
  <si>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</si>
  <si>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</si>
  <si>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</si>
  <si>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</si>
  <si>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</si>
  <si>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</si>
  <si>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</si>
  <si>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</si>
  <si>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</si>
  <si>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</si>
  <si>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</si>
  <si>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</si>
  <si>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</si>
  <si>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</si>
  <si>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</si>
  <si>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</si>
  <si>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</si>
  <si>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</si>
  <si>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</si>
  <si>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</si>
  <si>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</si>
  <si>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</si>
  <si>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</si>
  <si>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</si>
  <si>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</si>
  <si>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</si>
  <si>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</si>
  <si>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</si>
  <si>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</si>
  <si>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</si>
  <si>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</si>
  <si>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</si>
  <si>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</si>
  <si>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</si>
  <si>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</si>
  <si>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</si>
  <si>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</si>
  <si>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</si>
  <si>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</si>
  <si>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</si>
  <si>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</si>
  <si>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</si>
  <si>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</si>
  <si>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</si>
  <si>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</si>
  <si>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</si>
  <si>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</si>
  <si>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</si>
  <si>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</si>
  <si>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</si>
  <si>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</si>
  <si>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</si>
  <si>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</si>
  <si>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</si>
  <si>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</si>
  <si>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</si>
  <si>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</si>
  <si>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</si>
  <si>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</si>
  <si>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</si>
  <si>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</si>
  <si>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</si>
  <si>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</si>
  <si>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</si>
  <si>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</si>
  <si>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</si>
  <si>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</si>
  <si>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</si>
  <si>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</si>
  <si>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</si>
  <si>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</si>
  <si>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</si>
  <si>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</si>
  <si>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</si>
  <si>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</si>
  <si>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</si>
  <si>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</si>
  <si>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</si>
  <si>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</si>
  <si>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</si>
  <si>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</si>
  <si>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</si>
  <si>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</si>
  <si>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</si>
  <si>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</si>
  <si>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</si>
  <si>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</si>
  <si>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</si>
  <si>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</si>
  <si>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</si>
  <si>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</si>
  <si>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</si>
  <si>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</si>
  <si>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</si>
  <si>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</si>
  <si>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</si>
  <si>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</si>
  <si>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</si>
  <si>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</si>
  <si>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</si>
  <si>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</si>
  <si>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</si>
  <si>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</si>
  <si>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</si>
  <si>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</si>
  <si>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</si>
  <si>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</si>
  <si>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</si>
  <si>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</si>
  <si>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</si>
  <si>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</si>
  <si>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</si>
  <si>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</si>
  <si>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</si>
  <si>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</si>
  <si>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</si>
  <si>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</si>
  <si>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</si>
  <si>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</si>
  <si>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</si>
  <si>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</si>
  <si>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</si>
  <si>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</si>
  <si>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</si>
  <si>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</si>
  <si>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</si>
  <si>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</si>
  <si>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</si>
  <si>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</si>
  <si>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</si>
  <si>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</si>
  <si>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</si>
  <si>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</si>
  <si>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</si>
  <si>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</si>
  <si>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</si>
  <si>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</si>
  <si>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</si>
  <si>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</si>
  <si>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</si>
  <si>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</si>
  <si>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</si>
  <si>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</si>
  <si>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</si>
  <si>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</si>
  <si>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</si>
  <si>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</si>
  <si>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</si>
  <si>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</si>
  <si>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</si>
  <si>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</si>
  <si>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</si>
  <si>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</si>
  <si>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</si>
  <si>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</si>
  <si>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</si>
  <si>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</si>
  <si>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</si>
  <si>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</si>
  <si>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</si>
  <si>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</si>
  <si>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</si>
  <si>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</si>
  <si>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</si>
  <si>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</si>
  <si>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</si>
  <si>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</si>
  <si>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</si>
  <si>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</si>
  <si>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</si>
  <si>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</si>
  <si>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</si>
  <si>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</si>
  <si>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</si>
  <si>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</si>
  <si>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</si>
  <si>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</si>
  <si>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</si>
  <si>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</si>
  <si>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</si>
  <si>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</si>
  <si>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</si>
  <si>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</si>
  <si>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</si>
  <si>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</si>
  <si>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</si>
  <si>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</si>
  <si>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</si>
  <si>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</si>
  <si>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</si>
  <si>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</si>
  <si>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</si>
  <si>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</si>
  <si>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</si>
  <si>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</si>
  <si>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</si>
  <si>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</si>
  <si>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</si>
  <si>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</si>
  <si>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</si>
  <si>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</si>
  <si>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</si>
  <si>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</si>
  <si>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</si>
  <si>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</si>
  <si>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</si>
  <si>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</si>
  <si>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</si>
  <si>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</si>
  <si>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</si>
  <si>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</si>
  <si>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</si>
  <si>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</si>
  <si>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</si>
  <si>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</si>
  <si>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</si>
  <si>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</si>
  <si>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</si>
  <si>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</si>
  <si>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</si>
  <si>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</si>
  <si>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</si>
  <si>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</si>
  <si>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</si>
  <si>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</si>
  <si>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</si>
  <si>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</si>
  <si>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</si>
  <si>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</si>
  <si>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</si>
  <si>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</si>
  <si>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</si>
  <si>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</si>
  <si>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</si>
  <si>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</si>
  <si>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</si>
  <si>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</si>
  <si>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</si>
  <si>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</si>
  <si>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</si>
  <si>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</si>
  <si>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</si>
  <si>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</si>
  <si>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</si>
  <si>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</si>
  <si>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</si>
  <si>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</si>
  <si>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</si>
  <si>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</si>
  <si>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</si>
  <si>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</si>
  <si>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</si>
  <si>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</si>
  <si>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</si>
  <si>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</si>
  <si>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</si>
  <si>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</si>
  <si>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</si>
  <si>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</si>
  <si>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</si>
  <si>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</si>
  <si>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</si>
  <si>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</si>
  <si>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</si>
  <si>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</si>
  <si>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</si>
  <si>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</si>
  <si>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</si>
  <si>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</si>
  <si>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</si>
  <si>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</si>
  <si>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</si>
  <si>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</si>
  <si>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</si>
  <si>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</si>
  <si>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</si>
  <si>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</si>
  <si>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</si>
  <si>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</si>
  <si>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</si>
  <si>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</si>
  <si>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</si>
  <si>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</si>
  <si>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</si>
  <si>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</si>
  <si>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</si>
  <si>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</si>
  <si>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</si>
  <si>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</si>
  <si>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</si>
  <si>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</si>
  <si>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</si>
  <si>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</si>
  <si>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</si>
  <si>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</si>
  <si>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</si>
  <si>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</si>
  <si>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</si>
  <si>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</si>
  <si>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</si>
  <si>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</si>
  <si>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</si>
  <si>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</si>
  <si>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</si>
  <si>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</si>
  <si>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</si>
  <si>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</si>
  <si>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</si>
  <si>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</si>
  <si>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</si>
  <si>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</si>
  <si>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</si>
  <si>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</si>
  <si>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</si>
  <si>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</si>
  <si>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</si>
  <si>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</si>
  <si>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</si>
  <si>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</si>
  <si>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</si>
  <si>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</si>
  <si>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</si>
  <si>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</si>
  <si>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</si>
  <si>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</si>
  <si>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</si>
  <si>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</si>
  <si>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</si>
  <si>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</si>
  <si>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</si>
  <si>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</si>
  <si>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</si>
  <si>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</si>
  <si>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</si>
  <si>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</si>
  <si>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</si>
  <si>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</si>
  <si>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</si>
  <si>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</si>
  <si>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</si>
  <si>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</si>
  <si>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</si>
  <si>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</si>
  <si>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</si>
  <si>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</si>
  <si>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</si>
  <si>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</si>
  <si>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</si>
  <si>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</si>
  <si>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</si>
  <si>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</si>
  <si>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</si>
  <si>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</si>
  <si>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</si>
  <si>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</si>
  <si>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</si>
  <si>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</si>
  <si>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</si>
  <si>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</si>
  <si>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</si>
  <si>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</si>
  <si>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</si>
  <si>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</si>
  <si>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</si>
  <si>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</si>
  <si>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</si>
  <si>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</si>
  <si>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</si>
  <si>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</si>
  <si>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</si>
  <si>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</si>
  <si>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</si>
  <si>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</si>
  <si>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</si>
  <si>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</si>
  <si>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</si>
  <si>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</si>
  <si>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</si>
  <si>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</si>
  <si>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</si>
  <si>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</si>
  <si>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</si>
  <si>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</si>
  <si>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</si>
  <si>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</si>
  <si>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</si>
  <si>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</si>
  <si>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</si>
  <si>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</si>
  <si>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</si>
  <si>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</si>
  <si>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</si>
  <si>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</si>
  <si>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</si>
  <si>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</si>
  <si>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</si>
  <si>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</si>
  <si>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</si>
  <si>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</si>
  <si>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</si>
  <si>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</si>
  <si>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</si>
  <si>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</si>
  <si>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</si>
  <si>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</si>
  <si>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</si>
  <si>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</si>
  <si>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</si>
  <si>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</si>
  <si>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</si>
  <si>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</si>
  <si>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</si>
  <si>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</si>
  <si>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</si>
  <si>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</si>
  <si>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</si>
  <si>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</si>
  <si>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</si>
  <si>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</si>
  <si>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</si>
  <si>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</si>
  <si>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</si>
  <si>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</si>
  <si>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</si>
  <si>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</si>
  <si>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</si>
  <si>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</si>
  <si>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</si>
  <si>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</si>
  <si>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</si>
  <si>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</si>
  <si>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</si>
  <si>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</si>
  <si>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</si>
  <si>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</si>
  <si>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</si>
  <si>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</si>
  <si>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</si>
  <si>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</si>
  <si>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</si>
  <si>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</si>
  <si>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</si>
  <si>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</si>
  <si>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</si>
  <si>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</si>
  <si>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</si>
  <si>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</si>
  <si>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</si>
  <si>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</si>
  <si>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</si>
  <si>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</si>
  <si>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</si>
  <si>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</si>
  <si>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</si>
  <si>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</si>
  <si>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</si>
  <si>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</si>
  <si>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</si>
  <si>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</si>
  <si>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</si>
  <si>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</si>
  <si>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</si>
  <si>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</si>
  <si>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</si>
  <si>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</si>
  <si>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</si>
  <si>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</si>
  <si>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</si>
  <si>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</si>
  <si>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</si>
  <si>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</si>
  <si>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</si>
  <si>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</si>
  <si>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</si>
  <si>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</si>
  <si>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</si>
  <si>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</si>
  <si>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</si>
  <si>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</si>
  <si>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</si>
  <si>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</si>
  <si>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</si>
  <si>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</si>
  <si>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</si>
  <si>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</si>
  <si>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</si>
  <si>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</si>
  <si>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</si>
  <si>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</si>
  <si>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</si>
  <si>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</si>
  <si>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</si>
  <si>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</si>
  <si>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</si>
  <si>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</si>
  <si>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</si>
  <si>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</si>
  <si>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</si>
  <si>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</si>
  <si>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</si>
  <si>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</si>
  <si>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</si>
  <si>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</si>
  <si>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</si>
  <si>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</si>
  <si>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</si>
  <si>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</si>
  <si>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</si>
  <si>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</si>
  <si>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</si>
  <si>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</si>
  <si>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</si>
  <si>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</si>
  <si>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</si>
  <si>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</si>
  <si>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</si>
  <si>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</si>
  <si>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</si>
  <si>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</si>
  <si>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</si>
  <si>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</si>
  <si>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</si>
  <si>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</si>
  <si>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</si>
  <si>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</si>
  <si>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</si>
  <si>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</si>
  <si>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</si>
  <si>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</si>
  <si>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</si>
  <si>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</si>
  <si>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</si>
  <si>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</si>
  <si>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</si>
  <si>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</si>
  <si>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</si>
  <si>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</si>
  <si>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</si>
  <si>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</si>
  <si>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</si>
  <si>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</si>
  <si>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</si>
  <si>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</si>
  <si>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</si>
  <si>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</si>
  <si>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</si>
  <si>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</si>
  <si>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</si>
  <si>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</si>
  <si>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</si>
  <si>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</si>
  <si>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</si>
  <si>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</si>
  <si>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</si>
  <si>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</si>
  <si>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</si>
  <si>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</si>
  <si>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</si>
  <si>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</si>
  <si>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</si>
  <si>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</si>
  <si>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</si>
  <si>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</si>
  <si>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</si>
  <si>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</si>
  <si>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</si>
  <si>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</si>
  <si>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</si>
  <si>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</si>
  <si>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</si>
  <si>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</si>
  <si>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</si>
  <si>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</si>
  <si>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</si>
  <si>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</si>
  <si>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</si>
  <si>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</si>
  <si>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</si>
  <si>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</si>
  <si>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</si>
  <si>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</si>
  <si>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</si>
  <si>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</si>
  <si>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</si>
  <si>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</si>
  <si>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</si>
  <si>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</si>
  <si>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</si>
  <si>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</si>
  <si>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</si>
  <si>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</si>
  <si>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</si>
  <si>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</si>
  <si>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</si>
  <si>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</si>
  <si>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</si>
  <si>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</si>
  <si>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</si>
  <si>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</si>
  <si>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</si>
  <si>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</si>
  <si>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</si>
  <si>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</si>
  <si>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</si>
  <si>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</si>
  <si>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</si>
  <si>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</si>
  <si>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</si>
  <si>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</si>
  <si>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</si>
  <si>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</si>
  <si>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</si>
  <si>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</si>
  <si>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</si>
  <si>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</si>
  <si>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</si>
  <si>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</si>
  <si>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</si>
  <si>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</si>
  <si>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</si>
  <si>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</si>
  <si>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</si>
  <si>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</si>
  <si>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</si>
  <si>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</si>
  <si>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</si>
  <si>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</si>
  <si>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</si>
  <si>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</si>
  <si>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</si>
  <si>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</si>
  <si>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</si>
  <si>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</si>
  <si>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</si>
  <si>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</si>
  <si>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</si>
  <si>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</si>
  <si>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</si>
  <si>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</si>
  <si>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</si>
  <si>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</si>
  <si>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</si>
  <si>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</si>
  <si>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</si>
  <si>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</si>
  <si>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</si>
  <si>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</si>
  <si>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</si>
  <si>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</si>
  <si>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</si>
  <si>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</si>
  <si>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</si>
  <si>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</si>
  <si>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</si>
  <si>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</si>
  <si>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</si>
  <si>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</si>
  <si>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</si>
  <si>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</si>
  <si>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</si>
  <si>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</si>
  <si>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</si>
  <si>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</si>
  <si>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</si>
  <si>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</si>
  <si>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</si>
  <si>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</si>
  <si>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</si>
  <si>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</si>
  <si>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</si>
  <si>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</si>
  <si>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</si>
  <si>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</si>
  <si>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</si>
  <si>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</si>
  <si>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</si>
  <si>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</si>
  <si>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</si>
  <si>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</si>
  <si>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</si>
  <si>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</si>
  <si>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</si>
  <si>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</si>
  <si>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</si>
  <si>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</si>
  <si>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</si>
  <si>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</si>
  <si>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</si>
  <si>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</si>
  <si>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</si>
  <si>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</si>
  <si>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</si>
  <si>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</si>
  <si>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</si>
  <si>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</si>
  <si>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</si>
  <si>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</si>
  <si>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</si>
  <si>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</si>
  <si>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</si>
  <si>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</si>
  <si>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</si>
  <si>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</si>
  <si>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</si>
  <si>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</si>
  <si>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</si>
  <si>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</si>
  <si>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</si>
  <si>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</si>
  <si>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</si>
  <si>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</si>
  <si>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</si>
  <si>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</si>
  <si>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</si>
  <si>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</si>
  <si>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</si>
  <si>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</si>
  <si>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</si>
  <si>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</si>
  <si>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</si>
  <si>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</si>
  <si>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</si>
  <si>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</si>
  <si>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</si>
  <si>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</si>
  <si>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</si>
  <si>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</si>
  <si>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</si>
  <si>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</si>
  <si>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</si>
  <si>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</si>
  <si>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</si>
  <si>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</si>
  <si>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</si>
  <si>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</si>
  <si>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</si>
  <si>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</si>
  <si>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</si>
  <si>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</si>
  <si>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</si>
  <si>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</si>
  <si>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</si>
  <si>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</si>
  <si>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</si>
  <si>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</si>
  <si>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</si>
  <si>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</si>
  <si>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</si>
  <si>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</si>
  <si>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</si>
  <si>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</si>
  <si>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</si>
  <si>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</si>
  <si>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</si>
  <si>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</si>
  <si>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</si>
  <si>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</si>
  <si>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</si>
  <si>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</si>
  <si>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</si>
  <si>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</si>
  <si>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</si>
  <si>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</si>
  <si>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</si>
  <si>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</si>
  <si>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</si>
  <si>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</si>
  <si>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</si>
  <si>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</si>
  <si>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</si>
  <si>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</si>
  <si>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</si>
  <si>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</si>
  <si>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</si>
  <si>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</si>
  <si>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</si>
  <si>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</si>
  <si>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</si>
  <si>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</si>
  <si>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</si>
  <si>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</si>
  <si>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</si>
  <si>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</si>
  <si>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</si>
  <si>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</si>
  <si>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</si>
  <si>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</si>
  <si>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</si>
  <si>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</si>
  <si>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</si>
  <si>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</si>
  <si>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</si>
  <si>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</si>
  <si>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</si>
  <si>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</si>
  <si>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</si>
  <si>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</si>
  <si>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</si>
  <si>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</si>
  <si>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</si>
  <si>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</si>
  <si>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</si>
  <si>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</si>
  <si>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</si>
  <si>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</si>
  <si>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</si>
  <si>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</si>
  <si>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</si>
  <si>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</si>
  <si>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</si>
  <si>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</si>
  <si>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</si>
  <si>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</si>
  <si>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</si>
  <si>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</si>
  <si>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</si>
  <si>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</si>
  <si>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</si>
  <si>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</si>
  <si>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</si>
  <si>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</si>
  <si>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</si>
  <si>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</si>
  <si>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</si>
  <si>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</si>
  <si>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</si>
  <si>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</si>
  <si>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</si>
  <si>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</si>
  <si>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</si>
  <si>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</si>
  <si>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</si>
  <si>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</si>
  <si>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</si>
  <si>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</si>
  <si>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</si>
  <si>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</si>
  <si>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</si>
  <si>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</si>
  <si>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</si>
  <si>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</si>
  <si>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</si>
  <si>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</si>
  <si>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</si>
  <si>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</si>
  <si>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</si>
  <si>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</si>
  <si>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</si>
  <si>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</si>
  <si>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</si>
  <si>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</si>
  <si>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</si>
  <si>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</si>
  <si>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</si>
  <si>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</si>
  <si>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</si>
  <si>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</si>
  <si>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</si>
  <si>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</si>
  <si>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</si>
  <si>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</si>
  <si>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</si>
  <si>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</si>
  <si>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</si>
  <si>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</si>
  <si>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</si>
  <si>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</si>
  <si>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</si>
  <si>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</si>
  <si>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</si>
  <si>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</si>
  <si>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</si>
  <si>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</si>
  <si>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</si>
  <si>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</si>
  <si>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</si>
  <si>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</si>
  <si>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</si>
  <si>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</si>
  <si>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</si>
  <si>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</si>
  <si>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</si>
  <si>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</si>
  <si>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</si>
  <si>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</si>
  <si>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</si>
  <si>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</si>
  <si>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</si>
  <si>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</si>
  <si>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</si>
  <si>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</si>
  <si>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</si>
  <si>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</si>
  <si>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</si>
  <si>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</si>
  <si>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</si>
  <si>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</si>
  <si>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</si>
  <si>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</si>
  <si>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</si>
  <si>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</si>
  <si>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</si>
  <si>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</si>
  <si>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</si>
  <si>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</si>
  <si>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</si>
  <si>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</si>
  <si>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</si>
  <si>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</si>
  <si>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</si>
  <si>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</si>
  <si>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</si>
  <si>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</si>
  <si>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</si>
  <si>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</si>
  <si>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</si>
  <si>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</si>
  <si>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</si>
  <si>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</si>
  <si>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</si>
  <si>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</si>
  <si>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</si>
  <si>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</si>
  <si>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</si>
  <si>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</si>
  <si>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</si>
  <si>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</si>
  <si>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</si>
  <si>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</si>
  <si>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</si>
  <si>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</si>
  <si>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</si>
  <si>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</si>
  <si>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</si>
  <si>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</si>
  <si>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</si>
  <si>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</si>
  <si>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</si>
  <si>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</si>
  <si>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</si>
  <si>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</si>
  <si>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</si>
  <si>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</si>
  <si>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</si>
  <si>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</si>
  <si>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</si>
  <si>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</si>
  <si>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</si>
  <si>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</si>
  <si>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</si>
  <si>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</si>
  <si>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</si>
  <si>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</si>
  <si>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</si>
  <si>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</si>
  <si>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</si>
  <si>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</si>
  <si>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</si>
  <si>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</si>
  <si>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</si>
  <si>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</si>
  <si>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</si>
  <si>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</si>
  <si>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</si>
  <si>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</si>
  <si>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</si>
  <si>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</si>
  <si>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</si>
  <si>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</si>
  <si>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</si>
  <si>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</si>
  <si>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</si>
  <si>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</si>
  <si>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</si>
  <si>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</si>
  <si>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</si>
  <si>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</si>
  <si>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</si>
  <si>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</si>
  <si>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</si>
  <si>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</si>
  <si>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</si>
  <si>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</si>
  <si>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</si>
  <si>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</si>
  <si>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</si>
  <si>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</si>
  <si>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</si>
  <si>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</si>
  <si>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</si>
  <si>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</si>
  <si>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</si>
  <si>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</si>
  <si>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</si>
  <si>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</si>
  <si>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</si>
  <si>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</si>
  <si>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</si>
  <si>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</si>
  <si>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</si>
  <si>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</si>
  <si>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</si>
  <si>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</si>
  <si>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</si>
  <si>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</si>
  <si>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</si>
  <si>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</si>
  <si>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</si>
  <si>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</si>
  <si>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</si>
  <si>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</si>
  <si>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</si>
  <si>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</si>
  <si>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</si>
  <si>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</si>
  <si>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</si>
  <si>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</si>
  <si>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</si>
  <si>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</si>
  <si>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</si>
  <si>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</si>
  <si>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</si>
  <si>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</si>
  <si>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</si>
  <si>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</si>
  <si>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</si>
  <si>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</si>
  <si>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</si>
  <si>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</si>
  <si>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</si>
  <si>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</si>
  <si>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</si>
  <si>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</si>
  <si>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</si>
  <si>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</si>
  <si>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</si>
  <si>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</si>
  <si>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</si>
  <si>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</si>
  <si>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</si>
  <si>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</si>
  <si>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</si>
  <si>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</si>
  <si>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</si>
  <si>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</si>
  <si>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</si>
  <si>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</si>
  <si>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</si>
  <si>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</si>
  <si>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</si>
  <si>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</si>
  <si>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</si>
  <si>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</si>
  <si>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</si>
  <si>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</si>
  <si>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</si>
  <si>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</si>
  <si>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</si>
  <si>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</si>
  <si>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</si>
  <si>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</si>
  <si>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</si>
  <si>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</si>
  <si>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</si>
  <si>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</si>
  <si>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</si>
  <si>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</si>
  <si>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</si>
  <si>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</si>
  <si>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</si>
  <si>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</si>
  <si>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</si>
  <si>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</si>
  <si>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</si>
  <si>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</si>
  <si>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</si>
  <si>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</si>
  <si>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</si>
  <si>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</si>
  <si>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</si>
  <si>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</si>
  <si>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</si>
  <si>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</si>
  <si>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</si>
  <si>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</si>
  <si>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</si>
  <si>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</si>
  <si>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</si>
  <si>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</si>
  <si>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</si>
  <si>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</si>
  <si>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</si>
  <si>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</si>
  <si>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</si>
  <si>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</si>
  <si>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</si>
  <si>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</si>
  <si>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</si>
  <si>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</si>
  <si>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</si>
  <si>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</si>
  <si>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</si>
  <si>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</si>
  <si>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</si>
  <si>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</si>
  <si>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</si>
  <si>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</si>
  <si>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</si>
  <si>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</si>
  <si>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</si>
  <si>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</si>
  <si>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</si>
  <si>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</si>
  <si>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</si>
  <si>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</si>
  <si>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</si>
  <si>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</si>
  <si>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</si>
  <si>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</si>
  <si>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</si>
  <si>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</si>
  <si>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</si>
  <si>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</si>
  <si>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</si>
  <si>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</si>
  <si>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</si>
  <si>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</si>
  <si>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</si>
  <si>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</si>
  <si>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</si>
  <si>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</si>
  <si>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</si>
  <si>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</si>
  <si>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</si>
  <si>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</si>
  <si>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</si>
  <si>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</si>
  <si>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</si>
  <si>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</si>
  <si>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</si>
  <si>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</si>
  <si>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</si>
  <si>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</si>
  <si>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</si>
  <si>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</si>
  <si>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</si>
  <si>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</si>
  <si>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</si>
  <si>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</si>
  <si>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</si>
  <si>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</si>
  <si>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</si>
  <si>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</si>
  <si>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</si>
  <si>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</si>
  <si>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</si>
  <si>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</si>
  <si>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</si>
  <si>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</si>
  <si>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</si>
  <si>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</si>
  <si>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</si>
  <si>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</si>
  <si>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</si>
  <si>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</si>
  <si>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</si>
  <si>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</si>
  <si>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</si>
  <si>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</si>
  <si>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</si>
  <si>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</si>
  <si>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</si>
  <si>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</si>
  <si>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</si>
  <si>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</si>
  <si>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</si>
  <si>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</si>
  <si>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</si>
  <si>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</si>
  <si>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</si>
  <si>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</si>
  <si>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</si>
  <si>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</si>
  <si>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</si>
  <si>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</si>
  <si>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</si>
  <si>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</si>
  <si>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</si>
  <si>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</si>
  <si>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</si>
  <si>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</si>
  <si>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</si>
  <si>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</si>
  <si>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</si>
  <si>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</si>
  <si>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</si>
  <si>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</si>
  <si>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</si>
  <si>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</si>
  <si>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</si>
  <si>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</si>
  <si>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</si>
  <si>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</si>
  <si>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</si>
  <si>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</si>
  <si>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</si>
  <si>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</si>
  <si>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</si>
  <si>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</si>
  <si>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</si>
  <si>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</si>
  <si>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</si>
  <si>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</si>
  <si>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</si>
  <si>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</si>
  <si>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</si>
  <si>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</si>
  <si>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</si>
  <si>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</si>
  <si>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</si>
  <si>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</si>
  <si>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</si>
  <si>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</si>
  <si>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</si>
  <si>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</si>
  <si>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</si>
  <si>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</si>
  <si>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</si>
  <si>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</si>
  <si>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</si>
  <si>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</si>
  <si>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</si>
  <si>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</si>
  <si>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</si>
  <si>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</si>
  <si>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</si>
  <si>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</si>
  <si>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</si>
  <si>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</si>
  <si>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</si>
  <si>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</si>
  <si>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</si>
  <si>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</si>
  <si>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</si>
  <si>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</si>
  <si>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</si>
  <si>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</si>
  <si>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</si>
  <si>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</si>
  <si>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</si>
  <si>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</si>
  <si>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</si>
  <si>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</si>
  <si>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</si>
  <si>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</si>
  <si>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</si>
  <si>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</si>
  <si>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</si>
  <si>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</si>
  <si>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</si>
  <si>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</si>
  <si>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</si>
  <si>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</si>
  <si>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</si>
  <si>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</si>
  <si>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</si>
  <si>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</si>
  <si>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</si>
  <si>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</si>
  <si>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</si>
  <si>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</si>
  <si>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</si>
  <si>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</si>
  <si>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</si>
  <si>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</si>
  <si>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</si>
  <si>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</si>
  <si>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</si>
  <si>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</si>
  <si>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</si>
  <si>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</si>
  <si>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</si>
  <si>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</si>
  <si>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</si>
  <si>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</si>
  <si>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</si>
  <si>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</si>
  <si>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</si>
  <si>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</si>
  <si>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</si>
  <si>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</si>
  <si>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</si>
  <si>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</si>
  <si>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</si>
  <si>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</si>
  <si>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</si>
  <si>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</si>
  <si>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</si>
  <si>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</si>
  <si>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</si>
  <si>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</si>
  <si>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</si>
  <si>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</si>
  <si>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</si>
  <si>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</si>
  <si>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</si>
  <si>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</si>
  <si>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</si>
  <si>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</si>
  <si>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</si>
  <si>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</si>
  <si>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</si>
  <si>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</si>
  <si>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</si>
  <si>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</si>
  <si>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</si>
  <si>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</si>
  <si>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</si>
  <si>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</si>
  <si>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</si>
  <si>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</si>
  <si>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</si>
  <si>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</si>
  <si>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</si>
  <si>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</si>
  <si>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</si>
  <si>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</si>
  <si>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</si>
  <si>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</si>
  <si>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</si>
  <si>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</si>
  <si>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</si>
  <si>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</si>
  <si>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</si>
  <si>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</si>
  <si>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</si>
  <si>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</si>
  <si>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</si>
  <si>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</si>
  <si>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</si>
  <si>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</si>
  <si>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</si>
  <si>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</si>
  <si>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</si>
  <si>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</si>
  <si>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</si>
  <si>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</si>
  <si>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</si>
  <si>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</si>
  <si>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</si>
  <si>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</si>
  <si>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</si>
  <si>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</si>
  <si>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</si>
  <si>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</si>
  <si>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</si>
  <si>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</si>
  <si>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</si>
  <si>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</si>
  <si>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</si>
  <si>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</si>
  <si>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</si>
  <si>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</si>
  <si>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</si>
  <si>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</si>
  <si>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</si>
  <si>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</si>
  <si>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</si>
  <si>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</si>
  <si>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</si>
  <si>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</si>
  <si>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</si>
  <si>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</si>
  <si>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</si>
  <si>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</si>
  <si>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</si>
  <si>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</si>
  <si>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</si>
  <si>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</si>
  <si>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</si>
  <si>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</si>
  <si>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</si>
  <si>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</si>
  <si>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</si>
  <si>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</si>
  <si>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</si>
  <si>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</si>
  <si>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</si>
  <si>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</si>
  <si>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</si>
  <si>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</si>
  <si>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</si>
  <si>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</si>
  <si>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</si>
  <si>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</si>
  <si>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</si>
  <si>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</si>
  <si>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</si>
  <si>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</si>
  <si>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</si>
  <si>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</si>
  <si>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</si>
  <si>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</si>
  <si>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</si>
  <si>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</si>
  <si>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</si>
  <si>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</si>
  <si>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</si>
  <si>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</si>
  <si>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</si>
  <si>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</si>
  <si>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</si>
  <si>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</si>
  <si>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</si>
  <si>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</si>
  <si>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</si>
  <si>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</si>
  <si>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</si>
  <si>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</si>
  <si>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</si>
  <si>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</si>
  <si>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</si>
  <si>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</si>
  <si>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</si>
  <si>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</si>
  <si>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</si>
  <si>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</si>
  <si>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</si>
  <si>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</si>
  <si>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</si>
  <si>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</si>
  <si>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</si>
  <si>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</si>
  <si>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</si>
  <si>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</si>
  <si>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</si>
  <si>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</si>
  <si>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</si>
  <si>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</si>
  <si>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</si>
  <si>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</si>
  <si>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</si>
  <si>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</si>
  <si>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</si>
  <si>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</si>
  <si>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</si>
  <si>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</si>
  <si>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</si>
  <si>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</si>
  <si>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</si>
  <si>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</si>
  <si>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</si>
  <si>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</si>
  <si>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</si>
  <si>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</si>
  <si>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</si>
  <si>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</si>
  <si>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</si>
  <si>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</si>
  <si>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</si>
  <si>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</si>
  <si>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</si>
  <si>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</si>
  <si>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</si>
  <si>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</si>
  <si>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</si>
  <si>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</si>
  <si>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</si>
  <si>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</si>
  <si>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</si>
  <si>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</si>
  <si>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</si>
  <si>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</si>
  <si>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</si>
  <si>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</si>
  <si>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</si>
  <si>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</si>
  <si>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</si>
  <si>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</si>
  <si>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</si>
  <si>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</si>
  <si>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</si>
  <si>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</si>
  <si>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</si>
  <si>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</si>
  <si>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</si>
  <si>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</si>
  <si>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</si>
  <si>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</si>
  <si>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</si>
  <si>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</si>
  <si>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</si>
  <si>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</si>
  <si>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</si>
  <si>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</si>
  <si>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</si>
  <si>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</si>
  <si>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</si>
  <si>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</si>
  <si>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</si>
  <si>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</si>
  <si>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</si>
  <si>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</si>
  <si>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</si>
  <si>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</si>
  <si>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</si>
  <si>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</si>
  <si>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</si>
  <si>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</si>
  <si>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</si>
  <si>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</si>
  <si>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</si>
  <si>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</si>
  <si>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</si>
  <si>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</si>
  <si>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</si>
  <si>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</si>
  <si>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</si>
  <si>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</si>
  <si>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</si>
  <si>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</si>
  <si>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</si>
  <si>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</si>
  <si>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</si>
  <si>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</si>
  <si>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</si>
  <si>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</si>
  <si>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</si>
  <si>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</si>
  <si>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</si>
  <si>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</si>
  <si>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</si>
  <si>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</si>
  <si>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</si>
  <si>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</si>
  <si>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</si>
  <si>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</si>
  <si>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</si>
  <si>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</si>
  <si>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</si>
  <si>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</si>
  <si>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</si>
  <si>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</si>
  <si>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</si>
  <si>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</si>
  <si>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</si>
  <si>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</si>
  <si>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</si>
  <si>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</si>
  <si>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</si>
  <si>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</si>
  <si>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</si>
  <si>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</si>
  <si>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</si>
  <si>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</si>
  <si>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</si>
  <si>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</si>
  <si>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</si>
  <si>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</si>
  <si>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</si>
  <si>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</si>
  <si>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</si>
  <si>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</si>
  <si>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</si>
  <si>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</si>
  <si>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</si>
  <si>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</si>
  <si>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</si>
  <si>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</si>
  <si>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</si>
  <si>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</si>
  <si>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</si>
  <si>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</si>
  <si>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</si>
  <si>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</si>
  <si>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</si>
  <si>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</si>
  <si>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</si>
  <si>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</si>
  <si>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</si>
  <si>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</si>
  <si>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</si>
  <si>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</si>
  <si>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</si>
  <si>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</si>
  <si>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</si>
  <si>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</si>
  <si>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</si>
  <si>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</si>
  <si>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</si>
  <si>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</si>
  <si>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</si>
  <si>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</si>
  <si>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</si>
  <si>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</si>
  <si>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</si>
  <si>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</si>
  <si>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</si>
  <si>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</si>
  <si>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</si>
  <si>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</si>
  <si>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</si>
  <si>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</si>
  <si>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</si>
  <si>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</si>
  <si>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</si>
  <si>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</si>
  <si>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</si>
  <si>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</si>
  <si>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</si>
  <si>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</si>
  <si>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</si>
  <si>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</si>
  <si>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</si>
  <si>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</si>
  <si>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</si>
  <si>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</si>
  <si>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</si>
  <si>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</si>
  <si>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</si>
  <si>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</si>
  <si>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</si>
  <si>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</si>
  <si>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</si>
  <si>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</si>
  <si>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</si>
  <si>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</si>
  <si>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</si>
  <si>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</si>
  <si>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</si>
  <si>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</si>
  <si>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</si>
  <si>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</si>
  <si>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</si>
  <si>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</si>
  <si>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</si>
  <si>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</si>
  <si>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</si>
  <si>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</si>
  <si>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</si>
  <si>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</si>
  <si>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</si>
  <si>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</si>
  <si>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</si>
  <si>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</si>
  <si>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</si>
  <si>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</si>
  <si>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</si>
  <si>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</si>
  <si>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</si>
  <si>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</si>
  <si>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</si>
  <si>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</si>
  <si>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</si>
  <si>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</si>
  <si>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</si>
  <si>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</si>
  <si>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</si>
  <si>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</si>
  <si>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</si>
  <si>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</si>
  <si>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</si>
  <si>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</si>
  <si>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</si>
  <si>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</si>
  <si>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</si>
  <si>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</si>
  <si>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</si>
  <si>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</si>
  <si>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</si>
  <si>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</si>
  <si>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</si>
  <si>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</si>
  <si>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</si>
  <si>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</si>
  <si>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</si>
  <si>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</si>
  <si>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</si>
  <si>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</si>
  <si>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</si>
  <si>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</si>
  <si>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</si>
  <si>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</si>
  <si>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</si>
  <si>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</si>
  <si>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</si>
  <si>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</si>
  <si>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</si>
  <si>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</si>
  <si>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</si>
  <si>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</si>
  <si>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</si>
  <si>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</si>
  <si>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</si>
  <si>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</si>
  <si>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</si>
  <si>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</si>
  <si>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</si>
  <si>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</si>
  <si>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</si>
  <si>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</si>
  <si>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</si>
  <si>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</si>
  <si>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</si>
  <si>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</si>
  <si>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</si>
  <si>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</si>
  <si>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</si>
  <si>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</si>
  <si>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</si>
  <si>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</si>
  <si>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</si>
  <si>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</si>
  <si>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</si>
  <si>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</si>
  <si>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</si>
  <si>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</si>
  <si>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</si>
  <si>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</si>
  <si>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</si>
  <si>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</si>
  <si>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</si>
  <si>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</si>
  <si>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</si>
  <si>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</si>
  <si>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</si>
  <si>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</si>
  <si>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</si>
  <si>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</si>
  <si>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</si>
  <si>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</si>
  <si>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</si>
  <si>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</si>
  <si>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</si>
  <si>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</si>
  <si>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</si>
  <si>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</si>
  <si>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</si>
  <si>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</si>
  <si>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</si>
  <si>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</si>
  <si>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</si>
  <si>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</si>
  <si>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</si>
  <si>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</si>
  <si>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</si>
  <si>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</si>
  <si>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</si>
  <si>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</si>
  <si>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</si>
  <si>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</si>
  <si>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</si>
  <si>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</si>
  <si>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</si>
  <si>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</si>
  <si>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</si>
  <si>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</si>
  <si>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</si>
  <si>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</si>
  <si>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</si>
  <si>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</si>
  <si>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</si>
  <si>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</si>
  <si>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</si>
  <si>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</si>
  <si>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</si>
  <si>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</si>
  <si>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</si>
  <si>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</si>
  <si>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</si>
  <si>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</si>
  <si>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</si>
  <si>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</si>
  <si>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</si>
  <si>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</si>
  <si>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</si>
  <si>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</si>
  <si>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</si>
  <si>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</si>
  <si>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</si>
  <si>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</si>
  <si>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</si>
  <si>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</si>
  <si>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</si>
  <si>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</si>
  <si>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</si>
  <si>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</si>
  <si>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</si>
  <si>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</si>
  <si>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</si>
  <si>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</si>
  <si>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</si>
  <si>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</si>
  <si>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</si>
  <si>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</si>
  <si>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</si>
  <si>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</si>
  <si>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</si>
  <si>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</si>
  <si>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</si>
  <si>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</si>
  <si>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</si>
  <si>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</si>
  <si>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</si>
  <si>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</si>
  <si>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</si>
  <si>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</si>
  <si>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</si>
  <si>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</si>
  <si>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</si>
  <si>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</si>
  <si>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</si>
  <si>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</si>
  <si>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</si>
  <si>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</si>
  <si>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</si>
  <si>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</si>
  <si>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</si>
  <si>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</si>
  <si>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</si>
  <si>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</si>
  <si>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</si>
  <si>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</si>
  <si>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</si>
  <si>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</si>
  <si>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</si>
  <si>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</si>
  <si>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</si>
  <si>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</si>
  <si>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</si>
  <si>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</si>
  <si>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</si>
  <si>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</si>
  <si>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</si>
  <si>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</si>
  <si>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</si>
  <si>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</si>
  <si>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</si>
  <si>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</si>
  <si>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</si>
  <si>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</si>
  <si>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</si>
  <si>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</si>
  <si>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</si>
  <si>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</si>
  <si>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</si>
  <si>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</si>
  <si>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</si>
  <si>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</si>
  <si>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</si>
  <si>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</si>
  <si>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</si>
  <si>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</si>
  <si>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</si>
  <si>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</si>
  <si>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</si>
  <si>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</si>
  <si>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</si>
  <si>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</si>
  <si>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</si>
  <si>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</si>
  <si>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</si>
  <si>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</si>
  <si>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</si>
  <si>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</si>
  <si>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</si>
  <si>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</si>
  <si>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</si>
  <si>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</si>
  <si>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</si>
  <si>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</si>
  <si>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</si>
  <si>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</si>
  <si>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</si>
  <si>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</si>
  <si>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</si>
  <si>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</si>
  <si>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</si>
  <si>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</si>
  <si>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</si>
  <si>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</si>
  <si>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</si>
  <si>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</si>
  <si>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</si>
  <si>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</si>
  <si>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</si>
  <si>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</si>
  <si>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</si>
  <si>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</si>
  <si>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</si>
  <si>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</si>
  <si>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</si>
  <si>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</si>
  <si>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</si>
  <si>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</si>
  <si>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</si>
  <si>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</si>
  <si>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</si>
  <si>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</si>
  <si>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</si>
  <si>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</si>
  <si>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</si>
  <si>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</si>
  <si>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</si>
  <si>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</si>
  <si>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</si>
  <si>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</si>
  <si>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</si>
  <si>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</si>
  <si>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</si>
  <si>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</si>
  <si>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</si>
  <si>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</si>
  <si>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</si>
  <si>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</si>
  <si>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</si>
  <si>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</si>
  <si>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</si>
  <si>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</si>
  <si>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</si>
  <si>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</si>
  <si>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</si>
  <si>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</si>
  <si>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</si>
  <si>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</si>
  <si>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</si>
  <si>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</si>
  <si>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</si>
  <si>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</si>
  <si>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</si>
  <si>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</si>
  <si>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</si>
  <si>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</si>
  <si>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</si>
  <si>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</si>
  <si>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</si>
  <si>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</si>
  <si>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</si>
  <si>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</si>
  <si>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</si>
  <si>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</si>
  <si>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</si>
  <si>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</si>
  <si>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</si>
  <si>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</si>
  <si>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</si>
  <si>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</si>
  <si>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</si>
  <si>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</si>
  <si>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</si>
  <si>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</si>
  <si>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</si>
  <si>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</si>
  <si>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</si>
  <si>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</si>
  <si>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</si>
  <si>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</si>
  <si>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</si>
  <si>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</si>
  <si>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</si>
  <si>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</si>
  <si>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</si>
  <si>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</si>
  <si>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</si>
  <si>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</si>
  <si>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</si>
  <si>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</si>
  <si>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</si>
  <si>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</si>
  <si>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</si>
  <si>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</si>
  <si>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</si>
  <si>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</si>
  <si>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</si>
  <si>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</si>
  <si>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</si>
  <si>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</si>
  <si>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</si>
  <si>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</si>
  <si>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</si>
  <si>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</si>
  <si>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</si>
  <si>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</si>
  <si>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</si>
  <si>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</si>
  <si>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</si>
  <si>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</si>
  <si>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</si>
  <si>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</si>
  <si>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</si>
  <si>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</si>
  <si>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</si>
  <si>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</si>
  <si>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</si>
  <si>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</si>
  <si>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</si>
  <si>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</si>
  <si>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</si>
  <si>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</si>
  <si>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</si>
  <si>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</si>
  <si>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</si>
  <si>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</si>
  <si>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</si>
  <si>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</si>
  <si>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</si>
  <si>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</si>
  <si>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</si>
  <si>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</si>
  <si>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</si>
  <si>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</si>
  <si>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</si>
  <si>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</si>
  <si>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</si>
  <si>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</si>
  <si>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</si>
  <si>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</si>
  <si>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</si>
  <si>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</si>
  <si>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</si>
  <si>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</si>
  <si>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</si>
  <si>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</si>
  <si>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</si>
  <si>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</si>
  <si>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</si>
  <si>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</si>
  <si>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</si>
  <si>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</si>
  <si>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</si>
  <si>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</si>
  <si>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</si>
  <si>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</si>
  <si>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</si>
  <si>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</si>
  <si>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</si>
  <si>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</si>
  <si>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</si>
  <si>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</si>
  <si>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</si>
  <si>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</si>
  <si>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</si>
  <si>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</si>
  <si>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</si>
  <si>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</si>
  <si>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</si>
  <si>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</si>
  <si>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</si>
  <si>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</si>
  <si>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</si>
  <si>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</si>
  <si>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</si>
  <si>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</si>
  <si>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</si>
  <si>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</si>
  <si>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</si>
  <si>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</si>
  <si>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</si>
  <si>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</si>
  <si>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</si>
  <si>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</si>
  <si>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</si>
  <si>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</si>
  <si>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</si>
  <si>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</si>
  <si>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</si>
  <si>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</si>
  <si>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</si>
  <si>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</si>
  <si>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</si>
  <si>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</si>
  <si>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</si>
  <si>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</si>
  <si>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</si>
  <si>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</si>
  <si>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</si>
  <si>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</si>
  <si>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</si>
  <si>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</si>
  <si>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</si>
  <si>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</si>
  <si>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</si>
  <si>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</si>
  <si>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</si>
  <si>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</si>
  <si>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</si>
  <si>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</si>
  <si>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</si>
  <si>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</si>
  <si>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</si>
  <si>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</si>
  <si>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</si>
  <si>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</si>
  <si>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</si>
  <si>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</si>
  <si>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</si>
  <si>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</si>
  <si>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</si>
  <si>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</si>
  <si>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</si>
  <si>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</si>
  <si>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</si>
  <si>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</si>
  <si>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</si>
  <si>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</si>
  <si>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</si>
  <si>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</si>
  <si>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</si>
  <si>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</si>
  <si>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</si>
  <si>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</si>
  <si>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</si>
  <si>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</si>
  <si>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</si>
  <si>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</si>
  <si>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</si>
  <si>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</si>
  <si>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</si>
  <si>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</si>
  <si>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</si>
  <si>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</si>
  <si>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</si>
  <si>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</si>
  <si>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</si>
  <si>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</si>
  <si>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</si>
  <si>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</si>
  <si>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</si>
  <si>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</si>
  <si>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</si>
  <si>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</si>
  <si>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</si>
  <si>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</si>
  <si>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</si>
  <si>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</si>
  <si>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</si>
  <si>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</si>
  <si>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</si>
  <si>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</si>
  <si>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</si>
  <si>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</si>
  <si>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</si>
  <si>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</si>
  <si>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</si>
  <si>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</si>
  <si>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</si>
  <si>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</si>
  <si>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</si>
  <si>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</si>
  <si>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</si>
  <si>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</si>
  <si>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</si>
  <si>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</si>
  <si>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</si>
  <si>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</si>
  <si>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</si>
  <si>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</si>
  <si>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</si>
  <si>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</si>
  <si>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</si>
  <si>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</si>
  <si>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</si>
  <si>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</si>
  <si>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</si>
  <si>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</si>
  <si>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</si>
  <si>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</si>
  <si>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</si>
  <si>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</si>
  <si>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</si>
  <si>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</si>
  <si>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</si>
  <si>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</si>
  <si>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</si>
  <si>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</si>
  <si>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</si>
  <si>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</si>
  <si>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</si>
  <si>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</si>
  <si>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</si>
  <si>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</si>
  <si>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</si>
  <si>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</si>
  <si>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</si>
  <si>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</si>
  <si>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</si>
  <si>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</si>
  <si>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</si>
  <si>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</si>
  <si>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</si>
  <si>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</si>
  <si>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</si>
  <si>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</si>
  <si>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</si>
  <si>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</si>
  <si>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</si>
  <si>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</si>
  <si>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</si>
  <si>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</si>
  <si>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</si>
  <si>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</si>
  <si>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</si>
  <si>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</si>
  <si>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</si>
  <si>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</si>
  <si>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</si>
  <si>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</si>
  <si>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</si>
  <si>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</si>
  <si>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</si>
  <si>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</si>
  <si>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</si>
  <si>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</si>
  <si>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</si>
  <si>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</si>
  <si>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</si>
  <si>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</si>
  <si>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</si>
  <si>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</si>
  <si>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</si>
  <si>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</si>
  <si>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</si>
  <si>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</si>
  <si>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</si>
  <si>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</si>
  <si>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</si>
  <si>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</si>
  <si>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</si>
  <si>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</si>
  <si>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</si>
  <si>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</si>
  <si>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</si>
  <si>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</si>
  <si>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</si>
  <si>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</si>
  <si>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</si>
  <si>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</si>
  <si>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</si>
  <si>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</si>
  <si>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</si>
  <si>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</si>
  <si>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</si>
  <si>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</si>
  <si>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</si>
  <si>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</si>
  <si>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</si>
  <si>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</si>
  <si>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</si>
  <si>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</si>
  <si>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</si>
  <si>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</si>
  <si>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</si>
  <si>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</si>
  <si>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</si>
  <si>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</si>
  <si>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</si>
  <si>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</si>
  <si>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</si>
  <si>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</si>
  <si>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</si>
  <si>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</si>
  <si>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</si>
  <si>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</si>
  <si>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</si>
  <si>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</si>
  <si>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</si>
  <si>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</si>
  <si>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</si>
  <si>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</si>
  <si>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</si>
  <si>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</si>
  <si>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</si>
  <si>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</si>
  <si>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</si>
  <si>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</si>
  <si>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</si>
  <si>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</si>
  <si>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</si>
  <si>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</si>
  <si>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</si>
  <si>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</si>
  <si>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</si>
  <si>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</si>
  <si>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</si>
  <si>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</si>
  <si>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</si>
  <si>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</si>
  <si>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</si>
  <si>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</si>
  <si>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</si>
  <si>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</si>
  <si>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</si>
  <si>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</si>
  <si>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</si>
  <si>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</si>
  <si>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</si>
  <si>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</si>
  <si>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</si>
  <si>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</si>
  <si>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</si>
  <si>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</si>
  <si>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</si>
  <si>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</si>
  <si>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</si>
  <si>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</si>
  <si>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</si>
  <si>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</si>
  <si>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</si>
  <si>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</si>
  <si>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</si>
  <si>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</si>
  <si>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</si>
  <si>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</si>
  <si>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</si>
  <si>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</si>
  <si>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</si>
  <si>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</si>
  <si>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</si>
  <si>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</si>
  <si>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</si>
  <si>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</si>
  <si>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</si>
  <si>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</si>
  <si>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</si>
  <si>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</si>
  <si>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</si>
  <si>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</si>
  <si>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</si>
  <si>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</si>
  <si>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</si>
  <si>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</si>
  <si>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</si>
  <si>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</si>
  <si>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</si>
  <si>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</si>
  <si>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</si>
  <si>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</si>
  <si>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</si>
  <si>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</si>
  <si>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</si>
  <si>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</si>
  <si>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</si>
  <si>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</si>
  <si>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</si>
  <si>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</si>
  <si>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</si>
  <si>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</si>
  <si>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</si>
  <si>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</si>
  <si>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</si>
  <si>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</si>
  <si>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</si>
  <si>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</si>
  <si>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</si>
  <si>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</si>
  <si>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</si>
  <si>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</si>
  <si>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</si>
  <si>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</si>
  <si>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</si>
  <si>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</si>
  <si>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</si>
  <si>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</si>
  <si>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</si>
  <si>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</si>
  <si>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</si>
  <si>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</si>
  <si>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</si>
  <si>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</si>
  <si>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</si>
  <si>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</si>
  <si>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</si>
  <si>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</si>
  <si>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</si>
  <si>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</si>
  <si>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</si>
  <si>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</si>
  <si>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</si>
  <si>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</si>
  <si>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</si>
  <si>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</si>
  <si>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</si>
  <si>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</si>
  <si>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</si>
  <si>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</si>
  <si>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</si>
  <si>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</si>
  <si>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</si>
  <si>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</si>
  <si>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</si>
  <si>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</si>
  <si>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</si>
  <si>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</si>
  <si>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</si>
  <si>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</si>
  <si>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</si>
  <si>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</si>
  <si>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</si>
  <si>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</si>
  <si>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</si>
  <si>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</si>
  <si>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</si>
  <si>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</si>
  <si>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</si>
  <si>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</si>
  <si>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</si>
  <si>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</si>
  <si>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</si>
  <si>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</si>
  <si>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</si>
  <si>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</si>
  <si>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</si>
  <si>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</si>
  <si>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</si>
  <si>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</si>
  <si>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</si>
  <si>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</si>
  <si>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</si>
  <si>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</si>
  <si>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</si>
  <si>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</si>
  <si>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</si>
  <si>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</si>
  <si>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</si>
  <si>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</si>
  <si>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</si>
  <si>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</si>
  <si>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</si>
  <si>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</si>
  <si>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</si>
  <si>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</si>
  <si>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</si>
  <si>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</si>
  <si>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</si>
  <si>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</si>
  <si>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</si>
  <si>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</si>
  <si>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</si>
  <si>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</si>
  <si>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</si>
  <si>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</si>
  <si>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</si>
  <si>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</si>
  <si>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</si>
  <si>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</si>
  <si>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</si>
  <si>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</si>
  <si>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</si>
  <si>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</si>
  <si>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</si>
  <si>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</si>
  <si>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</si>
  <si>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</si>
  <si>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</si>
  <si>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</si>
  <si>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</si>
  <si>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</si>
  <si>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</si>
  <si>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</si>
  <si>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</si>
  <si>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</si>
  <si>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</si>
  <si>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</si>
  <si>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</si>
  <si>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</si>
  <si>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</si>
  <si>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</si>
  <si>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</si>
  <si>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</si>
  <si>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</si>
  <si>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</si>
  <si>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</si>
  <si>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</si>
  <si>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</si>
  <si>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</si>
  <si>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</si>
  <si>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</si>
  <si>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</si>
  <si>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</si>
  <si>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</si>
  <si>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</si>
  <si>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</si>
  <si>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</si>
  <si>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</si>
  <si>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</si>
  <si>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</si>
  <si>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</si>
  <si>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</si>
  <si>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</si>
  <si>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</si>
  <si>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</si>
  <si>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</si>
  <si>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</si>
  <si>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</si>
  <si>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</si>
  <si>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</si>
  <si>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</si>
  <si>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</si>
  <si>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</si>
  <si>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</si>
  <si>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</si>
  <si>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</si>
  <si>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</si>
  <si>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</si>
  <si>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</si>
  <si>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</si>
  <si>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</si>
  <si>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</si>
  <si>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</si>
  <si>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</si>
  <si>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</si>
  <si>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</si>
  <si>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</si>
  <si>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</si>
  <si>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</si>
  <si>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</si>
  <si>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</si>
  <si>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</si>
  <si>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</si>
  <si>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</si>
  <si>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</si>
  <si>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</si>
  <si>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</si>
  <si>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</si>
  <si>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</si>
  <si>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</si>
  <si>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</si>
  <si>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</si>
  <si>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</si>
  <si>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</si>
  <si>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</si>
  <si>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</si>
  <si>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</si>
  <si>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</si>
  <si>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</si>
  <si>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</si>
  <si>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</si>
  <si>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</si>
  <si>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</si>
  <si>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</si>
  <si>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</si>
  <si>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</si>
  <si>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</si>
  <si>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</si>
  <si>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</si>
  <si>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</si>
  <si>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</si>
  <si>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</si>
  <si>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</si>
  <si>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</si>
  <si>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</si>
  <si>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</si>
  <si>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</si>
  <si>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</si>
  <si>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</si>
  <si>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</si>
  <si>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</si>
  <si>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</si>
  <si>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</si>
  <si>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</si>
  <si>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</si>
  <si>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</si>
  <si>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</si>
  <si>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</si>
  <si>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</si>
  <si>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</si>
  <si>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</si>
  <si>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</si>
  <si>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</si>
  <si>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</si>
  <si>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</si>
  <si>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</si>
  <si>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</si>
  <si>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</si>
  <si>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</si>
  <si>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</si>
  <si>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</si>
  <si>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</si>
  <si>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</si>
  <si>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</si>
  <si>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</si>
  <si>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</si>
  <si>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</si>
  <si>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</si>
  <si>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</si>
  <si>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</si>
  <si>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</si>
  <si>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</si>
  <si>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</si>
  <si>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</si>
  <si>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</si>
  <si>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</si>
  <si>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</si>
  <si>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</si>
  <si>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</si>
  <si>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</si>
  <si>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</si>
  <si>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</si>
  <si>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</si>
  <si>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</si>
  <si>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</si>
  <si>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</si>
  <si>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</si>
  <si>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</si>
  <si>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</si>
  <si>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</si>
  <si>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</si>
  <si>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</si>
  <si>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</si>
  <si>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</si>
  <si>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</si>
  <si>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</si>
  <si>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</si>
  <si>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</si>
  <si>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</si>
  <si>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</si>
  <si>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</si>
  <si>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</si>
  <si>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</si>
  <si>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</si>
  <si>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</si>
  <si>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</si>
  <si>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</si>
  <si>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</si>
  <si>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</si>
  <si>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</si>
  <si>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</si>
  <si>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</si>
  <si>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</si>
  <si>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</si>
  <si>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</si>
  <si>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</si>
  <si>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</si>
  <si>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</si>
  <si>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</si>
  <si>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</si>
  <si>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</si>
  <si>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</si>
  <si>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</si>
  <si>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</si>
  <si>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</si>
  <si>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</si>
  <si>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</si>
  <si>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</si>
  <si>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</si>
  <si>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</si>
  <si>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</si>
  <si>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</si>
  <si>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</si>
  <si>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</si>
  <si>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</si>
  <si>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</si>
  <si>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</si>
  <si>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</si>
  <si>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</si>
  <si>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</si>
  <si>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</si>
  <si>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</si>
  <si>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</si>
  <si>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</si>
  <si>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</si>
  <si>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</si>
  <si>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</si>
  <si>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</si>
  <si>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</si>
  <si>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</si>
  <si>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</si>
  <si>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</si>
  <si>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</si>
  <si>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</si>
  <si>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</si>
  <si>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</si>
  <si>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</si>
  <si>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</si>
  <si>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</si>
  <si>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</si>
  <si>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</si>
  <si>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</si>
  <si>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</si>
  <si>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</si>
  <si>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</si>
  <si>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</si>
  <si>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</si>
  <si>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</si>
  <si>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</si>
  <si>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</si>
  <si>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</si>
  <si>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</si>
  <si>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</si>
  <si>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</si>
  <si>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</si>
  <si>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</si>
  <si>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</si>
  <si>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</si>
  <si>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</si>
  <si>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</si>
  <si>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</si>
  <si>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</si>
  <si>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</si>
  <si>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</si>
  <si>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</si>
  <si>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</si>
  <si>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</si>
  <si>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</si>
  <si>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</si>
  <si>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</si>
  <si>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</si>
  <si>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</si>
  <si>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</si>
  <si>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</si>
  <si>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</si>
  <si>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</si>
  <si>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</si>
  <si>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</si>
  <si>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</si>
  <si>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</si>
  <si>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</si>
  <si>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</si>
  <si>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</si>
  <si>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</si>
  <si>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</si>
  <si>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</si>
  <si>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</si>
  <si>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</si>
  <si>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</si>
  <si>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</si>
  <si>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</si>
  <si>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</si>
  <si>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</si>
  <si>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</si>
  <si>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</si>
  <si>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</si>
  <si>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</si>
  <si>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</si>
  <si>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</si>
  <si>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</si>
  <si>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</si>
  <si>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</si>
  <si>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</si>
  <si>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</si>
  <si>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</si>
  <si>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</si>
  <si>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</si>
  <si>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</si>
  <si>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</si>
  <si>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</si>
  <si>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</si>
  <si>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</si>
  <si>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</si>
  <si>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</si>
  <si>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</si>
  <si>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</si>
  <si>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</si>
  <si>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</si>
  <si>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</si>
  <si>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</si>
  <si>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</si>
  <si>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</si>
  <si>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</si>
  <si>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</si>
  <si>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</si>
  <si>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</si>
  <si>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</si>
  <si>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</si>
  <si>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</si>
  <si>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</si>
  <si>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</si>
  <si>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</si>
  <si>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</si>
  <si>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</si>
  <si>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</si>
  <si>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</si>
  <si>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</si>
  <si>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</si>
  <si>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</si>
  <si>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</si>
  <si>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</si>
  <si>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</si>
  <si>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</si>
  <si>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</si>
  <si>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</si>
  <si>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</si>
  <si>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</si>
  <si>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</si>
  <si>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</si>
  <si>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</si>
  <si>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</si>
  <si>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</si>
  <si>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</si>
  <si>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</si>
  <si>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</si>
  <si>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</si>
  <si>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</si>
  <si>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</si>
  <si>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</si>
  <si>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</si>
  <si>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</si>
  <si>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</si>
  <si>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</si>
  <si>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</si>
  <si>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</si>
  <si>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</si>
  <si>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</si>
  <si>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</si>
  <si>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</si>
  <si>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</si>
  <si>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</si>
  <si>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</si>
  <si>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</si>
  <si>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</si>
  <si>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</si>
  <si>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</si>
  <si>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</si>
  <si>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</si>
  <si>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</si>
  <si>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</si>
  <si>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</si>
  <si>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</si>
  <si>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</si>
  <si>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</si>
  <si>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</si>
  <si>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</si>
  <si>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</si>
  <si>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</si>
  <si>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</si>
  <si>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</si>
  <si>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</si>
  <si>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</si>
  <si>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</si>
  <si>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</si>
  <si>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</si>
  <si>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</si>
  <si>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</si>
  <si>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</si>
  <si>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</si>
  <si>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</si>
  <si>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</si>
  <si>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</si>
  <si>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</si>
  <si>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</si>
  <si>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</si>
  <si>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</si>
  <si>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</si>
  <si>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</si>
  <si>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</si>
  <si>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</si>
  <si>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</si>
  <si>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</si>
  <si>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</si>
  <si>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</si>
  <si>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</si>
  <si>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</si>
  <si>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</si>
  <si>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</si>
  <si>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</si>
  <si>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</si>
  <si>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</si>
  <si>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</si>
  <si>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</si>
  <si>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</si>
  <si>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</si>
  <si>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</si>
  <si>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</si>
  <si>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</si>
  <si>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</si>
  <si>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</si>
  <si>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</si>
  <si>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</si>
  <si>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</si>
  <si>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</si>
  <si>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</si>
  <si>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</si>
  <si>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</si>
  <si>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</si>
  <si>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</si>
  <si>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</si>
  <si>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</si>
  <si>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</si>
  <si>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</si>
  <si>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</si>
  <si>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</si>
  <si>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</si>
  <si>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</si>
  <si>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</si>
  <si>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</si>
  <si>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</si>
  <si>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</si>
  <si>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</si>
  <si>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</si>
  <si>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</si>
  <si>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</si>
  <si>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</si>
  <si>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</si>
  <si>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</si>
  <si>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</si>
  <si>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</si>
  <si>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</si>
  <si>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</si>
  <si>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</si>
  <si>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</si>
  <si>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</si>
  <si>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</si>
  <si>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</si>
  <si>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</si>
  <si>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</si>
  <si>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</si>
  <si>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</si>
  <si>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</si>
  <si>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</si>
  <si>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</si>
  <si>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</si>
  <si>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</si>
  <si>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</si>
  <si>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</si>
  <si>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</si>
  <si>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</si>
  <si>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</si>
  <si>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</si>
  <si>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</si>
  <si>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</si>
  <si>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</si>
  <si>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</si>
  <si>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</si>
  <si>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</si>
  <si>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</si>
  <si>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</si>
  <si>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</si>
  <si>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</si>
  <si>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</si>
  <si>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</si>
  <si>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</si>
  <si>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</si>
  <si>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</si>
  <si>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</si>
  <si>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</si>
  <si>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</si>
  <si>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</si>
  <si>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</si>
  <si>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</si>
  <si>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</si>
  <si>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</si>
  <si>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</si>
  <si>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</si>
  <si>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</si>
  <si>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</si>
  <si>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</si>
  <si>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</si>
  <si>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</si>
  <si>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</si>
  <si>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</si>
  <si>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</si>
  <si>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</si>
  <si>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</si>
  <si>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</si>
  <si>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</si>
  <si>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</si>
  <si>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</si>
  <si>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</si>
  <si>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</si>
  <si>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</si>
  <si>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</si>
  <si>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</si>
  <si>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</si>
  <si>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</si>
  <si>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</si>
  <si>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</si>
  <si>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</si>
  <si>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</si>
  <si>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</si>
  <si>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</si>
  <si>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</si>
  <si>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</si>
  <si>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</si>
  <si>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</si>
  <si>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</si>
  <si>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</si>
  <si>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</si>
  <si>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</si>
  <si>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</si>
  <si>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</si>
  <si>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</si>
  <si>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</si>
  <si>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</si>
  <si>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</si>
  <si>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</si>
  <si>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</si>
  <si>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</si>
  <si>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</si>
  <si>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</si>
  <si>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</si>
  <si>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</si>
  <si>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</si>
  <si>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</si>
  <si>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</si>
  <si>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</si>
  <si>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</si>
  <si>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</si>
  <si>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</si>
  <si>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</si>
  <si>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</si>
  <si>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</si>
  <si>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</si>
  <si>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</si>
  <si>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</si>
  <si>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</si>
  <si>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</si>
  <si>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</si>
  <si>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</si>
  <si>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</si>
  <si>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</si>
  <si>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</si>
  <si>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</si>
  <si>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</si>
  <si>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</si>
  <si>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</si>
  <si>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</si>
  <si>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</si>
  <si>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</si>
  <si>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</si>
  <si>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</si>
  <si>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</si>
  <si>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</si>
  <si>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</si>
  <si>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</si>
  <si>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</si>
  <si>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</si>
  <si>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</si>
  <si>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</si>
  <si>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</si>
  <si>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</si>
  <si>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</si>
  <si>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</si>
  <si>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</si>
  <si>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</si>
  <si>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</si>
  <si>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</si>
  <si>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</si>
  <si>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</si>
  <si>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</si>
  <si>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</si>
  <si>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</si>
  <si>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</si>
  <si>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</si>
  <si>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</si>
  <si>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</si>
  <si>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</si>
  <si>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</si>
  <si>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</si>
  <si>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</si>
  <si>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</si>
  <si>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</si>
  <si>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</si>
  <si>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</si>
  <si>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</si>
  <si>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</si>
  <si>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</si>
  <si>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</si>
  <si>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</si>
  <si>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</si>
  <si>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</si>
  <si>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</si>
  <si>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</si>
  <si>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</si>
  <si>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</si>
  <si>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</si>
  <si>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</si>
  <si>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</si>
  <si>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</si>
  <si>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</si>
  <si>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</si>
  <si>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</si>
  <si>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</si>
  <si>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</si>
  <si>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</si>
  <si>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</si>
  <si>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</si>
  <si>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</si>
  <si>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</si>
  <si>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</si>
  <si>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</si>
  <si>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</si>
  <si>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</si>
  <si>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</si>
  <si>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</si>
  <si>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</si>
  <si>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</si>
  <si>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</si>
  <si>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</si>
  <si>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</si>
  <si>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</si>
  <si>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</si>
  <si>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</si>
  <si>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</si>
  <si>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</si>
  <si>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</si>
  <si>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</si>
  <si>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</si>
  <si>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</si>
  <si>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</si>
  <si>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</si>
  <si>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</si>
  <si>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</si>
  <si>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</si>
  <si>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</si>
  <si>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</si>
  <si>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</si>
  <si>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</si>
  <si>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</si>
  <si>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</si>
  <si>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</si>
  <si>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</si>
  <si>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</si>
  <si>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</si>
  <si>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</si>
  <si>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</si>
  <si>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</si>
  <si>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</si>
  <si>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</si>
  <si>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</si>
  <si>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</si>
  <si>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</si>
  <si>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</si>
  <si>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</si>
  <si>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</si>
  <si>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</si>
  <si>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</si>
  <si>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</si>
  <si>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</si>
  <si>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</si>
  <si>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</si>
  <si>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</si>
  <si>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</si>
  <si>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</si>
  <si>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</si>
  <si>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</si>
  <si>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</si>
  <si>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</si>
  <si>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</si>
  <si>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</si>
  <si>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</si>
  <si>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</si>
  <si>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</si>
  <si>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</si>
  <si>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</si>
  <si>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</si>
  <si>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</si>
  <si>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</si>
  <si>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</si>
  <si>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</si>
  <si>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</si>
  <si>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</si>
  <si>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</si>
  <si>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</si>
  <si>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</si>
  <si>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</si>
  <si>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</si>
  <si>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</si>
  <si>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</si>
  <si>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</si>
  <si>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</si>
  <si>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</si>
  <si>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</si>
  <si>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</si>
  <si>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</si>
  <si>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</si>
  <si>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</si>
  <si>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</si>
  <si>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</si>
  <si>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</si>
  <si>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</si>
  <si>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</si>
  <si>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</si>
  <si>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</si>
  <si>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</si>
  <si>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</si>
  <si>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</si>
  <si>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</si>
  <si>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</si>
  <si>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</si>
  <si>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</si>
  <si>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</si>
  <si>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</si>
  <si>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</si>
  <si>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</si>
  <si>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</si>
  <si>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</si>
  <si>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</si>
  <si>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</si>
  <si>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</si>
  <si>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</si>
  <si>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</si>
  <si>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</si>
  <si>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</si>
  <si>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</si>
  <si>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</si>
  <si>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</si>
  <si>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</si>
  <si>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</si>
  <si>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</si>
  <si>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</si>
  <si>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</si>
  <si>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崔锴</t>
  </si>
  <si>
    <t>郑燚</t>
  </si>
  <si>
    <t>北京市</t>
  </si>
  <si>
    <t>自然人</t>
  </si>
  <si>
    <t>土地面积</t>
    <phoneticPr fontId="134" type="noConversion"/>
  </si>
  <si>
    <t>地上</t>
  </si>
  <si>
    <t>地上</t>
    <phoneticPr fontId="134" type="noConversion"/>
  </si>
  <si>
    <t>地下</t>
  </si>
  <si>
    <t>地下</t>
    <phoneticPr fontId="134" type="noConversion"/>
  </si>
  <si>
    <t>1号楼</t>
    <phoneticPr fontId="134" type="noConversion"/>
  </si>
  <si>
    <t>2号楼</t>
    <phoneticPr fontId="134" type="noConversion"/>
  </si>
  <si>
    <t>合计</t>
    <phoneticPr fontId="134" type="noConversion"/>
  </si>
  <si>
    <t>总楼层</t>
    <phoneticPr fontId="134" type="noConversion"/>
  </si>
  <si>
    <t>4（-1）</t>
    <phoneticPr fontId="134" type="noConversion"/>
  </si>
  <si>
    <t>9（-1）</t>
    <phoneticPr fontId="134" type="noConversion"/>
  </si>
  <si>
    <t>Ⅶ-石龙开发区</t>
  </si>
  <si>
    <t>是</t>
  </si>
  <si>
    <t>办公</t>
    <phoneticPr fontId="7" type="noConversion"/>
  </si>
  <si>
    <t>成新度</t>
  </si>
  <si>
    <t>收益法</t>
  </si>
  <si>
    <t>押一</t>
  </si>
  <si>
    <t>钢混</t>
  </si>
  <si>
    <t>非生产用房</t>
  </si>
  <si>
    <t>否</t>
  </si>
  <si>
    <t>M4科研用地</t>
  </si>
  <si>
    <t>估价对象容积率</t>
  </si>
  <si>
    <t>不临65条商业街</t>
  </si>
  <si>
    <t>通路</t>
  </si>
  <si>
    <t>通电</t>
  </si>
  <si>
    <t>通讯</t>
  </si>
  <si>
    <t>通上水</t>
  </si>
  <si>
    <t>通下水</t>
  </si>
  <si>
    <t>通热</t>
  </si>
  <si>
    <t>平整</t>
  </si>
  <si>
    <t>较好</t>
  </si>
  <si>
    <t>一般</t>
  </si>
  <si>
    <t>好</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</si>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</sst>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69" fillId="0" borderId="0" xfId="0" applyFont="1" applyAlignment="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9" fontId="44" fillId="16" borderId="23"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估价对象为北京市房地产，为所有。根据《国有土地使用证》[]，估价对象（分摊）出让国有建设用地使用权面积为3246.44平方米，建筑面积为11491.42平方米。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估价对象为北京市房地产,属开发建设的，该项目尚在开发建设中。根据《国有土地使用证》[]，估价对象（分摊）出让国有建设用地使用权面积为3246.44平方米，规划建筑面积为11491.42平方米。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2023年11月7日</v>
      </c>
    </row>
    <row r="13" spans="1:2" s="1203" customFormat="1">
      <c r="A13" s="1201" t="s">
        <v>529</v>
      </c>
      <c r="B13" s="1202" t="str">
        <f>'预评函-1'!A18</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10520</v>
      </c>
    </row>
    <row r="21" spans="1:2" s="1203" customFormat="1">
      <c r="A21" s="1201" t="s">
        <v>537</v>
      </c>
      <c r="B21" s="1202">
        <f ca="1">'预评函-2'!D7</f>
        <v>9155</v>
      </c>
    </row>
    <row r="22" spans="1:2" s="1203" customFormat="1">
      <c r="A22" s="1201" t="s">
        <v>538</v>
      </c>
      <c r="B22" s="1202" t="str">
        <f ca="1">'预评函-2'!D6</f>
        <v>壹亿零伍佰贰拾万元整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10520</v>
      </c>
    </row>
    <row r="31" spans="1:2" s="1203" customFormat="1">
      <c r="A31" s="1201" t="s">
        <v>576</v>
      </c>
      <c r="B31" s="1202">
        <f ca="1">'预评函-2'!D15</f>
        <v>9155</v>
      </c>
    </row>
    <row r="32" spans="1:2" s="1203" customFormat="1">
      <c r="A32" s="1201" t="s">
        <v>543</v>
      </c>
      <c r="B32" s="1202" t="str">
        <f ca="1">'预评函-2'!D14</f>
        <v>壹亿零伍佰贰拾万元整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11491.419999999998</v>
      </c>
    </row>
    <row r="44" spans="1:2" s="1203" customFormat="1">
      <c r="A44" s="1201" t="s">
        <v>575</v>
      </c>
      <c r="B44" s="1202" t="str">
        <f>'预评函-3'!C2</f>
        <v>(分摊)土地面积</v>
      </c>
    </row>
    <row r="45" spans="1:2" s="1203" customFormat="1">
      <c r="A45" s="1201" t="s">
        <v>547</v>
      </c>
      <c r="B45" s="1202">
        <f>'预评函-3'!C4</f>
        <v>3246.44</v>
      </c>
    </row>
    <row r="46" spans="1:2" s="1203" customFormat="1">
      <c r="A46" s="1201" t="s">
        <v>573</v>
      </c>
      <c r="B46" s="1202" t="str">
        <f>'预评函-3'!D2</f>
        <v>出让国有建设用地使用权价值</v>
      </c>
    </row>
    <row r="47" spans="1:2" s="1203" customFormat="1">
      <c r="A47" s="1201" t="s">
        <v>548</v>
      </c>
      <c r="B47" s="1202">
        <f ca="1">'预评函-3'!D4</f>
        <v>4334</v>
      </c>
    </row>
    <row r="48" spans="1:2" s="1203" customFormat="1">
      <c r="A48" s="1201" t="s">
        <v>549</v>
      </c>
      <c r="B48" s="1202">
        <f ca="1">'预评函-3'!E4</f>
        <v>3772</v>
      </c>
    </row>
    <row r="49" spans="1:2" s="1203" customFormat="1">
      <c r="A49" s="1201" t="s">
        <v>550</v>
      </c>
      <c r="B49" s="1202" t="str">
        <f ca="1">'预评函-3'!D5</f>
        <v>肆仟叁佰叁拾肆万元整</v>
      </c>
    </row>
    <row r="50" spans="1:2" s="1203" customFormat="1">
      <c r="A50" s="1201" t="s">
        <v>574</v>
      </c>
      <c r="B50" s="1202" t="str">
        <f>'预评函-3'!F2</f>
        <v>在建建筑物价值</v>
      </c>
    </row>
    <row r="51" spans="1:2" s="1203" customFormat="1">
      <c r="A51" s="1201" t="s">
        <v>551</v>
      </c>
      <c r="B51" s="1202">
        <f ca="1">'预评函-3'!F4</f>
        <v>6186</v>
      </c>
    </row>
    <row r="52" spans="1:2" s="1203" customFormat="1">
      <c r="A52" s="1201" t="s">
        <v>552</v>
      </c>
      <c r="B52" s="1202">
        <f ca="1">'预评函-3'!G4</f>
        <v>5383</v>
      </c>
    </row>
    <row r="53" spans="1:2" s="1203" customFormat="1">
      <c r="A53" s="1201" t="s">
        <v>580</v>
      </c>
      <c r="B53" s="1202" t="str">
        <f ca="1">'预评函-3'!F5</f>
        <v>陆仟壹佰捌拾陆万元整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7" sqref="C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45237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3.11</v>
      </c>
      <c r="D5" s="3025">
        <f>IF(ISERROR(ROUND(POWER(1+E5,A5-C5)*(POWER(1+E5,C5)-1)/(POWER(1+E5,A5)-1),3)),0,ROUND(POWER(1+E5,A5-C5)*(POWER(1+E5,C5)-1)/(POWER(1+E5,A5)-1),4))</f>
        <v>0.14499999999999999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13.12</v>
      </c>
      <c r="D6" s="3025">
        <f>IF(ISERROR(ROUND(POWER(1+E6,A6-C6)*(POWER(1+E6,C6)-1)/(POWER(1+E6,A6)-1),3)),0,ROUND(POWER(1+E6,A6-C6)*(POWER(1+E6,C6)-1)/(POWER(1+E6,A6)-1),4))</f>
        <v>0.46810000000000002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33.130000000000003</v>
      </c>
      <c r="D7" s="3025">
        <f>IF(ISERROR(ROUND(POWER(1+E7,A7-C7)*(POWER(1+E7,C7)-1)/(POWER(1+E7,A7)-1),3)),0,ROUND(POWER(1+E7,A7-C7)*(POWER(1+E7,C7)-1)/(POWER(1+E7,A7)-1),4))</f>
        <v>0.7772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38" sqref="F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45237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3385</v>
      </c>
      <c r="C4" s="2376">
        <f ca="1">SUMIF(注册房地产估价师,B4,估价师及机构信息!B3:B24)</f>
        <v>1120100036</v>
      </c>
      <c r="D4" s="2375" t="s">
        <v>3386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495"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6"/>
      <c r="E9" s="2394"/>
      <c r="F9" s="2396"/>
      <c r="G9" s="2665"/>
      <c r="H9" s="2665"/>
      <c r="I9" s="2665"/>
      <c r="J9" s="2439"/>
      <c r="K9" s="2616"/>
      <c r="L9" s="2613"/>
      <c r="M9" s="2613"/>
      <c r="N9" s="2439"/>
      <c r="O9" s="2450"/>
      <c r="P9" s="2439"/>
      <c r="Q9" s="2439"/>
      <c r="R9" s="2439"/>
    </row>
    <row r="10" spans="1:30" ht="13.5" thickTop="1">
      <c r="A10" s="2397" t="s">
        <v>2179</v>
      </c>
      <c r="B10" s="2398" t="s">
        <v>3387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c r="D13" s="856"/>
      <c r="E13" s="856"/>
      <c r="F13" s="856"/>
      <c r="G13" s="856"/>
      <c r="H13" s="856">
        <v>54951</v>
      </c>
      <c r="I13" s="856">
        <v>54951</v>
      </c>
      <c r="J13" s="3062"/>
      <c r="K13" s="2613"/>
      <c r="L13" s="2613"/>
      <c r="M13" s="2439"/>
      <c r="N13" s="2450"/>
      <c r="O13" s="2439"/>
      <c r="P13" s="2439"/>
      <c r="Q13" s="2439"/>
      <c r="AD13" s="1745"/>
    </row>
    <row r="14" spans="1:30">
      <c r="A14" s="1081"/>
      <c r="B14" s="2407" t="s">
        <v>2191</v>
      </c>
      <c r="C14" s="2408"/>
      <c r="D14" s="2408"/>
      <c r="E14" s="2408"/>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26.61</v>
      </c>
      <c r="I15" s="2410">
        <f>IF(A13="出让",IF(I13="","",ROUNDDOWN(MIN((I13-$D$3)/365,I14),2)),I14)</f>
        <v>26.61</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11491.419999999998</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3246.44</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t="s">
        <v>304</v>
      </c>
      <c r="G37" s="2664"/>
      <c r="H37" s="2664"/>
      <c r="I37" s="2664"/>
      <c r="J37" s="2439"/>
      <c r="K37" s="2616"/>
      <c r="L37" s="2613"/>
      <c r="M37" s="2613"/>
      <c r="N37" s="2439"/>
      <c r="O37" s="2450"/>
      <c r="P37" s="2439"/>
      <c r="Q37" s="2439"/>
      <c r="R37" s="2439"/>
      <c r="S37" s="2439"/>
      <c r="T37" s="2439"/>
      <c r="U37" s="2439"/>
      <c r="V37" s="2439"/>
    </row>
    <row r="38" spans="1:30" ht="26.25" thickBot="1">
      <c r="A38" s="2631" t="s">
        <v>2231</v>
      </c>
      <c r="B38" s="2432"/>
      <c r="C38" s="2432"/>
      <c r="D38" s="2432"/>
      <c r="E38" s="2432" t="s">
        <v>3400</v>
      </c>
      <c r="F38" s="2432" t="s">
        <v>3400</v>
      </c>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Sheet1!E7</f>
        <v>3246.44</v>
      </c>
      <c r="B3" s="11">
        <f>IF(C3="否",G5-AT5,G5)</f>
        <v>11491.419999999998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11491.419999999998</v>
      </c>
      <c r="H5" s="13">
        <f t="shared" ref="H5:AT5" si="0">SUM(H13:H656)</f>
        <v>11491.419999999998</v>
      </c>
      <c r="I5" s="13">
        <f t="shared" si="0"/>
        <v>9751.86</v>
      </c>
      <c r="J5" s="13">
        <f t="shared" si="0"/>
        <v>0</v>
      </c>
      <c r="K5" s="13">
        <f t="shared" si="0"/>
        <v>1739.5599999999986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11491.419999999998</v>
      </c>
      <c r="BA5" s="15">
        <f t="shared" si="1"/>
        <v>11491.419999999998</v>
      </c>
      <c r="BB5" s="15">
        <f t="shared" si="1"/>
        <v>9751.86</v>
      </c>
      <c r="BC5" s="15">
        <f t="shared" si="1"/>
        <v>1739.5599999999986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3246.44</v>
      </c>
      <c r="F6" s="13" t="s">
        <v>0</v>
      </c>
      <c r="G6" s="13" t="s">
        <v>1</v>
      </c>
      <c r="H6" s="17">
        <f>SUMIF(I$12:AB$12,"总值",I6:AB6)</f>
        <v>3246.44</v>
      </c>
      <c r="I6" s="13">
        <f t="shared" ref="I6:AB6" si="2">ROUND($A$3*I5/$B$3,2)</f>
        <v>2755</v>
      </c>
      <c r="J6" s="13">
        <f t="shared" si="2"/>
        <v>0</v>
      </c>
      <c r="K6" s="13">
        <f t="shared" si="2"/>
        <v>491.44</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3246.44</v>
      </c>
      <c r="AZ6" s="13" t="s">
        <v>2</v>
      </c>
      <c r="BA6" s="13">
        <f>ROUND($AY$6*BA5/$AZ$5,2)</f>
        <v>3246.44</v>
      </c>
      <c r="BB6" s="13">
        <f>ROUND($AY$6*BB5/$AZ$5,2)</f>
        <v>2755</v>
      </c>
      <c r="BC6" s="13">
        <f t="shared" ref="BC6:BH6" si="4">ROUND($AY$6*BC5/$AZ$5,2)</f>
        <v>491.44</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3390</v>
      </c>
      <c r="J9" s="809"/>
      <c r="K9" s="1603" t="s">
        <v>3392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3337</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车库</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3401</v>
      </c>
      <c r="E13" s="13">
        <f>IF($C$3="是",ROUND($A$3*G13/$B$3,2),ROUND($A$3*(G13-AT13)/$B$3,2))</f>
        <v>3246.44</v>
      </c>
      <c r="F13" s="29"/>
      <c r="G13" s="30">
        <f>H13+AC13+AT13</f>
        <v>11491.419999999998</v>
      </c>
      <c r="H13" s="17">
        <f>SUMIF(I$12:AB$12,"总值",I13:AB13)</f>
        <v>11491.419999999998</v>
      </c>
      <c r="I13" s="1626">
        <f>Sheet1!H6+Sheet1!H7</f>
        <v>9751.86</v>
      </c>
      <c r="J13" s="1626"/>
      <c r="K13" s="1626">
        <f>Sheet1!I6+Sheet1!I7</f>
        <v>1739.5599999999986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3246.44</v>
      </c>
      <c r="AZ13" s="13">
        <f>BA13+BL13</f>
        <v>11491.419999999998</v>
      </c>
      <c r="BA13" s="13">
        <f>SUM(BB13:BK13)</f>
        <v>11491.419999999998</v>
      </c>
      <c r="BB13" s="13">
        <f>IF($D13="是",I13-J13,0)</f>
        <v>9751.86</v>
      </c>
      <c r="BC13" s="13">
        <f>IF($D13="是",K13-L13,0)</f>
        <v>1739.5599999999986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R47" sqref="R4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3246.44</v>
      </c>
      <c r="E3" s="43">
        <f>'数据-基础表'!AZ5</f>
        <v>11491.419999999998</v>
      </c>
      <c r="F3" s="2659"/>
      <c r="G3" s="1145"/>
      <c r="H3" s="1026" t="s">
        <v>1106</v>
      </c>
      <c r="I3" s="855">
        <f>ROUND('数据-基础表'!B3/'数据-基础表'!A3,2)</f>
        <v>3.54</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3</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3.54</v>
      </c>
      <c r="J5" s="2659"/>
      <c r="K5" s="2659"/>
      <c r="L5" s="2659"/>
      <c r="M5" s="2659"/>
      <c r="N5" s="2659"/>
      <c r="O5" s="2659"/>
      <c r="P5" s="2659"/>
    </row>
    <row r="6" spans="1:16" ht="15" thickBot="1">
      <c r="A6" s="1644"/>
      <c r="B6" s="3536" t="s">
        <v>1111</v>
      </c>
      <c r="C6" s="3536"/>
      <c r="D6" s="45">
        <f>ROUND($D$3*E6/$E$3,2)</f>
        <v>3246.44</v>
      </c>
      <c r="E6" s="46">
        <f>E3-E5</f>
        <v>11491.419999999998</v>
      </c>
      <c r="F6" s="2659"/>
      <c r="G6" s="2653" t="s">
        <v>1112</v>
      </c>
      <c r="H6" s="1146" t="s">
        <v>1113</v>
      </c>
      <c r="I6" s="2654">
        <f>ROUND(F31/D31,2)</f>
        <v>3</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2755</v>
      </c>
      <c r="E8" s="48">
        <f>SUMIF('数据-基础表'!BB10:BK10,"地上",'数据-基础表'!BB5:BK5)</f>
        <v>9751.86</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491.44</v>
      </c>
      <c r="E13" s="48">
        <f>SUMPRODUCT(('数据-基础表'!BB10:BK10="地下")*('数据-基础表'!BB11:BK11="车库")*('数据-基础表'!BB5:BK5))</f>
        <v>1739.5599999999986</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3246.44</v>
      </c>
      <c r="E16" s="50">
        <f>SUM(E8:E15)</f>
        <v>11491.419999999998</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3246.44</v>
      </c>
      <c r="E19" s="53">
        <f t="shared" ref="E19:E26" si="1">SUM(F19:G19)</f>
        <v>11491.419999999998</v>
      </c>
      <c r="F19" s="2795">
        <f>'数据-基础表'!I13</f>
        <v>9751.86</v>
      </c>
      <c r="G19" s="2796">
        <f>'数据-基础表'!K13</f>
        <v>1739.5599999999986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3246.44</v>
      </c>
      <c r="S19" s="1027">
        <f t="shared" si="5"/>
        <v>11491.419999999998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3246.44</v>
      </c>
      <c r="E27" s="1141">
        <f>IF(SUM(E19:E26)='数据-基础表'!BA5,SUM(E19:E26),IF(F27="地上面积有误","面积有误","地下面积有误"))</f>
        <v>11491.419999999998</v>
      </c>
      <c r="F27" s="1140">
        <f>IF(SUM(F19:F26)=E8,SUM(F19:F26),"地上面积有误")</f>
        <v>9751.86</v>
      </c>
      <c r="G27" s="1142">
        <f>SUM(G19:G26)</f>
        <v>1739.5599999999986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3246.44</v>
      </c>
      <c r="S27" s="1026">
        <f>IF(SUM(S19:S26)=$E$3,SUM(S19:S26),SUM(S19:S26)&amp;"误差"&amp;ROUND(SUM(S19:S26)-E3,2))</f>
        <v>11491.419999999998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3246.44</v>
      </c>
      <c r="E31" s="676">
        <f>E27+E30</f>
        <v>11491.419999999998</v>
      </c>
      <c r="F31" s="677">
        <f>F27+F30</f>
        <v>9751.86</v>
      </c>
      <c r="G31" s="678">
        <f>G27+G30</f>
        <v>1739.5599999999986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T6" activePane="bottomRight" state="frozen"/>
      <selection activeCell="C50" sqref="C50"/>
      <selection pane="topRight" activeCell="C50" sqref="C50"/>
      <selection pane="bottomLeft" activeCell="C50" sqref="C50"/>
      <selection pane="bottomRight" activeCell="AH6" sqref="AH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45237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3</v>
      </c>
      <c r="D6" s="858">
        <f>SUMIF(项目基本情况!C$12:I$12,C6,项目基本情况!C$14:I$14)</f>
        <v>50</v>
      </c>
      <c r="E6" s="857">
        <f>IF(B6="","",SUMIF(项目基本情况!C$12:I$12,C6,项目基本情况!C$13:I$13))</f>
        <v>54951</v>
      </c>
      <c r="F6" s="64">
        <f>SUMIF(项目基本情况!C$12:I$12,C6,项目基本情况!C$15:I$15)</f>
        <v>26.61</v>
      </c>
      <c r="G6" s="65">
        <f>IF(ISERROR(ROUND(POWER(1+H6,D6-F6)*(POWER(1+H6,F6)-1)/(POWER(1+H6,D6)-1),3)),0,ROUND(POWER(1+H6,D6-F6)*(POWER(1+H6,F6)-1)/(POWER(1+H6,D6)-1),3))</f>
        <v>0.79600000000000004</v>
      </c>
      <c r="H6" s="732">
        <v>0.05</v>
      </c>
      <c r="I6" s="732">
        <v>5.5E-2</v>
      </c>
      <c r="J6" s="66">
        <v>7.0000000000000007E-2</v>
      </c>
      <c r="K6" s="1030">
        <f>SUMIF('数据-汇总表'!C$19:C$33,A6,'数据-汇总表'!E$19:E$33)</f>
        <v>11491.419999999998</v>
      </c>
      <c r="L6" s="733">
        <v>3500</v>
      </c>
      <c r="M6" s="67">
        <f t="shared" ref="M6:M14" si="0">ROUND(K6*L6/10000,0)</f>
        <v>4022</v>
      </c>
      <c r="N6" s="731">
        <v>0.98</v>
      </c>
      <c r="O6" s="67" t="str">
        <f>IF($N$5="成新度","——",ROUND(M6*N6,0))</f>
        <v>——</v>
      </c>
      <c r="P6" s="68" t="str">
        <f>IF($N$5="成新度","——",M6-O6)</f>
        <v>——</v>
      </c>
      <c r="Q6" s="734">
        <v>0.1</v>
      </c>
      <c r="R6" s="69">
        <f ca="1">SUMIF('数据-汇总表'!C$19:C$33,A6,'数据-汇总表'!R$19:R$27)</f>
        <v>3246.44</v>
      </c>
      <c r="S6" s="51">
        <f>IF('数据-汇总表'!$I$17="按面积比例",SUMIF('数据-汇总表'!C$19:C$33,A6,'数据-汇总表'!K$19:K$33),SUMIF('数据-汇总表'!C$19:C$33,A6,'数据-汇总表'!N$19:N$33))</f>
        <v>0</v>
      </c>
      <c r="T6" s="1172">
        <f>ROUND($L$14*S6/10000,0)</f>
        <v>0</v>
      </c>
      <c r="U6" s="3789">
        <v>2.5</v>
      </c>
      <c r="V6" s="70">
        <v>2.5000000000000001E-2</v>
      </c>
      <c r="W6" s="70">
        <v>0.15</v>
      </c>
      <c r="X6" s="1040"/>
      <c r="Y6" s="71">
        <f>N6</f>
        <v>0.98</v>
      </c>
      <c r="Z6" s="72"/>
      <c r="AA6" s="66"/>
      <c r="AB6" s="66"/>
      <c r="AC6" s="1040"/>
      <c r="AD6" s="73"/>
      <c r="AE6" s="1041">
        <f ca="1">IF(AN6="",0,SUMIF(INDIRECT("'"&amp;AN6&amp;"'"&amp;"!E:E"),$AE$5,INDIRECT("'"&amp;AN6&amp;"'"&amp;"!F:F")))</f>
        <v>26.61</v>
      </c>
      <c r="AF6" s="1348"/>
      <c r="AG6" s="138">
        <f>IF(AF6="",0,AE6-AF6)</f>
        <v>0</v>
      </c>
      <c r="AH6" s="74">
        <f>'数据-基础表'!I13</f>
        <v>9751.86</v>
      </c>
      <c r="AI6" s="76">
        <v>365</v>
      </c>
      <c r="AJ6" s="77"/>
      <c r="AK6" s="78">
        <v>5.0000000000000001E-3</v>
      </c>
      <c r="AL6" s="79">
        <v>1.5E-3</v>
      </c>
      <c r="AM6" s="80">
        <v>0.01</v>
      </c>
      <c r="AN6" s="1715" t="s">
        <v>3404</v>
      </c>
      <c r="AO6" s="52">
        <f ca="1">SUMIF(INDIRECT("'"&amp;AN6&amp;"'"&amp;"!A:A"),"总价",INDIRECT("'"&amp;AN6&amp;"'"&amp;"!B:B"))</f>
        <v>11627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0.79600000000000004</v>
      </c>
      <c r="H16" s="90">
        <f>ROUND(SUMPRODUCT(H6:H13,K6:K13)/SUMPRODUCT((H6:H13&gt;0)*(K6:K13)),3)</f>
        <v>0.05</v>
      </c>
      <c r="I16" s="91"/>
      <c r="J16" s="91"/>
      <c r="K16" s="92">
        <f>SUM(K6:K15)</f>
        <v>11491.419999999998</v>
      </c>
      <c r="L16" s="93">
        <f>ROUND(M16*10000/SUM(K6:K14),0)</f>
        <v>3500</v>
      </c>
      <c r="M16" s="93">
        <f>SUM(M6:M14)</f>
        <v>4022</v>
      </c>
      <c r="N16" s="94">
        <f>ROUND(SUMPRODUCT(M6:M14,N6:N14)/M16,3)</f>
        <v>0.98</v>
      </c>
      <c r="O16" s="93">
        <f>SUM(O6:O14)</f>
        <v>0</v>
      </c>
      <c r="P16" s="93">
        <f>SUM(P6:P14)</f>
        <v>0</v>
      </c>
      <c r="Q16" s="95">
        <f>ROUND(SUMPRODUCT(Q6:Q13,K6:K13)/SUMPRODUCT((Q6:Q13&gt;0)*(K6:K13)),2)</f>
        <v>0.1</v>
      </c>
      <c r="R16" s="1034">
        <f ca="1">SUM(R6:R13)</f>
        <v>3246.44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2022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0.98333333333333328</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230</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8"/>
  <sheetViews>
    <sheetView workbookViewId="0">
      <selection activeCell="E8" sqref="E8"/>
    </sheetView>
  </sheetViews>
  <sheetFormatPr defaultRowHeight="14.25"/>
  <cols>
    <col min="1" max="16384" width="9" style="3449"/>
  </cols>
  <sheetData>
    <row r="5" spans="5:11">
      <c r="H5" s="3449" t="s">
        <v>3391</v>
      </c>
      <c r="I5" s="3449" t="s">
        <v>3393</v>
      </c>
      <c r="J5" s="3449" t="s">
        <v>3396</v>
      </c>
      <c r="K5" s="3449" t="s">
        <v>3397</v>
      </c>
    </row>
    <row r="6" spans="5:11">
      <c r="E6" s="3449" t="s">
        <v>3389</v>
      </c>
      <c r="G6" s="3449" t="s">
        <v>3394</v>
      </c>
      <c r="H6" s="3449">
        <f>ROUND(J6/5*4,2)</f>
        <v>4723.3500000000004</v>
      </c>
      <c r="I6" s="3449">
        <f>J6-H6</f>
        <v>1180.8399999999992</v>
      </c>
      <c r="J6" s="3449">
        <v>5904.19</v>
      </c>
      <c r="K6" s="3449" t="s">
        <v>3398</v>
      </c>
    </row>
    <row r="7" spans="5:11">
      <c r="E7" s="3449">
        <v>3246.44</v>
      </c>
      <c r="G7" s="3449" t="s">
        <v>3395</v>
      </c>
      <c r="H7" s="3449">
        <f>ROUND(J7/10*9,2)</f>
        <v>5028.51</v>
      </c>
      <c r="I7" s="3449">
        <f>J7-H7</f>
        <v>558.71999999999935</v>
      </c>
      <c r="J7" s="3449">
        <v>5587.23</v>
      </c>
      <c r="K7" s="3449" t="s">
        <v>3399</v>
      </c>
    </row>
    <row r="8" spans="5:11">
      <c r="H8" s="3449">
        <f t="shared" ref="H8:I8" si="0">SUM(H6:H7)</f>
        <v>9751.86</v>
      </c>
      <c r="I8" s="3449">
        <f t="shared" si="0"/>
        <v>1739.5599999999986</v>
      </c>
      <c r="J8" s="3449">
        <f>SUM(J6:J7)</f>
        <v>11491.419999999998</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45237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9155</v>
      </c>
      <c r="D5" s="2512" t="e">
        <f>ROUND(B5*10000/$B$2,0)</f>
        <v>#DIV/0!</v>
      </c>
      <c r="E5" s="2686"/>
      <c r="F5" s="2687"/>
      <c r="G5" s="2687"/>
      <c r="H5" s="2688"/>
      <c r="I5" s="2688"/>
      <c r="J5" s="2688"/>
      <c r="K5" s="2688"/>
    </row>
    <row r="6" spans="1:11" ht="16.5">
      <c r="A6" s="2512" t="s">
        <v>656</v>
      </c>
      <c r="B6" s="2512">
        <f>SUM(G14:G23)</f>
        <v>0</v>
      </c>
      <c r="C6" s="2512">
        <f ca="1">IF(B6=G14,结果表!H108,ROUND(B6*10000/$B$1,0))</f>
        <v>9155</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K22" sqref="K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3425</v>
      </c>
      <c r="D4" s="1756" t="s">
        <v>3404</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11491.419999999998</v>
      </c>
      <c r="M18" s="302">
        <f>IF(C1="",'数据-汇总表'!E3,SUMIF(项目类型,C1,'数据-汇总表'!E17:E26))</f>
        <v>11491.419999999998</v>
      </c>
    </row>
    <row r="19" spans="1:36" ht="15">
      <c r="A19" s="1761" t="s">
        <v>1290</v>
      </c>
      <c r="B19" s="1762" t="s">
        <v>1291</v>
      </c>
      <c r="C19" s="134">
        <f ca="1">SUMIF(INDIRECT("'"&amp;C4&amp;"'"&amp;"!A:A"),结果表!B19,INDIRECT("'"&amp;C4&amp;"'"&amp;"!B:B"))</f>
        <v>9413</v>
      </c>
      <c r="D19" s="135">
        <f ca="1">SUMIF(INDIRECT("'"&amp;D4&amp;"'"&amp;"!A:A"),结果表!B19,INDIRECT("'"&amp;D4&amp;"'"&amp;"!B:B"))</f>
        <v>11627</v>
      </c>
      <c r="E19" s="1761" t="s">
        <v>1292</v>
      </c>
      <c r="F19" s="1762" t="s">
        <v>1291</v>
      </c>
      <c r="G19" s="136">
        <f ca="1">ROUND(C19*$C$18+D19*$D$18,0)</f>
        <v>10520</v>
      </c>
      <c r="H19" s="1763" t="s">
        <v>1293</v>
      </c>
      <c r="I19" s="129"/>
      <c r="K19" s="302" t="s">
        <v>1294</v>
      </c>
      <c r="L19" s="302">
        <f>IF(C1="",'数据-汇总表'!D3,SUMIF(项目类型,C1,'数据-汇总表'!D17:D26)+SUMIF(项目类型,C1,'数据-汇总表'!H17:H27))</f>
        <v>3246.44</v>
      </c>
      <c r="M19" s="302">
        <f>IF(C1="",'数据-汇总表'!D3,SUMIF(项目类型,C1,'数据-汇总表'!D17:D26))</f>
        <v>3246.44</v>
      </c>
    </row>
    <row r="20" spans="1:36" ht="15">
      <c r="A20" s="1764"/>
      <c r="B20" s="1026" t="s">
        <v>1295</v>
      </c>
      <c r="C20" s="137">
        <f ca="1">SUMIF(INDIRECT("'"&amp;C4&amp;"'"&amp;"!A:A"),结果表!B20,INDIRECT("'"&amp;C4&amp;"'"&amp;"!B:B"))</f>
        <v>8191</v>
      </c>
      <c r="D20" s="138">
        <f ca="1">SUMIF(INDIRECT("'"&amp;D4&amp;"'"&amp;"!A:A"),结果表!B20,INDIRECT("'"&amp;D4&amp;"'"&amp;"!B:B"))</f>
        <v>10118</v>
      </c>
      <c r="E20" s="1764"/>
      <c r="F20" s="1026" t="s">
        <v>1295</v>
      </c>
      <c r="G20" s="139">
        <f ca="1">ROUND(C20*$C$18+D20*$D$18,0)</f>
        <v>9155</v>
      </c>
      <c r="H20" s="808" t="s">
        <v>1296</v>
      </c>
      <c r="I20" s="129"/>
    </row>
    <row r="21" spans="1:36" ht="15" customHeight="1" thickBot="1">
      <c r="A21" s="828"/>
      <c r="B21" s="1765" t="s">
        <v>1297</v>
      </c>
      <c r="C21" s="719">
        <f ca="1">ROUND(C19*10000/L19,0)</f>
        <v>28995</v>
      </c>
      <c r="D21" s="720">
        <f ca="1">ROUND(D19*10000/L19,0)</f>
        <v>35815</v>
      </c>
      <c r="E21" s="828"/>
      <c r="F21" s="1765" t="s">
        <v>1297</v>
      </c>
      <c r="G21" s="140">
        <f ca="1">ROUND(G19*10000/L19,0)</f>
        <v>32405</v>
      </c>
      <c r="H21" s="1766" t="s">
        <v>1296</v>
      </c>
      <c r="I21" s="129"/>
    </row>
    <row r="22" spans="1:36" ht="15" thickBot="1">
      <c r="A22" s="1688" t="s">
        <v>1298</v>
      </c>
      <c r="B22" s="1767"/>
      <c r="C22" s="1768"/>
      <c r="D22" s="721">
        <f ca="1">IF(C19&lt;D19,D19/C19-1,C19/D19-1)</f>
        <v>0.23520662912992663</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10520</v>
      </c>
      <c r="D32" s="1775" t="s">
        <v>3426</v>
      </c>
      <c r="E32" s="129"/>
      <c r="F32" s="129"/>
      <c r="G32" s="129"/>
      <c r="H32" s="129"/>
      <c r="I32" s="129"/>
    </row>
    <row r="33" spans="1:15" ht="15">
      <c r="A33" s="786" t="s">
        <v>1306</v>
      </c>
      <c r="B33" s="1776"/>
      <c r="C33" s="1777" t="s">
        <v>3427</v>
      </c>
      <c r="D33" s="1778" t="s">
        <v>3425</v>
      </c>
      <c r="E33" s="1779" t="s">
        <v>1307</v>
      </c>
      <c r="F33" s="1780" t="str">
        <f>IF(D32="楼面单价","取值（单价）","取值（总价）")</f>
        <v>取值（总价）</v>
      </c>
      <c r="G33" s="129"/>
      <c r="H33" s="129"/>
      <c r="I33" s="129"/>
    </row>
    <row r="34" spans="1:15" ht="15">
      <c r="A34" s="1781"/>
      <c r="B34" s="1782" t="s">
        <v>1308</v>
      </c>
      <c r="C34" s="148">
        <f ca="1">IF(C33="自定义",F34,C32-C35)</f>
        <v>4334</v>
      </c>
      <c r="D34" s="861">
        <f ca="1">IF(C33="自定义",ROUND(C34/C32,3),IF(C33="收益比率",SUMIF(INDIRECT("'"&amp;D33&amp;"'"&amp;"!b:b"),"土地收益比率",INDIRECT("'"&amp;D33&amp;"'"&amp;"!c:c")),SUMIF(INDIRECT("'"&amp;D33&amp;"'"&amp;"!b:b"),"土地成本比率",INDIRECT("'"&amp;D33&amp;"'"&amp;"!c:c"))))</f>
        <v>0.41200000000000003</v>
      </c>
      <c r="E34" s="1783" t="s">
        <v>1309</v>
      </c>
      <c r="F34" s="1330"/>
      <c r="G34" s="129"/>
      <c r="H34" s="129"/>
      <c r="I34" s="129"/>
    </row>
    <row r="35" spans="1:15" ht="15.75" thickBot="1">
      <c r="A35" s="1784"/>
      <c r="B35" s="1785" t="s">
        <v>1310</v>
      </c>
      <c r="C35" s="1170">
        <f ca="1">IF(C33="自定义",F35,ROUND(C32*D35,0))</f>
        <v>6186</v>
      </c>
      <c r="D35" s="1171">
        <f ca="1">IF(C33="自定义",ROUND(C35/C32,3),IF(C33="收益比率",SUMIF(INDIRECT("'"&amp;D33&amp;"'"&amp;"!b:b"),"建筑物收益比率",INDIRECT("'"&amp;D33&amp;"'"&amp;"!c:c")),SUMIF(INDIRECT("'"&amp;D33&amp;"'"&amp;"!b:b"),"建筑物成本比率",INDIRECT("'"&amp;D33&amp;"'"&amp;"!c:c"))))</f>
        <v>0.58799999999999997</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10520</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45237</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10520</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10520</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561</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561</v>
      </c>
      <c r="E53" s="2334" t="s">
        <v>1354</v>
      </c>
      <c r="F53" s="2554">
        <f>'数据-取费表'!B41</f>
        <v>5.6000000000000001E-2</v>
      </c>
      <c r="G53" s="2555"/>
      <c r="H53" s="2544"/>
      <c r="I53" s="1807"/>
      <c r="J53" s="2523">
        <v>2</v>
      </c>
      <c r="K53" s="3567" t="s">
        <v>1357</v>
      </c>
      <c r="L53" s="3567"/>
      <c r="M53" s="2525">
        <f t="shared" ref="M53:O54" ca="1" si="0">D55</f>
        <v>5</v>
      </c>
      <c r="N53" s="2523" t="str">
        <f t="shared" si="0"/>
        <v>销售额×税（费）率</v>
      </c>
      <c r="O53" s="2526" t="str">
        <f t="shared" si="0"/>
        <v>免征</v>
      </c>
    </row>
    <row r="54" spans="1:35" ht="12" customHeight="1">
      <c r="A54" s="2335" t="s">
        <v>1358</v>
      </c>
      <c r="B54" s="3591" t="s">
        <v>2292</v>
      </c>
      <c r="C54" s="3592"/>
      <c r="D54" s="1087">
        <f ca="1">C68</f>
        <v>561</v>
      </c>
      <c r="E54" s="327" t="s">
        <v>1359</v>
      </c>
      <c r="F54" s="2554">
        <f>'数据-取费表'!B41</f>
        <v>5.6000000000000001E-2</v>
      </c>
      <c r="G54" s="2555"/>
      <c r="H54" s="2556"/>
      <c r="I54" s="1807"/>
      <c r="J54" s="2523">
        <v>3</v>
      </c>
      <c r="K54" s="3567" t="s">
        <v>1360</v>
      </c>
      <c r="L54" s="3567"/>
      <c r="M54" s="2525">
        <f t="shared" ca="1" si="0"/>
        <v>5954</v>
      </c>
      <c r="N54" s="2523" t="str">
        <f t="shared" si="0"/>
        <v>增值额×税（费）率</v>
      </c>
      <c r="O54" s="2527" t="str">
        <f t="shared" si="0"/>
        <v>免征</v>
      </c>
    </row>
    <row r="55" spans="1:35" ht="24" customHeight="1">
      <c r="A55" s="3627" t="s">
        <v>1361</v>
      </c>
      <c r="B55" s="3605"/>
      <c r="C55" s="3605"/>
      <c r="D55" s="2324">
        <f ca="1">IF(H55="个人住宅",0,ROUND(D45*I55,0))</f>
        <v>5</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100</v>
      </c>
      <c r="N55" s="2040" t="str">
        <f>E59</f>
        <v>差额计税</v>
      </c>
      <c r="O55" s="2529">
        <f>F59</f>
        <v>0.01</v>
      </c>
    </row>
    <row r="56" spans="1:35" ht="24.75">
      <c r="A56" s="3627" t="s">
        <v>1363</v>
      </c>
      <c r="B56" s="3605"/>
      <c r="C56" s="3605"/>
      <c r="D56" s="2324">
        <f ca="1">IF(H56="个人住宅",D57,D58)</f>
        <v>5954</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6059</v>
      </c>
      <c r="O57" s="2533"/>
      <c r="P57" s="2690">
        <f ca="1">N57/M49</f>
        <v>0.57595057034220531</v>
      </c>
    </row>
    <row r="58" spans="1:35" ht="24.75">
      <c r="A58" s="2335" t="s">
        <v>1352</v>
      </c>
      <c r="B58" s="3591" t="s">
        <v>1369</v>
      </c>
      <c r="C58" s="3590"/>
      <c r="D58" s="2324">
        <f ca="1">IF(H58="转让取得",C81,C97)</f>
        <v>5954</v>
      </c>
      <c r="E58" s="2334" t="s">
        <v>1364</v>
      </c>
      <c r="F58" s="302" t="s">
        <v>28</v>
      </c>
      <c r="G58" s="2555"/>
      <c r="H58" s="2558"/>
      <c r="I58" s="1808"/>
      <c r="J58" s="3567"/>
      <c r="K58" s="3567"/>
      <c r="L58" s="2530" t="s">
        <v>1370</v>
      </c>
      <c r="M58" s="2534"/>
      <c r="N58" s="2535" t="str">
        <f ca="1">NUMBERSTRING(INT(N57*10000),2)&amp;"元整"</f>
        <v>陆仟零伍拾玖万元整</v>
      </c>
      <c r="O58" s="2536"/>
    </row>
    <row r="59" spans="1:35" ht="24.75" thickBot="1">
      <c r="A59" s="3571" t="s">
        <v>1371</v>
      </c>
      <c r="B59" s="3572"/>
      <c r="C59" s="3572"/>
      <c r="D59" s="2560">
        <f ca="1">IF(H59="非个人房产","——",IF(H59="个人住宅（满五唯一有凭证）",0,IF(H59="个人其他（无凭证）",ROUND(D45*F59,0),ROUND(C67*F59,0))))</f>
        <v>100</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4461</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肆仟肆佰陆拾壹万元整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3882</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10019</v>
      </c>
      <c r="D63" s="167"/>
      <c r="E63" s="168"/>
      <c r="F63" s="1808"/>
      <c r="G63" s="1808"/>
      <c r="H63" s="1810"/>
      <c r="I63" s="129"/>
      <c r="J63" s="3550" t="s">
        <v>1379</v>
      </c>
      <c r="K63" s="1332" t="s">
        <v>1380</v>
      </c>
      <c r="L63" s="1332">
        <f ca="1">IF(M49&gt;10000,M49*0.5%,IF(AND(M49&gt;1000,M49&lt;=10000),M49*1%,IF(AND(M49&gt;100,M49&lt;=1000),M49*3%,IF(AND(M49&gt;10,M49&lt;=100),M49*5%,M49*8%))))</f>
        <v>52.6</v>
      </c>
      <c r="M63" s="302">
        <f ca="1">ROUND(L63,1)</f>
        <v>52.6</v>
      </c>
      <c r="N63" s="2543"/>
      <c r="Z63" s="1752"/>
      <c r="AI63" s="1753"/>
    </row>
    <row r="64" spans="1:35" ht="14.25" customHeight="1">
      <c r="A64" s="169" t="s">
        <v>325</v>
      </c>
      <c r="B64" s="170" t="s">
        <v>1381</v>
      </c>
      <c r="C64" s="2565">
        <f ca="1">D45</f>
        <v>10520</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52.6</v>
      </c>
      <c r="M64" s="302">
        <f t="shared" ref="M64:M65" ca="1" si="1">ROUND(L64,1)</f>
        <v>52.6</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10.52</v>
      </c>
      <c r="M65" s="302">
        <f t="shared" ca="1" si="1"/>
        <v>10.5</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52.6</v>
      </c>
      <c r="M66" s="302">
        <f ca="1">IF(L66&gt;0.5,0.5,ROUND(L66,0))</f>
        <v>0.5</v>
      </c>
      <c r="N66" s="2544" t="s">
        <v>1388</v>
      </c>
      <c r="Z66" s="1752"/>
      <c r="AI66" s="1753"/>
    </row>
    <row r="67" spans="1:35" ht="14.25" customHeight="1">
      <c r="A67" s="173" t="s">
        <v>328</v>
      </c>
      <c r="B67" s="174" t="s">
        <v>1389</v>
      </c>
      <c r="C67" s="2568">
        <f ca="1">C63-C66</f>
        <v>10019</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8.3019999999999996</v>
      </c>
      <c r="M67" s="302">
        <f ca="1">ROUND(L67*0.9,1)</f>
        <v>7.5</v>
      </c>
      <c r="N67" s="2543"/>
      <c r="Z67" s="1752"/>
      <c r="AI67" s="1753"/>
    </row>
    <row r="68" spans="1:35" ht="14.25" customHeight="1" thickBot="1">
      <c r="A68" s="176" t="s">
        <v>329</v>
      </c>
      <c r="B68" s="177" t="s">
        <v>1391</v>
      </c>
      <c r="C68" s="2569">
        <f ca="1">IF(C67&lt;=0,0,ROUND(C67*D68,0))</f>
        <v>561</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52.6</v>
      </c>
      <c r="M68" s="302">
        <f ca="1">ROUND(L68,1)</f>
        <v>52.6</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176</v>
      </c>
      <c r="N69" s="2545">
        <f ca="1">M69/M49</f>
        <v>1.6730038022813688E-2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10019</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60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60</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9959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165.98333333333332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5954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10019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60</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9959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165.98333333333332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5954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10520</v>
      </c>
      <c r="I101" s="129"/>
    </row>
    <row r="102" spans="1:35" ht="18.75" customHeight="1">
      <c r="A102" s="3578" t="s">
        <v>1433</v>
      </c>
      <c r="B102" s="2584" t="s">
        <v>1432</v>
      </c>
      <c r="C102" s="2585">
        <f ca="1">IF(D32="楼面单价",ROUND(C19,0),C19)</f>
        <v>9413</v>
      </c>
      <c r="D102" s="2586">
        <f ca="1">IF(D32="楼面单价",ROUND(D19,0),D19)</f>
        <v>11627</v>
      </c>
      <c r="E102" s="3546"/>
      <c r="F102" s="3547"/>
      <c r="G102" s="1827" t="s">
        <v>1434</v>
      </c>
      <c r="H102" s="2555">
        <f ca="1">I118</f>
        <v>9155</v>
      </c>
      <c r="I102" s="129"/>
    </row>
    <row r="103" spans="1:35" ht="42.75" customHeight="1">
      <c r="A103" s="3578"/>
      <c r="B103" s="2584" t="s">
        <v>1434</v>
      </c>
      <c r="C103" s="2587">
        <f ca="1">C20</f>
        <v>8191</v>
      </c>
      <c r="D103" s="2588">
        <f ca="1">D20</f>
        <v>10118</v>
      </c>
      <c r="E103" s="3539" t="s">
        <v>1435</v>
      </c>
      <c r="F103" s="3540"/>
      <c r="G103" s="1828" t="s">
        <v>1436</v>
      </c>
      <c r="H103" s="2595">
        <f>IF(D36="正常操作",H104+H105+H106,H105+H106)</f>
        <v>0</v>
      </c>
      <c r="I103" s="129"/>
    </row>
    <row r="104" spans="1:35" ht="18.75" customHeight="1">
      <c r="A104" s="3578" t="s">
        <v>1437</v>
      </c>
      <c r="B104" s="2589" t="s">
        <v>1432</v>
      </c>
      <c r="C104" s="2590">
        <f ca="1">H118</f>
        <v>10520</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9155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10520</v>
      </c>
      <c r="I107" s="129"/>
    </row>
    <row r="108" spans="1:35" ht="18.75" customHeight="1">
      <c r="A108" s="129"/>
      <c r="B108" s="129"/>
      <c r="C108" s="129"/>
      <c r="D108" s="129"/>
      <c r="E108" s="3579"/>
      <c r="F108" s="3547"/>
      <c r="G108" s="1827" t="s">
        <v>1434</v>
      </c>
      <c r="H108" s="2555">
        <f ca="1">IF(H107=H101,H102,ROUND(H107*10000/'数据-汇总表'!E3,0))</f>
        <v>9155</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11491.419999999998</v>
      </c>
      <c r="C118" s="2329">
        <f>M19</f>
        <v>3246.44</v>
      </c>
      <c r="D118" s="2329">
        <f ca="1">ROUND(IF(D32="总价",C34,E118*B118/10000),0)</f>
        <v>4334</v>
      </c>
      <c r="E118" s="2329">
        <f ca="1">ROUND(IF(C33="自定义",IF(D32="楼面单价",C34,D118*10000/B118),I118-G118),0)</f>
        <v>3772</v>
      </c>
      <c r="F118" s="2329">
        <f ca="1">ROUND(IF(D32="总价",C35,G118*B118/10000),0)</f>
        <v>6186</v>
      </c>
      <c r="G118" s="2329">
        <f ca="1">ROUND(IF(D32="楼面单价",C35,F118*10000/B118),0)</f>
        <v>5383</v>
      </c>
      <c r="H118" s="2329">
        <f ca="1">ROUND(IF(D32="总价",C32,I118*B118/10000),0)</f>
        <v>10520</v>
      </c>
      <c r="I118" s="2329">
        <f ca="1">ROUND(IF(D32="楼面单价",C32,H118*10000/B118),0)</f>
        <v>9155</v>
      </c>
    </row>
    <row r="119" spans="1:27" ht="18.75" customHeight="1">
      <c r="A119" s="3554" t="s">
        <v>1452</v>
      </c>
      <c r="B119" s="3554"/>
      <c r="C119" s="3554"/>
      <c r="D119" s="3560" t="str">
        <f ca="1">NUMBERSTRING(INT(D118*10000),2)&amp;"元整"</f>
        <v>肆仟叁佰叁拾肆万元整</v>
      </c>
      <c r="E119" s="3561"/>
      <c r="F119" s="3560" t="str">
        <f ca="1">NUMBERSTRING(INT(F118*10000),2)&amp;"元整"</f>
        <v>陆仟壹佰捌拾陆万元整</v>
      </c>
      <c r="G119" s="3561"/>
      <c r="H119" s="3560" t="str">
        <f ca="1">NUMBERSTRING(INT(H118*10000),2)&amp;"元整"</f>
        <v>壹亿零伍佰贰拾万元整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10520</v>
      </c>
      <c r="E122" s="3556"/>
      <c r="F122" s="3556"/>
      <c r="G122" s="3556"/>
      <c r="H122" s="3556"/>
      <c r="I122" s="3557"/>
      <c r="AA122" s="725"/>
    </row>
    <row r="123" spans="1:27" ht="18.75" customHeight="1">
      <c r="A123" s="3554" t="s">
        <v>1452</v>
      </c>
      <c r="B123" s="3554"/>
      <c r="C123" s="3554"/>
      <c r="D123" s="3560" t="str">
        <f ca="1">NUMBERSTRING(INT(D122*10000),2)&amp;"元整"</f>
        <v>壹亿零伍佰贰拾万元整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E22" sqref="E2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26.61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11627</v>
      </c>
      <c r="C2" s="1387" t="s">
        <v>805</v>
      </c>
      <c r="D2" s="1387"/>
      <c r="E2" s="1388"/>
      <c r="F2" s="1389"/>
      <c r="G2" s="2706"/>
      <c r="H2" s="2695"/>
      <c r="I2" s="2695"/>
      <c r="J2" s="2695"/>
      <c r="K2" s="2696"/>
      <c r="L2" s="2695"/>
      <c r="M2" s="2695"/>
    </row>
    <row r="3" spans="1:37" ht="18" customHeight="1" thickBot="1">
      <c r="A3" s="1390" t="s">
        <v>806</v>
      </c>
      <c r="B3" s="1391">
        <f ca="1">IF(ISERROR(B2*10000/F43),0,ROUND(B2*10000/F43,0))</f>
        <v>10118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757</v>
      </c>
      <c r="D5" s="1364" t="s">
        <v>693</v>
      </c>
      <c r="E5" s="1071"/>
      <c r="F5" s="1072"/>
      <c r="G5" s="1384"/>
      <c r="H5" s="299">
        <v>1</v>
      </c>
      <c r="I5" s="300" t="s">
        <v>692</v>
      </c>
      <c r="J5" s="1070">
        <f ca="1">J6+J10+J12</f>
        <v>0</v>
      </c>
      <c r="K5" s="1364" t="s">
        <v>693</v>
      </c>
      <c r="L5" s="1071"/>
      <c r="M5" s="1072"/>
    </row>
    <row r="6" spans="1:37" ht="18" customHeight="1">
      <c r="A6" s="1069" t="s">
        <v>398</v>
      </c>
      <c r="B6" s="3635" t="s">
        <v>694</v>
      </c>
      <c r="C6" s="1074">
        <f ca="1">ROUND(F6*F8*F7*(1-F9)/10000,0)</f>
        <v>756</v>
      </c>
      <c r="D6" s="155" t="s">
        <v>2109</v>
      </c>
      <c r="E6" s="302" t="s">
        <v>696</v>
      </c>
      <c r="F6" s="303">
        <f ca="1">INDIRECT("'数据-取费表'!u"&amp;$G$1)</f>
        <v>2.5</v>
      </c>
      <c r="G6" s="1384"/>
      <c r="H6" s="1069" t="s">
        <v>398</v>
      </c>
      <c r="I6" s="3635" t="s">
        <v>694</v>
      </c>
      <c r="J6" s="301">
        <f ca="1">ROUND(M6*M8*M7*(1-M9)/10000,0)</f>
        <v>0</v>
      </c>
      <c r="K6" s="155" t="s">
        <v>2108</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9751.86</v>
      </c>
      <c r="G7" s="1384"/>
      <c r="H7" s="304"/>
      <c r="I7" s="3636"/>
      <c r="J7" s="306"/>
      <c r="K7" s="307"/>
      <c r="L7" s="302" t="s">
        <v>697</v>
      </c>
      <c r="M7" s="303">
        <f ca="1">F7</f>
        <v>9751.86</v>
      </c>
    </row>
    <row r="8" spans="1:37" ht="18" customHeight="1">
      <c r="A8" s="304"/>
      <c r="B8" s="3636"/>
      <c r="C8" s="306"/>
      <c r="D8" s="307"/>
      <c r="E8" s="302" t="s">
        <v>698</v>
      </c>
      <c r="F8" s="303">
        <f ca="1">INDIRECT("'数据-取费表'!ai"&amp;$G$1)</f>
        <v>365</v>
      </c>
      <c r="G8" s="1384"/>
      <c r="H8" s="304"/>
      <c r="I8" s="3636"/>
      <c r="J8" s="306"/>
      <c r="K8" s="307"/>
      <c r="L8" s="302" t="s">
        <v>698</v>
      </c>
      <c r="M8" s="303">
        <f ca="1">INDIRECT("'数据-取费表'!ai"&amp;$G$1)</f>
        <v>365</v>
      </c>
    </row>
    <row r="9" spans="1:37" ht="18" customHeight="1">
      <c r="A9" s="304"/>
      <c r="B9" s="3637"/>
      <c r="C9" s="306"/>
      <c r="D9" s="307"/>
      <c r="E9" s="302" t="s">
        <v>699</v>
      </c>
      <c r="F9" s="312">
        <f ca="1">INDIRECT("'数据-取费表'!w"&amp;$G$1)</f>
        <v>0.15</v>
      </c>
      <c r="G9" s="1384"/>
      <c r="H9" s="304"/>
      <c r="I9" s="3637"/>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3405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5539</v>
      </c>
      <c r="D13" s="1081" t="s">
        <v>705</v>
      </c>
      <c r="E13" s="1081" t="s">
        <v>706</v>
      </c>
      <c r="F13" s="1082">
        <f ca="1">INDIRECT("'数据-取费表'!y"&amp;$G$1)</f>
        <v>0.98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4022</v>
      </c>
      <c r="D14" s="1345" t="s">
        <v>708</v>
      </c>
      <c r="E14" s="1342"/>
      <c r="F14" s="319"/>
      <c r="G14" s="1384"/>
      <c r="H14" s="982" t="s">
        <v>398</v>
      </c>
      <c r="I14" s="302" t="s">
        <v>709</v>
      </c>
      <c r="J14" s="21">
        <f ca="1">C29</f>
        <v>5652</v>
      </c>
      <c r="K14" s="12"/>
      <c r="L14" s="807"/>
      <c r="M14" s="808"/>
    </row>
    <row r="15" spans="1:37" s="1397" customFormat="1" ht="18" customHeight="1" thickBot="1">
      <c r="A15" s="982" t="s">
        <v>399</v>
      </c>
      <c r="B15" s="302" t="s">
        <v>710</v>
      </c>
      <c r="C15" s="21">
        <f ca="1">ROUND(C14*F15,0)</f>
        <v>201</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28</v>
      </c>
      <c r="K16" s="1087" t="s">
        <v>715</v>
      </c>
      <c r="L16" s="1088"/>
      <c r="M16" s="1072"/>
    </row>
    <row r="17" spans="1:37" s="1397" customFormat="1" ht="18" customHeight="1">
      <c r="A17" s="982" t="s">
        <v>681</v>
      </c>
      <c r="B17" s="302" t="s">
        <v>716</v>
      </c>
      <c r="C17" s="21">
        <f ca="1">ROUND(F17*(F43+INDIRECT("'数据-取费表'!S"&amp;$G$1))/10000,0)</f>
        <v>230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4513</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90</v>
      </c>
      <c r="D20" s="323" t="s">
        <v>729</v>
      </c>
      <c r="E20" s="302" t="s">
        <v>712</v>
      </c>
      <c r="F20" s="322">
        <f>'数据-取费表'!B37</f>
        <v>0.02</v>
      </c>
      <c r="G20" s="1396"/>
      <c r="H20" s="982" t="s">
        <v>680</v>
      </c>
      <c r="I20" s="155" t="s">
        <v>730</v>
      </c>
      <c r="J20" s="22">
        <f ca="1">ROUND(M20*M21/10000,2)</f>
        <v>0.49</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3246.44</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28.26</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159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-28</v>
      </c>
      <c r="K25" s="1095" t="s">
        <v>753</v>
      </c>
      <c r="L25" s="1096"/>
      <c r="M25" s="1097"/>
    </row>
    <row r="26" spans="1:37">
      <c r="A26" s="982" t="s">
        <v>397</v>
      </c>
      <c r="B26" s="302" t="s">
        <v>754</v>
      </c>
      <c r="C26" s="21">
        <f ca="1">ROUND((C19+C20)*F26,0)</f>
        <v>460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5652</v>
      </c>
      <c r="D29" s="1092"/>
      <c r="E29" s="1090"/>
      <c r="F29" s="1093"/>
      <c r="G29" s="1396"/>
      <c r="H29" s="334" t="s">
        <v>396</v>
      </c>
      <c r="I29" s="335" t="s">
        <v>768</v>
      </c>
      <c r="J29" s="336">
        <f ca="1">ROUND(J26/(1+F40)^F41,0)</f>
        <v>0</v>
      </c>
      <c r="K29" s="337" t="s">
        <v>769</v>
      </c>
      <c r="L29" s="338"/>
      <c r="M29" s="339">
        <f ca="1">INDIRECT("'数据-取费表'!k"&amp;$G$1)</f>
        <v>11491.419999999998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86.4</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3246.44</v>
      </c>
      <c r="G35" s="1384"/>
      <c r="H35" s="2697"/>
      <c r="I35" s="1398"/>
      <c r="J35" s="1399"/>
      <c r="K35" s="2701"/>
      <c r="L35" s="2700"/>
      <c r="M35" s="2700"/>
    </row>
    <row r="36" spans="1:18" ht="18" customHeight="1">
      <c r="A36" s="1102" t="s">
        <v>402</v>
      </c>
      <c r="B36" s="302" t="s">
        <v>738</v>
      </c>
      <c r="C36" s="21">
        <f ca="1">ROUND(C29*F36,2)</f>
        <v>28.26</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8.31</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7.57</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626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11182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26.61</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9731</v>
      </c>
      <c r="D43" s="337" t="s">
        <v>777</v>
      </c>
      <c r="E43" s="338" t="s">
        <v>778</v>
      </c>
      <c r="F43" s="339">
        <f ca="1">INDIRECT("'数据-取费表'!k"&amp;$G$1)</f>
        <v>11491.419999999998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-11693</v>
      </c>
      <c r="D46" s="1406" t="str">
        <f>C2</f>
        <v>万元</v>
      </c>
      <c r="E46" s="1400"/>
      <c r="F46" s="1400"/>
      <c r="I46" s="1407" t="s">
        <v>810</v>
      </c>
      <c r="J46" s="1408"/>
      <c r="K46" s="1409"/>
      <c r="L46" s="1410">
        <f ca="1">IF(M47="住宅",0,IF(L48&gt;J51,L60,J60))</f>
        <v>445</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11182</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26.61</v>
      </c>
      <c r="O48" s="1418" t="s">
        <v>404</v>
      </c>
      <c r="P48" s="1419" t="s">
        <v>821</v>
      </c>
      <c r="Q48" s="1420">
        <f ca="1">J60</f>
        <v>445</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2022</v>
      </c>
      <c r="K49" s="1423" t="s">
        <v>824</v>
      </c>
      <c r="L49" s="1427"/>
      <c r="O49" s="1428" t="s">
        <v>405</v>
      </c>
      <c r="P49" s="1419" t="s">
        <v>825</v>
      </c>
      <c r="Q49" s="1420">
        <f ca="1">C29</f>
        <v>5652</v>
      </c>
      <c r="R49" s="1420" t="s">
        <v>818</v>
      </c>
    </row>
    <row r="50" spans="1:18" s="1384" customFormat="1" ht="13.5" thickBot="1">
      <c r="A50" s="976"/>
      <c r="B50" s="979"/>
      <c r="C50" s="1118"/>
      <c r="D50" s="953"/>
      <c r="E50" s="1056" t="s">
        <v>697</v>
      </c>
      <c r="F50" s="1057">
        <f ca="1">F7</f>
        <v>9751.86</v>
      </c>
      <c r="H50" s="723"/>
      <c r="I50" s="1421" t="s">
        <v>826</v>
      </c>
      <c r="J50" s="1429">
        <f>SUMPRODUCT((I63:I65=J47)*(J62:L62=J48)*(J63:L65))</f>
        <v>60</v>
      </c>
      <c r="K50" s="1423" t="s">
        <v>827</v>
      </c>
      <c r="L50" s="1427"/>
      <c r="M50" s="1430"/>
      <c r="O50" s="1428" t="s">
        <v>406</v>
      </c>
      <c r="P50" s="1419" t="s">
        <v>828</v>
      </c>
      <c r="Q50" s="1431">
        <f ca="1">J58</f>
        <v>0.54</v>
      </c>
      <c r="R50" s="1420"/>
    </row>
    <row r="51" spans="1:18" s="1384" customFormat="1" ht="13.5" thickBot="1">
      <c r="A51" s="977"/>
      <c r="B51" s="979"/>
      <c r="C51" s="980"/>
      <c r="D51" s="953"/>
      <c r="E51" s="981" t="s">
        <v>698</v>
      </c>
      <c r="F51" s="303">
        <f ca="1">F8</f>
        <v>365</v>
      </c>
      <c r="I51" s="1432" t="s">
        <v>829</v>
      </c>
      <c r="J51" s="1433">
        <f>IF(J49="",J50,J49+J50-YEAR('数据-取费表'!B2))</f>
        <v>59</v>
      </c>
      <c r="K51" s="1434" t="s">
        <v>830</v>
      </c>
      <c r="L51" s="1435">
        <f ca="1">ROUND(-PV(INDIRECT("'数据-取费表'!h"&amp;$G$1),J51,(C39-C13*C76),0),0)</f>
        <v>4498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26.61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26.61</v>
      </c>
      <c r="K53" s="3633" t="s">
        <v>837</v>
      </c>
      <c r="L53" s="3634"/>
      <c r="O53" s="1418" t="s">
        <v>409</v>
      </c>
      <c r="P53" s="1419" t="s">
        <v>838</v>
      </c>
      <c r="Q53" s="1420">
        <f ca="1">Q47+Q48</f>
        <v>11627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0.54</v>
      </c>
      <c r="K55" s="1445" t="s">
        <v>841</v>
      </c>
      <c r="L55" s="1446"/>
      <c r="O55" s="1411" t="s">
        <v>811</v>
      </c>
      <c r="P55" s="1412" t="s">
        <v>812</v>
      </c>
      <c r="Q55" s="1413" t="s">
        <v>813</v>
      </c>
      <c r="R55" s="1413" t="s">
        <v>814</v>
      </c>
    </row>
    <row r="56" spans="1:18" s="1384" customFormat="1" ht="25.5" thickTop="1" thickBot="1">
      <c r="A56" s="957">
        <v>2</v>
      </c>
      <c r="B56" s="958" t="s">
        <v>704</v>
      </c>
      <c r="C56" s="232">
        <f ca="1">C13</f>
        <v>5539</v>
      </c>
      <c r="D56" s="1447"/>
      <c r="E56" s="1448"/>
      <c r="F56" s="1440"/>
      <c r="I56" s="1449" t="s">
        <v>842</v>
      </c>
      <c r="J56" s="1450" t="s">
        <v>3408</v>
      </c>
      <c r="K56" s="1421" t="s">
        <v>843</v>
      </c>
      <c r="L56" s="1424" t="str">
        <f ca="1">IF(L48&lt;J51,"——",L48-J53)</f>
        <v>——</v>
      </c>
      <c r="O56" s="1418" t="s">
        <v>403</v>
      </c>
      <c r="P56" s="1419" t="s">
        <v>817</v>
      </c>
      <c r="Q56" s="1420">
        <f ca="1">C40+J29</f>
        <v>11182</v>
      </c>
      <c r="R56" s="1420" t="s">
        <v>818</v>
      </c>
    </row>
    <row r="57" spans="1:18" s="1384" customFormat="1" ht="24.75" thickBot="1">
      <c r="A57" s="1451"/>
      <c r="B57" s="950" t="s">
        <v>767</v>
      </c>
      <c r="C57" s="238">
        <f ca="1">C29</f>
        <v>5652</v>
      </c>
      <c r="D57" s="1452"/>
      <c r="E57" s="1453"/>
      <c r="F57" s="1454"/>
      <c r="I57" s="1455" t="s">
        <v>844</v>
      </c>
      <c r="J57" s="1456">
        <f ca="1">IF(OR(M47="住宅",J51&lt;L48,J56="是"),"——",J51-L48)</f>
        <v>32.39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37</v>
      </c>
      <c r="D58" s="960" t="s">
        <v>715</v>
      </c>
      <c r="E58" s="961"/>
      <c r="F58" s="962"/>
      <c r="I58" s="1455" t="s">
        <v>848</v>
      </c>
      <c r="J58" s="1457">
        <f ca="1">IF(J55&lt;0.4,0.4,J55)</f>
        <v>0.54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3052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f ca="1">IF(OR(M47="住宅",J51&lt;L48,J56="是"),"0",ROUND(J59/(1+J52)^J53,0))</f>
        <v>445</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11182</v>
      </c>
      <c r="R62" s="1420" t="s">
        <v>410</v>
      </c>
    </row>
    <row r="63" spans="1:18" s="1384" customFormat="1" ht="13.5" thickBot="1">
      <c r="A63" s="326"/>
      <c r="B63" s="956"/>
      <c r="C63" s="26"/>
      <c r="D63" s="966"/>
      <c r="E63" s="950" t="s">
        <v>788</v>
      </c>
      <c r="F63" s="303">
        <f t="shared" ca="1" si="0"/>
        <v>3246.44</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28.26</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8.31</v>
      </c>
      <c r="D65" s="964" t="s">
        <v>743</v>
      </c>
      <c r="E65" s="950" t="s">
        <v>744</v>
      </c>
      <c r="F65" s="330">
        <f t="shared" ca="1" si="0"/>
        <v>1.5E-3</v>
      </c>
      <c r="I65" s="1462" t="s">
        <v>867</v>
      </c>
      <c r="J65" s="1463">
        <v>40</v>
      </c>
      <c r="K65" s="1463">
        <v>30</v>
      </c>
      <c r="L65" s="1463">
        <v>50</v>
      </c>
      <c r="M65" s="1465">
        <v>0.02</v>
      </c>
      <c r="O65" s="1418" t="s">
        <v>403</v>
      </c>
      <c r="P65" s="1419" t="s">
        <v>868</v>
      </c>
      <c r="Q65" s="1420">
        <f ca="1">C40+J29</f>
        <v>11182</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-37</v>
      </c>
      <c r="D67" s="963" t="s">
        <v>753</v>
      </c>
      <c r="E67" s="968"/>
      <c r="F67" s="969"/>
      <c r="O67" s="1428" t="s">
        <v>405</v>
      </c>
      <c r="P67" s="1419" t="s">
        <v>850</v>
      </c>
      <c r="Q67" s="1466">
        <f ca="1">L51</f>
        <v>4498</v>
      </c>
      <c r="R67" s="1420" t="s">
        <v>870</v>
      </c>
    </row>
    <row r="68" spans="1:18" s="1384" customFormat="1" ht="16.5" thickBot="1">
      <c r="A68" s="947" t="s">
        <v>395</v>
      </c>
      <c r="B68" s="948" t="s">
        <v>774</v>
      </c>
      <c r="C68" s="301">
        <f ca="1">ROUND(C67*(1-((1+F70)/(1+F68))^F69)/(F68-F70),0)</f>
        <v>-511</v>
      </c>
      <c r="D68" s="965" t="s">
        <v>758</v>
      </c>
      <c r="E68" s="950" t="s">
        <v>759</v>
      </c>
      <c r="F68" s="312">
        <f ca="1">F40</f>
        <v>5.5E-2</v>
      </c>
      <c r="O68" s="1428" t="s">
        <v>406</v>
      </c>
      <c r="P68" s="1467" t="s">
        <v>871</v>
      </c>
      <c r="Q68" s="1420">
        <f ca="1">ROUND(Q69-Q70*Q71,0)</f>
        <v>238</v>
      </c>
      <c r="R68" s="1420" t="s">
        <v>414</v>
      </c>
    </row>
    <row r="69" spans="1:18" s="1384" customFormat="1" ht="13.5" thickBot="1">
      <c r="A69" s="951"/>
      <c r="B69" s="952"/>
      <c r="C69" s="306"/>
      <c r="D69" s="970" t="s">
        <v>762</v>
      </c>
      <c r="E69" s="950" t="s">
        <v>763</v>
      </c>
      <c r="F69" s="333">
        <f ca="1">F41</f>
        <v>26.61</v>
      </c>
      <c r="O69" s="1428" t="s">
        <v>411</v>
      </c>
      <c r="P69" s="1467" t="s">
        <v>872</v>
      </c>
      <c r="Q69" s="1420">
        <f ca="1">C39</f>
        <v>626</v>
      </c>
      <c r="R69" s="1420" t="s">
        <v>818</v>
      </c>
    </row>
    <row r="70" spans="1:18" s="1384" customFormat="1" ht="13.5" thickBot="1">
      <c r="A70" s="954"/>
      <c r="B70" s="955"/>
      <c r="C70" s="310"/>
      <c r="D70" s="966"/>
      <c r="E70" s="950" t="s">
        <v>766</v>
      </c>
      <c r="F70" s="1054"/>
      <c r="O70" s="1428" t="s">
        <v>412</v>
      </c>
      <c r="P70" s="1467" t="s">
        <v>873</v>
      </c>
      <c r="Q70" s="1420">
        <f ca="1">C13</f>
        <v>5539</v>
      </c>
      <c r="R70" s="1420" t="s">
        <v>818</v>
      </c>
    </row>
    <row r="71" spans="1:18" s="1384" customFormat="1" ht="13.5" thickBot="1">
      <c r="A71" s="971" t="s">
        <v>396</v>
      </c>
      <c r="B71" s="972" t="s">
        <v>776</v>
      </c>
      <c r="C71" s="336">
        <f ca="1">ROUND(C68*10000/F71,0)</f>
        <v>-445</v>
      </c>
      <c r="D71" s="973" t="s">
        <v>777</v>
      </c>
      <c r="E71" s="974" t="s">
        <v>778</v>
      </c>
      <c r="F71" s="339">
        <f ca="1">F43</f>
        <v>11491.419999999998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388</v>
      </c>
      <c r="D75" s="1384"/>
      <c r="E75" s="1384"/>
      <c r="F75" s="1384"/>
      <c r="K75" s="1402"/>
      <c r="L75" s="1384"/>
      <c r="O75" s="1418" t="s">
        <v>409</v>
      </c>
      <c r="P75" s="1419" t="s">
        <v>838</v>
      </c>
      <c r="Q75" s="1420">
        <f ca="1">Q65+Q66</f>
        <v>11182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0.38</v>
      </c>
    </row>
    <row r="80" spans="1:18">
      <c r="B80" s="340" t="s">
        <v>800</v>
      </c>
      <c r="C80" s="274">
        <f ca="1">ROUND(C75/C39,3)</f>
        <v>0.62</v>
      </c>
    </row>
    <row r="81" spans="2:3">
      <c r="B81" s="270" t="s">
        <v>801</v>
      </c>
      <c r="C81" s="238"/>
    </row>
    <row r="82" spans="2:3">
      <c r="B82" s="273" t="s">
        <v>802</v>
      </c>
      <c r="C82" s="275">
        <f ca="1">1-C83</f>
        <v>0.505</v>
      </c>
    </row>
    <row r="83" spans="2:3">
      <c r="B83" s="273" t="s">
        <v>803</v>
      </c>
      <c r="C83" s="274">
        <f ca="1">ROUND(C13/C40,3)</f>
        <v>0.495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27" sqref="L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21</v>
      </c>
      <c r="C1" s="198"/>
      <c r="D1" s="198"/>
      <c r="E1" s="198"/>
      <c r="F1" s="198"/>
      <c r="G1" s="1126">
        <f>MATCH(B1,'数据-取费表'!A6:A16,0)+5</f>
        <v>6</v>
      </c>
    </row>
    <row r="2" spans="1:9" s="200" customFormat="1" ht="18" customHeight="1">
      <c r="A2" s="201" t="s">
        <v>1462</v>
      </c>
      <c r="B2" s="202">
        <f ca="1">IF(D2="——",C52,C52-E2)</f>
        <v>9413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8191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3001</v>
      </c>
      <c r="D5" s="211" t="s">
        <v>1469</v>
      </c>
      <c r="E5" s="212" t="s">
        <v>1470</v>
      </c>
      <c r="F5" s="212" t="s">
        <v>1471</v>
      </c>
      <c r="G5" s="213"/>
    </row>
    <row r="6" spans="1:9" s="214" customFormat="1" ht="13.5" customHeight="1">
      <c r="A6" s="778" t="s">
        <v>1472</v>
      </c>
      <c r="B6" s="215" t="s">
        <v>1473</v>
      </c>
      <c r="C6" s="216">
        <f>基准地价修正!B2</f>
        <v>2689</v>
      </c>
      <c r="D6" s="217"/>
      <c r="E6" s="218"/>
      <c r="F6" s="218"/>
      <c r="G6" s="219"/>
    </row>
    <row r="7" spans="1:9" s="214" customFormat="1" ht="13.5" customHeight="1">
      <c r="A7" s="778" t="s">
        <v>1474</v>
      </c>
      <c r="B7" s="215" t="s">
        <v>1475</v>
      </c>
      <c r="C7" s="220">
        <f>ROUND(C6*F7,0)</f>
        <v>82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230</v>
      </c>
      <c r="D8" s="222"/>
      <c r="E8" s="220"/>
      <c r="F8" s="221"/>
      <c r="G8" s="1856" t="s">
        <v>3422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3423</v>
      </c>
      <c r="H9" s="1137"/>
      <c r="I9" s="1858" t="s">
        <v>1479</v>
      </c>
    </row>
    <row r="10" spans="1:9" s="214" customFormat="1" ht="13.5" customHeight="1">
      <c r="A10" s="779" t="s">
        <v>356</v>
      </c>
      <c r="B10" s="224" t="s">
        <v>1480</v>
      </c>
      <c r="C10" s="225">
        <f ca="1">ROUND(D10*E10/10000,0)</f>
        <v>230</v>
      </c>
      <c r="D10" s="845">
        <f ca="1">IF(B1="",'数据-汇总表'!E6,IF(INDIRECT("'数据-取费表'!c"&amp;$G$1)="住宅",INDIRECT("'数据-取费表'!s"&amp;$G$1),INDIRECT("'数据-取费表'!k"&amp;$G$1)+INDIRECT("'数据-取费表'!s"&amp;$G$1)))</f>
        <v>11491.419999999998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11491.419999999998</v>
      </c>
      <c r="E19" s="211">
        <f>'数据-取费表'!B31</f>
        <v>200</v>
      </c>
      <c r="F19" s="231"/>
      <c r="G19" s="1856" t="s">
        <v>3424</v>
      </c>
    </row>
    <row r="20" spans="1:7" s="214" customFormat="1" ht="13.5" customHeight="1">
      <c r="A20" s="255" t="s">
        <v>1493</v>
      </c>
      <c r="B20" s="210" t="s">
        <v>1494</v>
      </c>
      <c r="C20" s="232">
        <f ca="1">ROUND((C5+C19)*F20,0)</f>
        <v>60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213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211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306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306</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3874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4513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4022</v>
      </c>
      <c r="D34" s="217"/>
      <c r="E34" s="220"/>
      <c r="F34" s="257">
        <f ca="1">IF('数据-取费表'!B24=0,1,IF(B1="",'数据-取费表'!N16,INDIRECT("'数据-取费表'!n"&amp;$G$1)))</f>
        <v>1</v>
      </c>
      <c r="G34" s="219" t="s">
        <v>1526</v>
      </c>
    </row>
    <row r="35" spans="1:7" ht="13.5" customHeight="1">
      <c r="A35" s="780" t="s">
        <v>351</v>
      </c>
      <c r="B35" s="215" t="s">
        <v>1527</v>
      </c>
      <c r="C35" s="220">
        <f ca="1">ROUND(C34*F35,0)</f>
        <v>201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230</v>
      </c>
      <c r="D37" s="217">
        <f ca="1">D19</f>
        <v>11491.419999999998</v>
      </c>
      <c r="E37" s="249">
        <f>'数据-取费表'!B35</f>
        <v>200</v>
      </c>
      <c r="F37" s="259"/>
      <c r="G37" s="261" t="s">
        <v>1532</v>
      </c>
    </row>
    <row r="38" spans="1:7" ht="13.5" customHeight="1">
      <c r="A38" s="780" t="s">
        <v>354</v>
      </c>
      <c r="B38" s="215" t="s">
        <v>1533</v>
      </c>
      <c r="C38" s="220">
        <f ca="1">ROUND(C34*F38,0)</f>
        <v>60</v>
      </c>
      <c r="D38" s="220"/>
      <c r="E38" s="220"/>
      <c r="F38" s="259">
        <f>'数据-取费表'!B36</f>
        <v>1.4999999999999999E-2</v>
      </c>
      <c r="G38" s="219" t="s">
        <v>1528</v>
      </c>
    </row>
    <row r="39" spans="1:7" s="214" customFormat="1" ht="13.5" customHeight="1">
      <c r="A39" s="255" t="s">
        <v>1534</v>
      </c>
      <c r="B39" s="210" t="s">
        <v>1535</v>
      </c>
      <c r="C39" s="232">
        <f ca="1">ROUND(C33*F20,0)</f>
        <v>90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156</v>
      </c>
      <c r="D42" s="238"/>
      <c r="E42" s="238"/>
      <c r="F42" s="239"/>
      <c r="G42" s="3638" t="s">
        <v>1544</v>
      </c>
    </row>
    <row r="43" spans="1:7" ht="13.5" customHeight="1">
      <c r="A43" s="780" t="s">
        <v>347</v>
      </c>
      <c r="B43" s="215" t="s">
        <v>1545</v>
      </c>
      <c r="C43" s="238">
        <f ca="1">ROUND(IF('数据-取费表'!B22&lt;=1,C39*F22*'数据-取费表'!B21/2,C39*(POWER((1+F22),'数据-取费表'!B21/2)-1)),0)</f>
        <v>3</v>
      </c>
      <c r="D43" s="238"/>
      <c r="E43" s="238"/>
      <c r="F43" s="239"/>
      <c r="G43" s="3639"/>
    </row>
    <row r="44" spans="1:7" ht="13.5" customHeight="1">
      <c r="A44" s="780" t="s">
        <v>348</v>
      </c>
      <c r="B44" s="215" t="s">
        <v>1546</v>
      </c>
      <c r="C44" s="238">
        <f ca="1">ROUND(IF('数据-取费表'!B22&lt;=1,C40*F22*'数据-取费表'!B21/2,C40*(POWER((1+F22),'数据-取费表'!B21/2)-1)),4)</f>
        <v>6.9999999999999999E-4</v>
      </c>
      <c r="D44" s="238"/>
      <c r="E44" s="238"/>
      <c r="F44" s="239"/>
      <c r="G44" s="3640"/>
    </row>
    <row r="45" spans="1:7" s="214" customFormat="1" ht="13.5" customHeight="1">
      <c r="A45" s="255" t="s">
        <v>1547</v>
      </c>
      <c r="B45" s="244" t="s">
        <v>1513</v>
      </c>
      <c r="C45" s="245">
        <f ca="1">C46</f>
        <v>460</v>
      </c>
      <c r="D45" s="235">
        <f ca="1">C47</f>
        <v>2E-3</v>
      </c>
      <c r="E45" s="236" t="s">
        <v>1539</v>
      </c>
      <c r="F45" s="246">
        <f ca="1">F27</f>
        <v>0.1</v>
      </c>
      <c r="G45" s="247" t="s">
        <v>1548</v>
      </c>
    </row>
    <row r="46" spans="1:7" s="214" customFormat="1" ht="13.5" customHeight="1">
      <c r="A46" s="780" t="s">
        <v>346</v>
      </c>
      <c r="B46" s="248" t="s">
        <v>1549</v>
      </c>
      <c r="C46" s="249">
        <f ca="1">ROUND((C33+C39)*F27,0)</f>
        <v>460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5652</v>
      </c>
      <c r="D49" s="232"/>
      <c r="E49" s="232"/>
      <c r="F49" s="264"/>
      <c r="G49" s="234" t="s">
        <v>1554</v>
      </c>
    </row>
    <row r="50" spans="1:7" s="258" customFormat="1" ht="24">
      <c r="A50" s="255" t="s">
        <v>1555</v>
      </c>
      <c r="B50" s="210" t="s">
        <v>1556</v>
      </c>
      <c r="C50" s="232"/>
      <c r="D50" s="232"/>
      <c r="E50" s="232"/>
      <c r="F50" s="264">
        <f>IF('数据-取费表'!B24=0,'数据-取费表'!N16,1)</f>
        <v>0.98</v>
      </c>
      <c r="G50" s="247" t="s">
        <v>1557</v>
      </c>
    </row>
    <row r="51" spans="1:7" ht="16.5" customHeight="1">
      <c r="A51" s="255" t="s">
        <v>1558</v>
      </c>
      <c r="B51" s="210" t="s">
        <v>1559</v>
      </c>
      <c r="C51" s="232">
        <f ca="1">ROUND(C49*F50,0)</f>
        <v>5539</v>
      </c>
      <c r="D51" s="232"/>
      <c r="E51" s="232"/>
      <c r="F51" s="264"/>
      <c r="G51" s="234" t="s">
        <v>1560</v>
      </c>
    </row>
    <row r="52" spans="1:7" s="208" customFormat="1" ht="16.5" thickBot="1">
      <c r="A52" s="265" t="s">
        <v>1561</v>
      </c>
      <c r="B52" s="266"/>
      <c r="C52" s="267">
        <f ca="1">C31+C51</f>
        <v>9413</v>
      </c>
      <c r="D52" s="266"/>
      <c r="E52" s="266"/>
      <c r="F52" s="266"/>
      <c r="G52" s="268"/>
    </row>
    <row r="55" spans="1:7" ht="15">
      <c r="B55" s="270" t="s">
        <v>1562</v>
      </c>
      <c r="C55" s="271"/>
    </row>
    <row r="56" spans="1:7">
      <c r="B56" s="273" t="s">
        <v>802</v>
      </c>
      <c r="C56" s="275">
        <f ca="1">1-C57</f>
        <v>0.41200000000000003</v>
      </c>
    </row>
    <row r="57" spans="1:7">
      <c r="B57" s="273" t="s">
        <v>803</v>
      </c>
      <c r="C57" s="274">
        <f ca="1">ROUND(C51/C52,3)</f>
        <v>0.58799999999999997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6132.6356999999998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5337</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2298284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2298284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2298284</v>
      </c>
      <c r="D10" s="845">
        <f ca="1">IF(B1="",'数据-汇总表'!E6,IF(INDIRECT("'数据-取费表'!c"&amp;$G$1)="住宅",INDIRECT("'数据-取费表'!s"&amp;$G$1),INDIRECT("'数据-取费表'!k"&amp;$G$1)+INDIRECT("'数据-取费表'!s"&amp;$G$1)))</f>
        <v>11491.419999999998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2298284</v>
      </c>
      <c r="D19" s="849">
        <f ca="1">D9+D10</f>
        <v>11491.419999999998</v>
      </c>
      <c r="E19" s="211">
        <f>'数据-取费表'!B31</f>
        <v>200</v>
      </c>
      <c r="F19" s="231"/>
      <c r="G19" s="1856"/>
    </row>
    <row r="20" spans="1:7" s="214" customFormat="1" ht="13.5" customHeight="1">
      <c r="A20" s="255" t="s">
        <v>1574</v>
      </c>
      <c r="B20" s="210" t="s">
        <v>1575</v>
      </c>
      <c r="C20" s="232">
        <f ca="1">ROUND((C5+C19)*F20,0)</f>
        <v>91931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325806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161317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161317</v>
      </c>
      <c r="D24" s="238"/>
      <c r="E24" s="238"/>
      <c r="F24" s="239"/>
      <c r="G24" s="240" t="s">
        <v>1586</v>
      </c>
    </row>
    <row r="25" spans="1:7" s="214" customFormat="1" ht="24">
      <c r="A25" s="780" t="s">
        <v>1476</v>
      </c>
      <c r="B25" s="215" t="s">
        <v>1587</v>
      </c>
      <c r="C25" s="1128">
        <f ca="1">ROUND(IF('数据-取费表'!B22&lt;=1,C20*F22*'数据-取费表'!B22/2,C20*(POWER((1+F22),'数据-取费表'!B22/2)-1)),0)</f>
        <v>3172</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468850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468850</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5934150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45132553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40219970</v>
      </c>
      <c r="D34" s="217"/>
      <c r="E34" s="220"/>
      <c r="F34" s="257"/>
      <c r="G34" s="219"/>
    </row>
    <row r="35" spans="1:7" ht="13.5" customHeight="1">
      <c r="A35" s="780" t="s">
        <v>351</v>
      </c>
      <c r="B35" s="215" t="s">
        <v>1527</v>
      </c>
      <c r="C35" s="220">
        <f ca="1">ROUND(C34*F35,0)</f>
        <v>2010999</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2298284</v>
      </c>
      <c r="D37" s="217">
        <f ca="1">D19</f>
        <v>11491.419999999998</v>
      </c>
      <c r="E37" s="249">
        <f>'数据-取费表'!B35</f>
        <v>200</v>
      </c>
      <c r="F37" s="259"/>
      <c r="G37" s="261"/>
    </row>
    <row r="38" spans="1:7" ht="13.5" customHeight="1">
      <c r="A38" s="780" t="s">
        <v>354</v>
      </c>
      <c r="B38" s="215" t="s">
        <v>1533</v>
      </c>
      <c r="C38" s="220">
        <f ca="1">ROUND(C34*F38,0)</f>
        <v>603300</v>
      </c>
      <c r="D38" s="220"/>
      <c r="E38" s="220"/>
      <c r="F38" s="259">
        <f>'数据-取费表'!B36</f>
        <v>1.4999999999999999E-2</v>
      </c>
      <c r="G38" s="219" t="s">
        <v>1528</v>
      </c>
    </row>
    <row r="39" spans="1:7" s="214" customFormat="1" ht="13.5" customHeight="1">
      <c r="A39" s="255" t="s">
        <v>1534</v>
      </c>
      <c r="B39" s="210" t="s">
        <v>1535</v>
      </c>
      <c r="C39" s="232">
        <f ca="1">ROUND(C33*F20,0)</f>
        <v>902651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1588214</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1557073</v>
      </c>
      <c r="D42" s="238"/>
      <c r="E42" s="238"/>
      <c r="F42" s="239"/>
      <c r="G42" s="3638" t="s">
        <v>1591</v>
      </c>
    </row>
    <row r="43" spans="1:7" ht="13.5" customHeight="1">
      <c r="A43" s="780" t="s">
        <v>347</v>
      </c>
      <c r="B43" s="215" t="s">
        <v>1545</v>
      </c>
      <c r="C43" s="238">
        <f ca="1">ROUND(IF('数据-取费表'!B22&lt;=1,C39*F22*'数据-取费表'!B20/2,C39*(POWER((1+F22),'数据-取费表'!B20/2)-1)),0)</f>
        <v>31141</v>
      </c>
      <c r="D43" s="238"/>
      <c r="E43" s="238"/>
      <c r="F43" s="239"/>
      <c r="G43" s="3639"/>
    </row>
    <row r="44" spans="1:7" ht="13.5" customHeight="1">
      <c r="A44" s="780" t="s">
        <v>348</v>
      </c>
      <c r="B44" s="215" t="s">
        <v>1546</v>
      </c>
      <c r="C44" s="238">
        <f ca="1">ROUND(IF('数据-取费表'!B22&lt;=1,C40*F22*'数据-取费表'!B20/2,C40*(POWER((1+F22),'数据-取费表'!B20/2)-1)),4)</f>
        <v>6.9999999999999999E-4</v>
      </c>
      <c r="D44" s="238"/>
      <c r="E44" s="238"/>
      <c r="F44" s="239"/>
      <c r="G44" s="3640"/>
    </row>
    <row r="45" spans="1:7" s="214" customFormat="1" ht="13.5" customHeight="1">
      <c r="A45" s="255" t="s">
        <v>1547</v>
      </c>
      <c r="B45" s="244" t="s">
        <v>1513</v>
      </c>
      <c r="C45" s="245">
        <f ca="1">C46</f>
        <v>4603520</v>
      </c>
      <c r="D45" s="235">
        <f ca="1">C47</f>
        <v>2E-3</v>
      </c>
      <c r="E45" s="236" t="s">
        <v>1539</v>
      </c>
      <c r="F45" s="246">
        <f ca="1">F27</f>
        <v>0.1</v>
      </c>
      <c r="G45" s="247" t="s">
        <v>1548</v>
      </c>
    </row>
    <row r="46" spans="1:7" s="214" customFormat="1" ht="13.5" customHeight="1">
      <c r="A46" s="780" t="s">
        <v>346</v>
      </c>
      <c r="B46" s="248" t="s">
        <v>1549</v>
      </c>
      <c r="C46" s="249">
        <f ca="1">ROUND((C33+C39)*F27,0)</f>
        <v>4603520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56522660</v>
      </c>
      <c r="D49" s="232"/>
      <c r="E49" s="232"/>
      <c r="F49" s="264"/>
      <c r="G49" s="234" t="s">
        <v>1554</v>
      </c>
    </row>
    <row r="50" spans="1:7" s="258" customFormat="1">
      <c r="A50" s="255" t="s">
        <v>1555</v>
      </c>
      <c r="B50" s="210" t="s">
        <v>1556</v>
      </c>
      <c r="C50" s="232"/>
      <c r="D50" s="232"/>
      <c r="E50" s="232"/>
      <c r="F50" s="264">
        <f>IF('数据-取费表'!B24=0,'数据-取费表'!N16,1)</f>
        <v>0.98</v>
      </c>
      <c r="G50" s="247"/>
    </row>
    <row r="51" spans="1:7" ht="16.5" customHeight="1">
      <c r="A51" s="255" t="s">
        <v>1558</v>
      </c>
      <c r="B51" s="210" t="s">
        <v>1593</v>
      </c>
      <c r="C51" s="232">
        <f ca="1">ROUND(C49*F50,0)</f>
        <v>55392207</v>
      </c>
      <c r="D51" s="232"/>
      <c r="E51" s="232"/>
      <c r="F51" s="264"/>
      <c r="G51" s="234" t="s">
        <v>1560</v>
      </c>
    </row>
    <row r="52" spans="1:7" s="208" customFormat="1" ht="16.5" thickBot="1">
      <c r="A52" s="265" t="s">
        <v>1561</v>
      </c>
      <c r="B52" s="266"/>
      <c r="C52" s="267">
        <f ca="1">C31+C51</f>
        <v>61326357</v>
      </c>
      <c r="D52" s="266"/>
      <c r="E52" s="266"/>
      <c r="F52" s="266"/>
      <c r="G52" s="268"/>
    </row>
    <row r="55" spans="1:7" ht="15">
      <c r="B55" s="270" t="s">
        <v>1562</v>
      </c>
      <c r="C55" s="271"/>
    </row>
    <row r="56" spans="1:7">
      <c r="B56" s="273" t="s">
        <v>802</v>
      </c>
      <c r="C56" s="275">
        <f ca="1">1-C57</f>
        <v>9.6999999999999975E-2</v>
      </c>
    </row>
    <row r="57" spans="1:7">
      <c r="B57" s="273" t="s">
        <v>803</v>
      </c>
      <c r="C57" s="274">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11491.419999999998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11491.419999999998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230</v>
      </c>
      <c r="D20" s="846">
        <f ca="1">IF(C1="",'数据-汇总表'!E6,IF(INDIRECT("'数据-取费表'!c"&amp;$K$1)="住宅",INDIRECT("'数据-取费表'!s"&amp;$K$1),INDIRECT("'数据-取费表'!k"&amp;$K$1)+INDIRECT("'数据-取费表'!s"&amp;$K$1)))</f>
        <v>11491.419999999998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5" t="s">
        <v>694</v>
      </c>
      <c r="C6" s="1074">
        <f ca="1">ROUND(F6*F8*F7*(1-F9),0)</f>
        <v>0</v>
      </c>
      <c r="D6" s="155" t="s">
        <v>2106</v>
      </c>
      <c r="E6" s="302" t="s">
        <v>696</v>
      </c>
      <c r="F6" s="303">
        <f ca="1">INDIRECT("'数据-取费表'!u"&amp;$G$1)</f>
        <v>0</v>
      </c>
      <c r="G6" s="1384"/>
      <c r="H6" s="1069" t="s">
        <v>398</v>
      </c>
      <c r="I6" s="3635" t="s">
        <v>694</v>
      </c>
      <c r="J6" s="301">
        <f ca="1">ROUND(M6*M8*M7*(1-M9),0)</f>
        <v>0</v>
      </c>
      <c r="K6" s="1376" t="s">
        <v>2107</v>
      </c>
      <c r="L6" s="302" t="s">
        <v>696</v>
      </c>
      <c r="M6" s="303">
        <f ca="1">INDIRECT("'数据-取费表'!z"&amp;$G$1)</f>
        <v>0</v>
      </c>
    </row>
    <row r="7" spans="1:37" ht="18" customHeight="1">
      <c r="A7" s="1073"/>
      <c r="B7" s="3636"/>
      <c r="C7" s="1075"/>
      <c r="D7" s="307"/>
      <c r="E7" s="1076" t="s">
        <v>697</v>
      </c>
      <c r="F7" s="303">
        <f ca="1">IF(INDIRECT("'数据-取费表'!ah"&amp;$G$1)="",INDIRECT("'数据-取费表'!k"&amp;$G$1),INDIRECT("'数据-取费表'!ah"&amp;$G$1))</f>
        <v>0</v>
      </c>
      <c r="G7" s="1384"/>
      <c r="H7" s="304"/>
      <c r="I7" s="3636"/>
      <c r="J7" s="306"/>
      <c r="K7" s="307"/>
      <c r="L7" s="302" t="s">
        <v>697</v>
      </c>
      <c r="M7" s="303">
        <f ca="1">F7</f>
        <v>0</v>
      </c>
    </row>
    <row r="8" spans="1:37" ht="18" customHeight="1">
      <c r="A8" s="304"/>
      <c r="B8" s="3636"/>
      <c r="C8" s="306"/>
      <c r="D8" s="307"/>
      <c r="E8" s="302" t="s">
        <v>698</v>
      </c>
      <c r="F8" s="303">
        <f ca="1">INDIRECT("'数据-取费表'!ai"&amp;$G$1)</f>
        <v>0</v>
      </c>
      <c r="G8" s="1384"/>
      <c r="H8" s="304"/>
      <c r="I8" s="3636"/>
      <c r="J8" s="306"/>
      <c r="K8" s="307"/>
      <c r="L8" s="302" t="s">
        <v>698</v>
      </c>
      <c r="M8" s="303">
        <f ca="1">INDIRECT("'数据-取费表'!ai"&amp;$G$1)</f>
        <v>0</v>
      </c>
    </row>
    <row r="9" spans="1:37" ht="18" customHeight="1">
      <c r="A9" s="304"/>
      <c r="B9" s="3637"/>
      <c r="C9" s="306"/>
      <c r="D9" s="307"/>
      <c r="E9" s="302" t="s">
        <v>699</v>
      </c>
      <c r="F9" s="312">
        <f ca="1">INDIRECT("'数据-取费表'!w"&amp;$G$1)</f>
        <v>0</v>
      </c>
      <c r="G9" s="1384"/>
      <c r="H9" s="304"/>
      <c r="I9" s="363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3" t="s">
        <v>837</v>
      </c>
      <c r="L53" s="363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11627</v>
      </c>
      <c r="C2" s="1872" t="s">
        <v>1651</v>
      </c>
      <c r="D2" s="1873" t="s">
        <v>1652</v>
      </c>
      <c r="E2" s="2607">
        <f>SUM(E6:E13)</f>
        <v>11491.419999999998</v>
      </c>
      <c r="F2" s="2707"/>
      <c r="G2" s="1489"/>
      <c r="H2" s="1489"/>
      <c r="I2" s="1489"/>
      <c r="J2" s="1489"/>
      <c r="K2" s="1489"/>
      <c r="L2" s="1489"/>
      <c r="M2" s="1489"/>
      <c r="N2" s="1489"/>
      <c r="O2" s="1489"/>
      <c r="P2" s="1489"/>
      <c r="Q2" s="1489"/>
      <c r="R2" s="1489"/>
      <c r="S2" s="1489"/>
    </row>
    <row r="3" spans="1:22" ht="15.75">
      <c r="A3" s="1870" t="s">
        <v>686</v>
      </c>
      <c r="B3" s="2601">
        <f ca="1">ROUND(B2*10000/E2,0)</f>
        <v>10118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11627</v>
      </c>
      <c r="C6" s="1872" t="s">
        <v>1651</v>
      </c>
      <c r="D6" s="2709"/>
      <c r="E6" s="2606">
        <f>IF(OR(A6=0,F6="否"),0,'数据-取费表'!K6+'数据-取费表'!S6)</f>
        <v>11491.419999999998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11491.419999999998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45237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11491.419999999998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45237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11491.419999999998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45237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估价对象为北京市房地产，为所有。根据《国有土地使用证》[]，估价对象（分摊）出让国有建设用地使用权面积为3246.44平方米，建筑面积为11491.42平方米。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估价对象为北京市房地产,属开发建设的，该项目尚在开发建设中。根据《国有土地使用证》[]，估价对象（分摊）出让国有建设用地使用权面积为3246.44平方米，规划建筑面积为11491.42平方米。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11491.419999999998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45237</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45237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45237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45237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697"/>
      <c r="Q10" s="1343" t="str">
        <f t="shared" si="6"/>
        <v>土地使用年限（年）</v>
      </c>
      <c r="R10" s="701" t="s">
        <v>14</v>
      </c>
      <c r="S10" s="702">
        <f t="shared" si="0"/>
        <v>126</v>
      </c>
      <c r="T10" s="701" t="s">
        <v>14</v>
      </c>
      <c r="U10" s="702">
        <f t="shared" si="1"/>
        <v>126</v>
      </c>
      <c r="V10" s="701" t="s">
        <v>14</v>
      </c>
      <c r="W10" s="702">
        <f t="shared" si="2"/>
        <v>126</v>
      </c>
      <c r="X10" s="703"/>
      <c r="Y10" s="3609"/>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9751.86</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1739.5599999999986</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11491.419999999998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45237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697"/>
      <c r="Q10" s="1343" t="str">
        <f t="shared" si="6"/>
        <v>土地使用年限（年）</v>
      </c>
      <c r="R10" s="701" t="s">
        <v>14</v>
      </c>
      <c r="S10" s="702">
        <f t="shared" si="0"/>
        <v>126</v>
      </c>
      <c r="T10" s="701" t="s">
        <v>14</v>
      </c>
      <c r="U10" s="702">
        <f t="shared" si="1"/>
        <v>126</v>
      </c>
      <c r="V10" s="701" t="s">
        <v>14</v>
      </c>
      <c r="W10" s="702">
        <f t="shared" si="2"/>
        <v>126</v>
      </c>
      <c r="X10" s="703"/>
      <c r="Y10" s="3609"/>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9751.86</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1739.5599999999986</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3246.44</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2689</v>
      </c>
      <c r="C2" s="2145" t="s">
        <v>2074</v>
      </c>
      <c r="D2" s="2145" t="s">
        <v>2075</v>
      </c>
      <c r="E2" s="2612">
        <f ca="1">SUMIF(E6:E13,"&lt;&gt;#ref!",E6:E13)</f>
        <v>11491.419999999998</v>
      </c>
      <c r="F2" s="2793"/>
      <c r="G2" s="2793"/>
      <c r="H2" s="2793"/>
      <c r="I2" s="2793"/>
      <c r="J2" s="2793"/>
      <c r="K2" s="2793"/>
      <c r="L2" s="2793"/>
      <c r="M2" s="2793"/>
      <c r="N2" s="2793"/>
      <c r="O2" s="2793"/>
      <c r="P2" s="2793"/>
    </row>
    <row r="3" spans="1:16" ht="15.75">
      <c r="A3" s="2145" t="s">
        <v>2076</v>
      </c>
      <c r="B3" s="2602">
        <f ca="1">ROUND(B2*10000/E2,0)</f>
        <v>2340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2689</v>
      </c>
      <c r="C6" s="2145" t="s">
        <v>2074</v>
      </c>
      <c r="D6" s="2793"/>
      <c r="E6" s="2612">
        <f ca="1">SUMIF(INDIRECT("'"&amp;A6&amp;"'"&amp;"!C:C"),"建筑面积",INDIRECT("'"&amp;A6&amp;"'"&amp;"!D:D"))</f>
        <v>11491.419999999998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12" sqref="C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11491.419999999998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2689</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Ⅶ-石龙开发区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4394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2340</v>
      </c>
      <c r="C3" s="1999" t="s">
        <v>1941</v>
      </c>
      <c r="D3" s="2000" t="s">
        <v>1942</v>
      </c>
      <c r="E3" s="3420" t="s">
        <v>3409</v>
      </c>
      <c r="F3" s="2004" t="s">
        <v>3410</v>
      </c>
      <c r="G3" s="752">
        <f>IF(F3="宗地容积率",'数据-汇总表'!I4,IF(F3="估价对象容积率",'数据-汇总表'!I6,'数据-汇总表'!I7))</f>
        <v>3</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3463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2927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1680</v>
      </c>
      <c r="D5" s="1339">
        <f>ROUND(C6*C17+C20,0)</f>
        <v>1680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2581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2481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1700</v>
      </c>
      <c r="N7" s="866">
        <f>SUMPRODUCT((因素修正幅度!B190:B233=I2)*(因素修正幅度!C3:G3=E2)*(因素修正幅度!C190:G233))</f>
        <v>0.05</v>
      </c>
      <c r="O7" s="1119"/>
      <c r="P7" s="1119"/>
      <c r="Q7" s="1119"/>
      <c r="R7" s="1212">
        <v>6</v>
      </c>
      <c r="S7" s="3419"/>
      <c r="T7" s="3361">
        <f t="shared" si="0"/>
        <v>0</v>
      </c>
      <c r="U7" s="1213"/>
      <c r="V7" s="3361">
        <f t="shared" si="1"/>
        <v>0</v>
      </c>
      <c r="W7" s="1358" t="s">
        <v>1955</v>
      </c>
      <c r="X7" s="1214" t="str">
        <f>G2</f>
        <v>七级</v>
      </c>
      <c r="Y7" s="1214" t="s">
        <v>1956</v>
      </c>
      <c r="Z7" s="1215">
        <f>G3</f>
        <v>3</v>
      </c>
      <c r="AA7" s="1216"/>
      <c r="AB7" s="1216"/>
      <c r="AC7" s="1217"/>
      <c r="AD7" s="1218"/>
      <c r="AE7" s="1218"/>
      <c r="AF7" s="1218"/>
      <c r="AG7" s="1218"/>
      <c r="AH7" s="1218"/>
      <c r="AI7" s="1218"/>
      <c r="AJ7" s="1219"/>
    </row>
    <row r="8" spans="1:36" ht="25.5">
      <c r="A8" s="3299"/>
      <c r="B8" s="170" t="s">
        <v>1957</v>
      </c>
      <c r="C8" s="2026" t="s">
        <v>3411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1</v>
      </c>
      <c r="F17" s="3322" t="s">
        <v>3254</v>
      </c>
      <c r="G17" s="3331">
        <f>ROUND(E19/G19,2)</f>
        <v>1</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v>50</v>
      </c>
      <c r="F18" s="3324" t="s">
        <v>3255</v>
      </c>
      <c r="G18" s="3328">
        <f>ROUND(1-(1/(POWER(1+G24,E18))),4)</f>
        <v>0.91279999999999994</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f>'数据-基础表'!G13</f>
        <v>11491.419999999998</v>
      </c>
      <c r="F19" s="3339" t="s">
        <v>3256</v>
      </c>
      <c r="G19" s="3338">
        <f>E19</f>
        <v>11491.419999999998</v>
      </c>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3258</v>
      </c>
      <c r="B20" s="167" t="s">
        <v>1994</v>
      </c>
      <c r="C20" s="3325">
        <f>ROUND(IF(F21="与级别开发程度一致",0,(G21-E21)/C21),0)</f>
        <v>-20</v>
      </c>
      <c r="D20" s="3341" t="s">
        <v>1998</v>
      </c>
      <c r="E20" s="3342"/>
      <c r="F20" s="3755" t="s">
        <v>1995</v>
      </c>
      <c r="G20" s="3756"/>
      <c r="H20" s="3326" t="s">
        <v>3412</v>
      </c>
      <c r="I20" s="3326" t="s">
        <v>3413</v>
      </c>
      <c r="J20" s="3327" t="s">
        <v>3414</v>
      </c>
      <c r="K20" s="2047" t="s">
        <v>3415</v>
      </c>
      <c r="L20" s="2047" t="s">
        <v>3416</v>
      </c>
      <c r="M20" s="2047"/>
      <c r="N20" s="2047" t="s">
        <v>3417</v>
      </c>
      <c r="O20" s="2048" t="s">
        <v>3418</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0"/>
      <c r="B21" s="2164" t="s">
        <v>1997</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c r="G21" s="2157">
        <f>SUM(H21:O21)</f>
        <v>275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50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2</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45237</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0.79649999999999999</v>
      </c>
      <c r="D24" s="2060" t="s">
        <v>2007</v>
      </c>
      <c r="E24" s="1335">
        <f>存贷款利率!E24/100</f>
        <v>4.3499999999999997E-2</v>
      </c>
      <c r="F24" s="2060" t="s">
        <v>1999</v>
      </c>
      <c r="G24" s="768">
        <f>SUMIF(M30:Q30,E2,M33:Q33)</f>
        <v>0.05</v>
      </c>
      <c r="H24" s="2060" t="s">
        <v>2008</v>
      </c>
      <c r="I24" s="769">
        <f>SUMIF('数据-取费表'!C6:C15,E2,'数据-取费表'!F6:F15)/COUNTIF('数据-取费表'!C6:C15,E2)</f>
        <v>26.61</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3339</v>
      </c>
      <c r="C25" s="771">
        <f>IF(B25="容积率修正",IF(G3&lt;10,D26,J26),C27)</f>
        <v>0.91610000000000003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0.91610000000000003</v>
      </c>
      <c r="E26" s="752">
        <f>ROUNDDOWN(G3,1)</f>
        <v>3</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0.91610000000000003</v>
      </c>
      <c r="G26" s="752">
        <f>ROUNDUP(G3,1)</f>
        <v>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0.91610000000000003</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2689</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11</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2680</v>
      </c>
      <c r="D33" s="2098">
        <f>'数据-基础表'!I13</f>
        <v>9751.86</v>
      </c>
      <c r="E33" s="773">
        <f>ROUND(C33*D33/10000,0)</f>
        <v>2613</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402</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1755</v>
      </c>
      <c r="D37" s="2098"/>
      <c r="E37" s="171">
        <f>ROUND(C37*D37/10000,0)</f>
        <v>0</v>
      </c>
      <c r="F37" s="171">
        <f>SUMIF(修正!A57:A68,G2,修正!B57:B68)</f>
        <v>0.6</v>
      </c>
      <c r="G37" s="171">
        <f>ROUND(IF(E2="工业",C37*$M$42,C37*$M$41),0)</f>
        <v>263</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878</v>
      </c>
      <c r="D38" s="2098"/>
      <c r="E38" s="171">
        <f t="shared" ref="E38:E42" si="4">ROUND(C38*D38/10000,0)</f>
        <v>0</v>
      </c>
      <c r="F38" s="171">
        <f>SUMIF(修正!A57:A68,G2,修正!C57:C68)</f>
        <v>0.3</v>
      </c>
      <c r="G38" s="171">
        <f>ROUND(IF(E2="工业",C38*$M$42,C38*$M$41),0)</f>
        <v>132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3263</v>
      </c>
      <c r="C39" s="175">
        <f>ROUND(D5*C22*C23*C24*C28*F39,0)</f>
        <v>731</v>
      </c>
      <c r="D39" s="2098"/>
      <c r="E39" s="171">
        <f t="shared" si="4"/>
        <v>0</v>
      </c>
      <c r="F39" s="171">
        <f>SUMIF(修正!A57:A68,G2,修正!D57:D68)</f>
        <v>0.25</v>
      </c>
      <c r="G39" s="171">
        <f>ROUND(IF(E2="工业",C39*$M$42,C39*$M$41),0)</f>
        <v>110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731</v>
      </c>
      <c r="D40" s="2098"/>
      <c r="E40" s="171">
        <f t="shared" si="4"/>
        <v>0</v>
      </c>
      <c r="F40" s="175">
        <f>SUMIF(修正!A57:A68,G2,修正!E57:E68)</f>
        <v>0.25</v>
      </c>
      <c r="G40" s="171">
        <f>ROUND(IF(E2="工业",C40*$M$42,C40*$M$41),0)</f>
        <v>110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731</v>
      </c>
      <c r="D41" s="2098"/>
      <c r="E41" s="171">
        <f t="shared" si="4"/>
        <v>0</v>
      </c>
      <c r="F41" s="175">
        <f>SUMIF(修正!A57:A68,G2,修正!F57:F68)</f>
        <v>0.25</v>
      </c>
      <c r="G41" s="171">
        <f>ROUND(IF(E2="工业",C41*$M$42,C41*$M$41),0)</f>
        <v>110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439</v>
      </c>
      <c r="D42" s="2103">
        <f>'数据-基础表'!K13</f>
        <v>1739.5599999999986</v>
      </c>
      <c r="E42" s="187">
        <f t="shared" si="4"/>
        <v>76</v>
      </c>
      <c r="F42" s="767">
        <f>SUMIF(修正!A57:A68,G2,修正!G57:G68)</f>
        <v>0.15</v>
      </c>
      <c r="G42" s="187">
        <f>ROUND(IF(E2="工业",C42*$M$42,C42*$M$41),0)</f>
        <v>66</v>
      </c>
      <c r="H42" s="187">
        <f t="shared" si="5"/>
        <v>1739.5599999999986</v>
      </c>
      <c r="I42" s="187">
        <f t="shared" si="6"/>
        <v>11</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0.79649999999999999</v>
      </c>
      <c r="D44" s="171" t="s">
        <v>1999</v>
      </c>
      <c r="E44" s="2153">
        <f>G24</f>
        <v>0.05</v>
      </c>
      <c r="F44" s="171" t="s">
        <v>2008</v>
      </c>
      <c r="G44" s="183">
        <f>项目基本情况!H15</f>
        <v>26.61</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1.024</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3419</v>
      </c>
      <c r="D83" s="1065">
        <f t="shared" ref="D83:D90" si="22">SUMIF($J$82:$N$82,C83,J83:N83)</f>
        <v>6.4999999999999997E-3</v>
      </c>
      <c r="E83" s="744">
        <f>ROUND(SUM(D83:D90),4)</f>
        <v>2.4E-2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3419</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3274</v>
      </c>
      <c r="B85" s="2134">
        <f>估价对象房地状况!G17</f>
        <v>0</v>
      </c>
      <c r="C85" s="2044" t="s">
        <v>3419</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3420</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3420</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3421</v>
      </c>
      <c r="D88" s="1065">
        <f t="shared" si="22"/>
        <v>6.0000000000000001E-3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3419</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3420</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3298</v>
      </c>
      <c r="B103" s="3751"/>
      <c r="C103" s="3751"/>
      <c r="D103" s="3751"/>
      <c r="E103" s="3751"/>
      <c r="F103" s="3751"/>
      <c r="G103" s="3751"/>
      <c r="H103" s="3751"/>
      <c r="I103" s="3751"/>
      <c r="J103" s="3751"/>
      <c r="K103" s="3390"/>
      <c r="L103" s="3390"/>
      <c r="M103" s="3390"/>
      <c r="N103" s="3390"/>
    </row>
    <row r="104" spans="1:14">
      <c r="A104" s="3752" t="s">
        <v>3299</v>
      </c>
      <c r="B104" s="3752" t="s">
        <v>3300</v>
      </c>
      <c r="C104" s="3391" t="s">
        <v>3301</v>
      </c>
      <c r="D104" s="3392"/>
      <c r="E104" s="3392"/>
      <c r="F104" s="3392"/>
      <c r="G104" s="3392"/>
      <c r="H104" s="3392"/>
      <c r="I104" s="3392"/>
      <c r="J104" s="3393"/>
      <c r="K104" s="3394"/>
      <c r="L104" s="3394"/>
      <c r="M104" s="3394"/>
      <c r="N104" s="3394"/>
    </row>
    <row r="105" spans="1:14">
      <c r="A105" s="3752"/>
      <c r="B105" s="37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3315</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3</v>
      </c>
      <c r="C116" s="3400" t="s">
        <v>3317</v>
      </c>
      <c r="D116" s="3401">
        <f>SUMPRODUCT((A118:A122=F116)*(B117:M117=H116)*B118:M122)</f>
        <v>0.60719999999999996</v>
      </c>
      <c r="E116" s="2000" t="s">
        <v>3318</v>
      </c>
      <c r="F116" s="3402" t="str">
        <f>E2</f>
        <v>工业</v>
      </c>
      <c r="G116" s="2000" t="s">
        <v>3319</v>
      </c>
      <c r="H116" s="3402" t="str">
        <f>G2</f>
        <v>七级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0.96379999999999999</v>
      </c>
      <c r="C118" s="3388">
        <f>B118</f>
        <v>0.96379999999999999</v>
      </c>
      <c r="D118" s="3388">
        <f>ROUND(0.949-0.014*B116,4)</f>
        <v>0.90700000000000003</v>
      </c>
      <c r="E118" s="3388">
        <f>D118</f>
        <v>0.90700000000000003</v>
      </c>
      <c r="F118" s="3388">
        <f>E118</f>
        <v>0.90700000000000003</v>
      </c>
      <c r="G118" s="3388">
        <f>F118</f>
        <v>0.90700000000000003</v>
      </c>
      <c r="H118" s="3388">
        <f>G118</f>
        <v>0.90700000000000003</v>
      </c>
      <c r="I118" s="3388">
        <f>ROUND(0.8486-0.018*B116,4)</f>
        <v>0.79459999999999997</v>
      </c>
      <c r="J118" s="3388">
        <f t="shared" ref="J118:M122" si="36">I118</f>
        <v>0.79459999999999997</v>
      </c>
      <c r="K118" s="3388">
        <f t="shared" si="36"/>
        <v>0.79459999999999997</v>
      </c>
      <c r="L118" s="3388">
        <f t="shared" si="36"/>
        <v>0.79459999999999997</v>
      </c>
      <c r="M118" s="3411">
        <f t="shared" si="36"/>
        <v>0.79459999999999997</v>
      </c>
      <c r="N118" s="3398"/>
    </row>
    <row r="119" spans="1:14">
      <c r="A119" s="3410" t="s">
        <v>3333</v>
      </c>
      <c r="B119" s="3388">
        <f>ROUND(0.993-0.0112*B116,4)</f>
        <v>0.95940000000000003</v>
      </c>
      <c r="C119" s="3388">
        <f>B119</f>
        <v>0.95940000000000003</v>
      </c>
      <c r="D119" s="3388">
        <f>ROUND(0.9415-0.0142*B116,4)</f>
        <v>0.89890000000000003</v>
      </c>
      <c r="E119" s="3388">
        <f t="shared" ref="E119:H120" si="37">D119</f>
        <v>0.89890000000000003</v>
      </c>
      <c r="F119" s="3388">
        <f t="shared" si="37"/>
        <v>0.89890000000000003</v>
      </c>
      <c r="G119" s="3388">
        <f t="shared" si="37"/>
        <v>0.89890000000000003</v>
      </c>
      <c r="H119" s="3388">
        <f t="shared" si="37"/>
        <v>0.89890000000000003</v>
      </c>
      <c r="I119" s="3388">
        <f>ROUND(0.838-0.0182*B116,4)</f>
        <v>0.78339999999999999</v>
      </c>
      <c r="J119" s="3388">
        <f t="shared" si="36"/>
        <v>0.78339999999999999</v>
      </c>
      <c r="K119" s="3388">
        <f t="shared" si="36"/>
        <v>0.78339999999999999</v>
      </c>
      <c r="L119" s="3388">
        <f t="shared" si="36"/>
        <v>0.78339999999999999</v>
      </c>
      <c r="M119" s="3411">
        <f t="shared" si="36"/>
        <v>0.78339999999999999</v>
      </c>
      <c r="N119" s="3398"/>
    </row>
    <row r="120" spans="1:14">
      <c r="A120" s="3410" t="s">
        <v>3334</v>
      </c>
      <c r="B120" s="3388">
        <f>ROUND(0.9448-0.0115*B116,4)</f>
        <v>0.9103</v>
      </c>
      <c r="C120" s="3388">
        <f>B120</f>
        <v>0.9103</v>
      </c>
      <c r="D120" s="3388">
        <f>ROUND(0.937-0.0145*B116,4)</f>
        <v>0.89349999999999996</v>
      </c>
      <c r="E120" s="3388">
        <f t="shared" si="37"/>
        <v>0.89349999999999996</v>
      </c>
      <c r="F120" s="3388">
        <f t="shared" si="37"/>
        <v>0.89349999999999996</v>
      </c>
      <c r="G120" s="3388">
        <f t="shared" si="37"/>
        <v>0.89349999999999996</v>
      </c>
      <c r="H120" s="3388">
        <f t="shared" si="37"/>
        <v>0.89349999999999996</v>
      </c>
      <c r="I120" s="3388">
        <f>ROUND(0.7965-0.0185*B116,4)</f>
        <v>0.74099999999999999</v>
      </c>
      <c r="J120" s="3388">
        <f t="shared" si="36"/>
        <v>0.74099999999999999</v>
      </c>
      <c r="K120" s="3388">
        <f t="shared" si="36"/>
        <v>0.74099999999999999</v>
      </c>
      <c r="L120" s="3388">
        <f t="shared" si="36"/>
        <v>0.74099999999999999</v>
      </c>
      <c r="M120" s="3411">
        <f t="shared" si="36"/>
        <v>0.74099999999999999</v>
      </c>
      <c r="N120" s="3398"/>
    </row>
    <row r="121" spans="1:14" ht="13.5" thickBot="1">
      <c r="A121" s="3412" t="s">
        <v>3335</v>
      </c>
      <c r="B121" s="3413">
        <f>ROUND(0.7836-0.012*B116,4)</f>
        <v>0.74760000000000004</v>
      </c>
      <c r="C121" s="3413">
        <f>B121</f>
        <v>0.74760000000000004</v>
      </c>
      <c r="D121" s="3413">
        <f>ROUND(0.753-0.015*B116,4)</f>
        <v>0.70799999999999996</v>
      </c>
      <c r="E121" s="3413">
        <f>D121</f>
        <v>0.70799999999999996</v>
      </c>
      <c r="F121" s="3413">
        <f>E121</f>
        <v>0.70799999999999996</v>
      </c>
      <c r="G121" s="3413">
        <f>ROUND(0.6612-0.018*B116,4)</f>
        <v>0.60719999999999996</v>
      </c>
      <c r="H121" s="3413">
        <f>G121</f>
        <v>0.60719999999999996</v>
      </c>
      <c r="I121" s="3413">
        <f>ROUND(0.5905-0.019*B116,4)</f>
        <v>0.53349999999999997</v>
      </c>
      <c r="J121" s="3413">
        <f t="shared" si="36"/>
        <v>0.53349999999999997</v>
      </c>
      <c r="K121" s="3413">
        <f t="shared" si="36"/>
        <v>0.53349999999999997</v>
      </c>
      <c r="L121" s="3413">
        <f t="shared" si="36"/>
        <v>0.53349999999999997</v>
      </c>
      <c r="M121" s="3414">
        <f t="shared" si="36"/>
        <v>0.53349999999999997</v>
      </c>
      <c r="N121" s="3398"/>
    </row>
    <row r="122" spans="1:14">
      <c r="A122" s="3415" t="s">
        <v>2616</v>
      </c>
      <c r="B122" s="3388">
        <f>ROUND(0.9404-0.0106*B116,4)</f>
        <v>0.90859999999999996</v>
      </c>
      <c r="C122" s="3388">
        <f>B122</f>
        <v>0.90859999999999996</v>
      </c>
      <c r="D122" s="3388">
        <f>ROUND(0.8955-0.0135*B116,4)</f>
        <v>0.85499999999999998</v>
      </c>
      <c r="E122" s="3388">
        <f t="shared" ref="E122:H122" si="38">D122</f>
        <v>0.85499999999999998</v>
      </c>
      <c r="F122" s="3388">
        <f t="shared" si="38"/>
        <v>0.85499999999999998</v>
      </c>
      <c r="G122" s="3388">
        <f t="shared" si="38"/>
        <v>0.85499999999999998</v>
      </c>
      <c r="H122" s="3388">
        <f t="shared" si="38"/>
        <v>0.85499999999999998</v>
      </c>
      <c r="I122" s="3388">
        <f>ROUND(0.7632-0.0166*B116,4)</f>
        <v>0.71340000000000003</v>
      </c>
      <c r="J122" s="3388">
        <f t="shared" si="36"/>
        <v>0.71340000000000003</v>
      </c>
      <c r="K122" s="3388">
        <f t="shared" si="36"/>
        <v>0.71340000000000003</v>
      </c>
      <c r="L122" s="3388">
        <f t="shared" si="36"/>
        <v>0.71340000000000003</v>
      </c>
      <c r="M122" s="3411">
        <f t="shared" si="36"/>
        <v>0.71340000000000003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0.96309999999999996</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0.91610000000000003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10520</v>
      </c>
      <c r="E5" s="1491"/>
    </row>
    <row r="6" spans="1:5" ht="15.75">
      <c r="A6" s="1491"/>
      <c r="B6" s="3452"/>
      <c r="C6" s="1494" t="s">
        <v>911</v>
      </c>
      <c r="D6" s="850" t="str">
        <f ca="1">NUMBERSTRING(INT(D5*10000),2)&amp;"元整"</f>
        <v>壹亿零伍佰贰拾万元整</v>
      </c>
      <c r="E6" s="1491"/>
    </row>
    <row r="7" spans="1:5" ht="15.75">
      <c r="A7" s="1491"/>
      <c r="B7" s="3457"/>
      <c r="C7" s="1495" t="s">
        <v>912</v>
      </c>
      <c r="D7" s="851">
        <f ca="1">结果表!H102</f>
        <v>9155</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10520</v>
      </c>
      <c r="E13" s="1491"/>
    </row>
    <row r="14" spans="1:5" ht="15.75">
      <c r="A14" s="1491"/>
      <c r="B14" s="3452"/>
      <c r="C14" s="1494" t="s">
        <v>911</v>
      </c>
      <c r="D14" s="850" t="str">
        <f ca="1">NUMBERSTRING(INT(D13*10000),2)&amp;"元整"</f>
        <v>壹亿零伍佰贰拾万元整</v>
      </c>
      <c r="E14" s="1491"/>
    </row>
    <row r="15" spans="1:5" ht="15">
      <c r="A15" s="1491"/>
      <c r="B15" s="3457"/>
      <c r="C15" s="1495" t="s">
        <v>921</v>
      </c>
      <c r="D15" s="859">
        <f ca="1">结果表!H108</f>
        <v>9155</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32445</v>
      </c>
      <c r="C2" s="2" t="s">
        <v>106</v>
      </c>
      <c r="D2" s="199"/>
      <c r="E2" s="199"/>
      <c r="F2" s="199"/>
      <c r="G2" s="199"/>
    </row>
    <row r="3" spans="1:7" s="200" customFormat="1" ht="18" customHeight="1" thickBot="1">
      <c r="A3" s="203" t="s">
        <v>58</v>
      </c>
      <c r="B3" s="204">
        <f ca="1">ROUND(B2*10000/'数据-汇总表'!E3,0)</f>
        <v>28234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230</v>
      </c>
      <c r="D10" s="845">
        <f>'数据-汇总表'!E6</f>
        <v>11491.419999999998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230</v>
      </c>
      <c r="D19" s="849">
        <f>'数据-汇总表'!E3</f>
        <v>11491.419999999998</v>
      </c>
      <c r="E19" s="211">
        <f>'数据-取费表'!B31</f>
        <v>200</v>
      </c>
      <c r="F19" s="231"/>
      <c r="G19" s="1" t="s">
        <v>436</v>
      </c>
    </row>
    <row r="20" spans="1:7" s="214" customFormat="1" ht="13.5" customHeight="1">
      <c r="A20" s="777" t="s">
        <v>419</v>
      </c>
      <c r="B20" s="210" t="s">
        <v>77</v>
      </c>
      <c r="C20" s="232">
        <f>ROUND((C5+C19)*F20,0)</f>
        <v>417</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1477</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16</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2126</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2126</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26906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4513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4022</v>
      </c>
      <c r="D34" s="217"/>
      <c r="E34" s="220"/>
      <c r="F34" s="257">
        <f>IF('数据-取费表'!B24=0,1,'数据-取费表'!N16)</f>
        <v>1</v>
      </c>
      <c r="G34" s="219" t="s">
        <v>89</v>
      </c>
    </row>
    <row r="35" spans="1:7" ht="13.5" customHeight="1">
      <c r="A35" s="780" t="s">
        <v>351</v>
      </c>
      <c r="B35" s="215" t="s">
        <v>33</v>
      </c>
      <c r="C35" s="220">
        <f>ROUND(C34*F35,0)</f>
        <v>201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230</v>
      </c>
      <c r="D37" s="217">
        <f>'数据-汇总表'!E3</f>
        <v>11491.419999999998</v>
      </c>
      <c r="E37" s="249">
        <f>'数据-取费表'!B35</f>
        <v>200</v>
      </c>
      <c r="F37" s="259"/>
      <c r="G37" s="261" t="s">
        <v>92</v>
      </c>
    </row>
    <row r="38" spans="1:7" ht="13.5" customHeight="1">
      <c r="A38" s="780" t="s">
        <v>354</v>
      </c>
      <c r="B38" s="215" t="s">
        <v>36</v>
      </c>
      <c r="C38" s="220">
        <f>ROUND(C34*F38,0)</f>
        <v>60</v>
      </c>
      <c r="D38" s="220"/>
      <c r="E38" s="220"/>
      <c r="F38" s="259">
        <f>'数据-取费表'!B36</f>
        <v>1.4999999999999999E-2</v>
      </c>
      <c r="G38" s="219" t="s">
        <v>90</v>
      </c>
    </row>
    <row r="39" spans="1:7" s="214" customFormat="1" ht="13.5" customHeight="1">
      <c r="A39" s="777" t="s">
        <v>338</v>
      </c>
      <c r="B39" s="210" t="s">
        <v>77</v>
      </c>
      <c r="C39" s="232">
        <f>ROUND(C33*F20,0)</f>
        <v>90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159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156</v>
      </c>
      <c r="D42" s="238"/>
      <c r="E42" s="238"/>
      <c r="F42" s="239"/>
      <c r="G42" s="3638" t="s">
        <v>94</v>
      </c>
    </row>
    <row r="43" spans="1:7" ht="13.5" customHeight="1">
      <c r="A43" s="780" t="s">
        <v>347</v>
      </c>
      <c r="B43" s="215" t="s">
        <v>426</v>
      </c>
      <c r="C43" s="238">
        <f ca="1">ROUND(IF('数据-取费表'!B22&lt;=1,C39*F22*'数据-取费表'!B21/2,C39*(POWER((1+F22),'数据-取费表'!B21/2)-1)),0)</f>
        <v>3</v>
      </c>
      <c r="D43" s="238"/>
      <c r="E43" s="238"/>
      <c r="F43" s="239"/>
      <c r="G43" s="3639"/>
    </row>
    <row r="44" spans="1:7" ht="13.5" customHeight="1">
      <c r="A44" s="780" t="s">
        <v>348</v>
      </c>
      <c r="B44" s="215" t="s">
        <v>428</v>
      </c>
      <c r="C44" s="238">
        <f ca="1">ROUND(IF('数据-取费表'!B22&lt;=1,C40*F22*'数据-取费表'!B21/2,C40*(POWER((1+F22),'数据-取费表'!B21/2)-1)),4)</f>
        <v>6.9999999999999999E-4</v>
      </c>
      <c r="D44" s="238"/>
      <c r="E44" s="238"/>
      <c r="F44" s="239"/>
      <c r="G44" s="3640"/>
    </row>
    <row r="45" spans="1:7" s="214" customFormat="1" ht="13.5" customHeight="1">
      <c r="A45" s="777" t="s">
        <v>341</v>
      </c>
      <c r="B45" s="244" t="s">
        <v>85</v>
      </c>
      <c r="C45" s="245">
        <f>C46</f>
        <v>460</v>
      </c>
      <c r="D45" s="235">
        <f>C47</f>
        <v>2E-3</v>
      </c>
      <c r="E45" s="236" t="s">
        <v>102</v>
      </c>
      <c r="F45" s="246"/>
      <c r="G45" s="247" t="s">
        <v>434</v>
      </c>
    </row>
    <row r="46" spans="1:7" s="214" customFormat="1" ht="13.5" customHeight="1">
      <c r="A46" s="780" t="s">
        <v>349</v>
      </c>
      <c r="B46" s="248" t="s">
        <v>427</v>
      </c>
      <c r="C46" s="249">
        <f>ROUND((C33+C39)*F27,0)</f>
        <v>460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5652</v>
      </c>
      <c r="D49" s="232"/>
      <c r="E49" s="232"/>
      <c r="F49" s="264"/>
      <c r="G49" s="234" t="s">
        <v>435</v>
      </c>
    </row>
    <row r="50" spans="1:7" s="258" customFormat="1" ht="24">
      <c r="A50" s="777" t="s">
        <v>344</v>
      </c>
      <c r="B50" s="210" t="s">
        <v>97</v>
      </c>
      <c r="C50" s="232"/>
      <c r="D50" s="232"/>
      <c r="E50" s="232"/>
      <c r="F50" s="264">
        <f>IF('数据-取费表'!B24=0,'数据-取费表'!N16,1)</f>
        <v>0.98</v>
      </c>
      <c r="G50" s="247" t="s">
        <v>98</v>
      </c>
    </row>
    <row r="51" spans="1:7" ht="16.5" customHeight="1">
      <c r="A51" s="777" t="s">
        <v>345</v>
      </c>
      <c r="B51" s="210" t="s">
        <v>105</v>
      </c>
      <c r="C51" s="232">
        <f ca="1">ROUND(C49*F50,0)</f>
        <v>5539</v>
      </c>
      <c r="D51" s="232"/>
      <c r="E51" s="232"/>
      <c r="F51" s="264"/>
      <c r="G51" s="234" t="s">
        <v>37</v>
      </c>
    </row>
    <row r="52" spans="1:7" s="208" customFormat="1" ht="16.5" thickBot="1">
      <c r="A52" s="265" t="s">
        <v>38</v>
      </c>
      <c r="B52" s="266"/>
      <c r="C52" s="267">
        <f ca="1">C31+C51</f>
        <v>32445</v>
      </c>
      <c r="D52" s="266"/>
      <c r="E52" s="266"/>
      <c r="F52" s="266"/>
      <c r="G52" s="268"/>
    </row>
    <row r="55" spans="1:7" ht="15">
      <c r="B55" s="270" t="s">
        <v>39</v>
      </c>
      <c r="C55" s="271"/>
    </row>
    <row r="56" spans="1:7">
      <c r="B56" s="273" t="s">
        <v>40</v>
      </c>
      <c r="C56" s="274">
        <f ca="1">ROUND(C51/C52,3)</f>
        <v>0.17100000000000001</v>
      </c>
    </row>
    <row r="57" spans="1:7">
      <c r="B57" s="273" t="s">
        <v>41</v>
      </c>
      <c r="C57" s="275">
        <f ca="1">1-C56</f>
        <v>0.82899999999999996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45237</v>
      </c>
      <c r="B1" s="3210" t="s">
        <v>3376</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3381</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3382</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3374</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3375</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3373</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3372</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3368</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3359</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3370</v>
      </c>
    </row>
    <row r="21" spans="1:30" s="3009" customFormat="1">
      <c r="I21" s="3208" t="s">
        <v>2829</v>
      </c>
    </row>
    <row r="22" spans="1:30" s="3009" customFormat="1"/>
    <row r="23" spans="1:30" s="3209" customFormat="1" ht="12.75">
      <c r="B23" s="3210" t="s">
        <v>3377</v>
      </c>
      <c r="C23" s="3211"/>
      <c r="D23" s="3211"/>
      <c r="E23" s="3211"/>
      <c r="F23" s="3211"/>
      <c r="G23" s="3211"/>
      <c r="H23" s="3211"/>
      <c r="I23" s="3211"/>
      <c r="J23" s="3165"/>
      <c r="K23" s="3211" t="s">
        <v>2830</v>
      </c>
      <c r="L23" s="3211"/>
      <c r="M23" s="3211"/>
      <c r="N23" s="3211"/>
      <c r="O23" s="3211"/>
      <c r="P23" s="3211"/>
      <c r="Q23" s="3165"/>
      <c r="R23" s="3776" t="s">
        <v>2831</v>
      </c>
      <c r="S23" s="3777"/>
      <c r="T23" s="3777"/>
      <c r="U23" s="3777"/>
      <c r="V23" s="3777"/>
      <c r="W23" s="3777"/>
      <c r="X23" s="3165"/>
      <c r="Y23" s="3776" t="s">
        <v>2832</v>
      </c>
      <c r="Z23" s="3777"/>
      <c r="AA23" s="3777"/>
      <c r="AB23" s="3777"/>
      <c r="AC23" s="3777"/>
      <c r="AD23" s="377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3380</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3381</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3382</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3378</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3379</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3373</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3372</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3369</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3359</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3371</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45237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11491.419999999998</v>
      </c>
      <c r="C4" s="854">
        <f>项目基本情况!C18</f>
        <v>3246.44</v>
      </c>
      <c r="D4" s="854">
        <f ca="1">结果表!D118</f>
        <v>4334</v>
      </c>
      <c r="E4" s="854">
        <f ca="1">结果表!E118</f>
        <v>3772</v>
      </c>
      <c r="F4" s="854">
        <f ca="1">结果表!F118</f>
        <v>6186</v>
      </c>
      <c r="G4" s="854">
        <f ca="1">结果表!G118</f>
        <v>5383</v>
      </c>
      <c r="H4" s="854">
        <f ca="1">结果表!H118</f>
        <v>10520</v>
      </c>
      <c r="I4" s="854">
        <f ca="1">结果表!I118</f>
        <v>9155</v>
      </c>
    </row>
    <row r="5" spans="1:9" ht="30" customHeight="1">
      <c r="A5" s="3463" t="s">
        <v>927</v>
      </c>
      <c r="B5" s="3463"/>
      <c r="C5" s="3463"/>
      <c r="D5" s="3463" t="str">
        <f ca="1">结果表!D119</f>
        <v>肆仟叁佰叁拾肆万元整</v>
      </c>
      <c r="E5" s="3463"/>
      <c r="F5" s="3463" t="str">
        <f ca="1">结果表!F119</f>
        <v>陆仟壹佰捌拾陆万元整</v>
      </c>
      <c r="G5" s="3463"/>
      <c r="H5" s="3463" t="str">
        <f ca="1">结果表!H119</f>
        <v>壹亿零伍佰贰拾万元整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10520</v>
      </c>
      <c r="E8" s="3464"/>
      <c r="F8" s="3464"/>
      <c r="G8" s="3464"/>
      <c r="H8" s="3464"/>
      <c r="I8" s="3464"/>
    </row>
    <row r="9" spans="1:9" ht="15">
      <c r="A9" s="3463" t="s">
        <v>927</v>
      </c>
      <c r="B9" s="3463"/>
      <c r="C9" s="3463"/>
      <c r="D9" s="3463" t="str">
        <f ca="1">结果表!D123</f>
        <v>壹亿零伍佰贰拾万元整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45237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收益法</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2023-11-07T03:00:38Z</dcterms:modified>
</cp:coreProperties>
</file>