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2025-1-0615-P01-密云万象星座滨河路156套-吴薇华夏-2,3-郑、吴\"/>
    </mc:Choice>
  </mc:AlternateContent>
  <xr:revisionPtr revIDLastSave="0" documentId="13_ncr:1_{A051BBEC-C669-4E79-882D-0618208E0250}" xr6:coauthVersionLast="47" xr6:coauthVersionMax="47" xr10:uidLastSave="{00000000-0000-0000-0000-000000000000}"/>
  <bookViews>
    <workbookView xWindow="204" yWindow="0" windowWidth="10536" windowHeight="12000" tabRatio="899" firstSheet="19" activeTab="3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面积清单" sheetId="80" r:id="rId37"/>
    <sheet name="中指" sheetId="83" r:id="rId38"/>
    <sheet name="租金案例" sheetId="82" r:id="rId39"/>
    <sheet name="Sheet1" sheetId="81"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6" hidden="1">面积清单!$A$1:$K$158</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Q1" i="80" l="1"/>
  <c r="P1" i="80"/>
  <c r="O1" i="80"/>
  <c r="N1" i="80"/>
  <c r="M1" i="80"/>
  <c r="L1" i="80"/>
  <c r="X5" i="80" l="1"/>
  <c r="E4" i="31"/>
  <c r="D4" i="31"/>
  <c r="A177" i="31"/>
  <c r="B177" i="31"/>
  <c r="A178" i="31"/>
  <c r="B178" i="31"/>
  <c r="A179" i="31"/>
  <c r="B179" i="31"/>
  <c r="A180" i="31"/>
  <c r="B180" i="31"/>
  <c r="A26" i="31"/>
  <c r="B26" i="31"/>
  <c r="A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B25" i="31"/>
  <c r="A25" i="31"/>
  <c r="C19" i="6"/>
  <c r="J49" i="67"/>
  <c r="C13" i="3"/>
  <c r="I13" i="3"/>
  <c r="V3" i="80"/>
  <c r="V2" i="80"/>
  <c r="J49" i="15"/>
  <c r="B59" i="1"/>
  <c r="B21" i="1"/>
  <c r="Y6" i="1"/>
  <c r="N6" i="1"/>
  <c r="N19" i="1"/>
  <c r="D3" i="4"/>
  <c r="V7" i="80"/>
  <c r="V6" i="80"/>
  <c r="V5" i="80"/>
  <c r="V4" i="80"/>
  <c r="J158" i="80"/>
  <c r="E27" i="45"/>
  <c r="V8" i="80" l="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5" i="79" l="1"/>
  <c r="T33" i="79"/>
  <c r="T34" i="79"/>
  <c r="S20" i="79"/>
  <c r="AG20" i="79" s="1"/>
  <c r="W22" i="79"/>
  <c r="AK22" i="79" s="1"/>
  <c r="AH22" i="79"/>
  <c r="AD35" i="79"/>
  <c r="AD38" i="79"/>
  <c r="AD37" i="79"/>
  <c r="AD36"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38" i="79"/>
  <c r="AK38" i="79" s="1"/>
  <c r="AH38" i="79"/>
  <c r="W23" i="79"/>
  <c r="AK23" i="79" s="1"/>
  <c r="AH23" i="79"/>
  <c r="W12" i="79"/>
  <c r="AK12" i="79" s="1"/>
  <c r="AH12" i="79"/>
  <c r="W21" i="79"/>
  <c r="AK21" i="79" s="1"/>
  <c r="AH21" i="79"/>
  <c r="W47" i="79"/>
  <c r="AK47" i="79" s="1"/>
  <c r="AH47" i="79"/>
  <c r="W45" i="79"/>
  <c r="AK45" i="79" s="1"/>
  <c r="AH45" i="79"/>
  <c r="W34" i="79"/>
  <c r="AK34" i="79" s="1"/>
  <c r="AH34" i="79"/>
  <c r="W15" i="79"/>
  <c r="AK15" i="79" s="1"/>
  <c r="AH15" i="79"/>
  <c r="W13" i="79"/>
  <c r="AK13" i="79" s="1"/>
  <c r="AH13" i="79"/>
  <c r="W48" i="79"/>
  <c r="AK48" i="79" s="1"/>
  <c r="AH48" i="79"/>
  <c r="W43" i="79"/>
  <c r="AK43" i="79" s="1"/>
  <c r="AH43"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B27" i="71"/>
  <c r="AA3" i="71"/>
  <c r="AA28" i="71"/>
  <c r="O67" i="71"/>
  <c r="D63" i="71"/>
  <c r="D75" i="71"/>
  <c r="C74" i="71"/>
  <c r="D74" i="71" s="1"/>
  <c r="D87" i="71"/>
  <c r="P67" i="71"/>
  <c r="E66" i="71"/>
  <c r="P65" i="71" s="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H29" i="39"/>
  <c r="AB29" i="39" s="1"/>
  <c r="J29" i="39"/>
  <c r="AC29" i="39" s="1"/>
  <c r="J18" i="36"/>
  <c r="AC18" i="36" s="1"/>
  <c r="F68" i="35"/>
  <c r="G68" i="35" s="1"/>
  <c r="H18" i="35"/>
  <c r="AB18" i="35" s="1"/>
  <c r="J18" i="35"/>
  <c r="W18" i="35" s="1"/>
  <c r="H21" i="37"/>
  <c r="AB21" i="37" s="1"/>
  <c r="F21" i="37"/>
  <c r="AA21" i="37" s="1"/>
  <c r="F84" i="34"/>
  <c r="H21" i="34"/>
  <c r="AB21" i="34" s="1"/>
  <c r="H21" i="33"/>
  <c r="U21" i="33" s="1"/>
  <c r="F21" i="33"/>
  <c r="AA21" i="33" s="1"/>
  <c r="E83" i="21"/>
  <c r="F83" i="21" s="1"/>
  <c r="H1" i="69"/>
  <c r="AC25" i="40"/>
  <c r="W25" i="40"/>
  <c r="U25" i="40"/>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8"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84" i="31"/>
  <c r="S184" i="31" s="1"/>
  <c r="R185" i="31"/>
  <c r="R186" i="31"/>
  <c r="S186" i="31" s="1"/>
  <c r="R187" i="31"/>
  <c r="S187" i="31" s="1"/>
  <c r="R188" i="31"/>
  <c r="S188" i="31" s="1"/>
  <c r="R189" i="31"/>
  <c r="R190" i="31"/>
  <c r="S190" i="31" s="1"/>
  <c r="R191" i="31"/>
  <c r="R192" i="31"/>
  <c r="S192" i="31" s="1"/>
  <c r="R193" i="31"/>
  <c r="R194" i="31"/>
  <c r="R195" i="31"/>
  <c r="R196" i="31"/>
  <c r="S196" i="31" s="1"/>
  <c r="R197" i="31"/>
  <c r="R198" i="31"/>
  <c r="S198" i="31" s="1"/>
  <c r="R199" i="31"/>
  <c r="S199" i="31" s="1"/>
  <c r="R200" i="31"/>
  <c r="S200" i="31" s="1"/>
  <c r="R201" i="31"/>
  <c r="R202" i="31"/>
  <c r="S202" i="31" s="1"/>
  <c r="R203" i="31"/>
  <c r="R204" i="31"/>
  <c r="S204" i="31" s="1"/>
  <c r="R205" i="31"/>
  <c r="R206" i="31"/>
  <c r="S206" i="31" s="1"/>
  <c r="R207" i="31"/>
  <c r="S207" i="31" s="1"/>
  <c r="R208" i="31"/>
  <c r="S208" i="31" s="1"/>
  <c r="R209" i="31"/>
  <c r="R210" i="31"/>
  <c r="R211" i="31"/>
  <c r="R212" i="31"/>
  <c r="S212" i="31" s="1"/>
  <c r="R213" i="31"/>
  <c r="R214" i="31"/>
  <c r="S214" i="31" s="1"/>
  <c r="R215" i="31"/>
  <c r="S215" i="31" s="1"/>
  <c r="R216" i="31"/>
  <c r="S216" i="31" s="1"/>
  <c r="R217" i="31"/>
  <c r="R218" i="31"/>
  <c r="S218" i="31" s="1"/>
  <c r="R219" i="31"/>
  <c r="R220" i="31"/>
  <c r="S220" i="31" s="1"/>
  <c r="R221" i="31"/>
  <c r="R222" i="31"/>
  <c r="S222" i="31" s="1"/>
  <c r="R223" i="31"/>
  <c r="R224" i="31"/>
  <c r="S224" i="31" s="1"/>
  <c r="R225" i="31"/>
  <c r="R226" i="31"/>
  <c r="S226" i="31" s="1"/>
  <c r="R227" i="31"/>
  <c r="S227" i="31" s="1"/>
  <c r="R228" i="31"/>
  <c r="S228" i="31" s="1"/>
  <c r="R229" i="31"/>
  <c r="R230" i="31"/>
  <c r="S230" i="31" s="1"/>
  <c r="R231" i="31"/>
  <c r="R232" i="31"/>
  <c r="S232" i="31" s="1"/>
  <c r="R233" i="31"/>
  <c r="R234" i="31"/>
  <c r="S234" i="31" s="1"/>
  <c r="R235" i="31"/>
  <c r="S235" i="31" s="1"/>
  <c r="R236" i="31"/>
  <c r="S236" i="31" s="1"/>
  <c r="R237" i="31"/>
  <c r="R238" i="31"/>
  <c r="R239" i="31"/>
  <c r="S239" i="31" s="1"/>
  <c r="R240" i="31"/>
  <c r="S240" i="31" s="1"/>
  <c r="R241" i="31"/>
  <c r="R242" i="31"/>
  <c r="S242" i="31" s="1"/>
  <c r="R243" i="31"/>
  <c r="R244" i="31"/>
  <c r="S244" i="31" s="1"/>
  <c r="R245" i="31"/>
  <c r="R246" i="31"/>
  <c r="S246" i="31" s="1"/>
  <c r="R247" i="31"/>
  <c r="S247" i="31" s="1"/>
  <c r="R248" i="31"/>
  <c r="S248" i="31" s="1"/>
  <c r="R249" i="31"/>
  <c r="R250" i="31"/>
  <c r="S250" i="31" s="1"/>
  <c r="R251" i="3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R436" i="31"/>
  <c r="S436" i="31" s="1"/>
  <c r="R437" i="31"/>
  <c r="R438" i="31"/>
  <c r="S438" i="31" s="1"/>
  <c r="R439" i="31"/>
  <c r="S439" i="31" s="1"/>
  <c r="R440" i="31"/>
  <c r="S440" i="31" s="1"/>
  <c r="R441" i="31"/>
  <c r="R442" i="31"/>
  <c r="R443" i="3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R499" i="31"/>
  <c r="S499" i="31" s="1"/>
  <c r="R500" i="31"/>
  <c r="S500" i="31" s="1"/>
  <c r="R501" i="31"/>
  <c r="R502" i="31"/>
  <c r="S502" i="31" s="1"/>
  <c r="R503" i="31"/>
  <c r="R504" i="31"/>
  <c r="S504" i="31" s="1"/>
  <c r="R505" i="31"/>
  <c r="R506" i="31"/>
  <c r="S506" i="31" s="1"/>
  <c r="R507" i="31"/>
  <c r="S507" i="31" s="1"/>
  <c r="R508" i="31"/>
  <c r="S508" i="31" s="1"/>
  <c r="R509" i="31"/>
  <c r="R510" i="31"/>
  <c r="S510" i="31" s="1"/>
  <c r="R511" i="31"/>
  <c r="S511" i="31" s="1"/>
  <c r="R512" i="31"/>
  <c r="S512" i="31" s="1"/>
  <c r="R513" i="31"/>
  <c r="R514" i="31"/>
  <c r="R515" i="31"/>
  <c r="S515" i="31" s="1"/>
  <c r="R516" i="31"/>
  <c r="S516" i="31" s="1"/>
  <c r="R517" i="31"/>
  <c r="R518" i="31"/>
  <c r="S518" i="31" s="1"/>
  <c r="R519" i="31"/>
  <c r="S519" i="31" s="1"/>
  <c r="R520" i="31"/>
  <c r="S520" i="31" s="1"/>
  <c r="R521" i="31"/>
  <c r="R522" i="31"/>
  <c r="S522" i="31" s="1"/>
  <c r="R523" i="31"/>
  <c r="S523" i="31" s="1"/>
  <c r="R524" i="31"/>
  <c r="S524" i="31" s="1"/>
  <c r="C27" i="31"/>
  <c r="R27" i="31" s="1"/>
  <c r="S27" i="31" s="1"/>
  <c r="C181" i="31"/>
  <c r="R181" i="31" s="1"/>
  <c r="S181" i="31" s="1"/>
  <c r="C182" i="31"/>
  <c r="R182" i="31" s="1"/>
  <c r="S182" i="31" s="1"/>
  <c r="C183" i="31"/>
  <c r="R183" i="31" s="1"/>
  <c r="S183" i="31" s="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E19" i="6"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G25" i="31"/>
  <c r="E25" i="31"/>
  <c r="S414" i="31"/>
  <c r="S398" i="31"/>
  <c r="S382" i="31"/>
  <c r="S366" i="31"/>
  <c r="S350" i="31"/>
  <c r="S334" i="31"/>
  <c r="S318" i="31"/>
  <c r="S302" i="31"/>
  <c r="S286" i="31"/>
  <c r="S270" i="31"/>
  <c r="S254" i="31"/>
  <c r="S253" i="31"/>
  <c r="S251" i="31"/>
  <c r="S249" i="31"/>
  <c r="S245" i="31"/>
  <c r="S243" i="31"/>
  <c r="S241" i="31"/>
  <c r="S238" i="31"/>
  <c r="S237" i="31"/>
  <c r="S233" i="31"/>
  <c r="S231" i="31"/>
  <c r="S229" i="31"/>
  <c r="S225" i="31"/>
  <c r="S223" i="31"/>
  <c r="S429" i="31"/>
  <c r="S425" i="31"/>
  <c r="S221" i="31"/>
  <c r="S219" i="31"/>
  <c r="S217" i="31"/>
  <c r="S213" i="31"/>
  <c r="S211" i="31"/>
  <c r="S210" i="31"/>
  <c r="S209" i="31"/>
  <c r="S205" i="31"/>
  <c r="S203" i="31"/>
  <c r="S201" i="31"/>
  <c r="S197" i="31"/>
  <c r="S195" i="31"/>
  <c r="S194" i="31"/>
  <c r="S193" i="31"/>
  <c r="S191" i="31"/>
  <c r="S189" i="31"/>
  <c r="S185" i="31"/>
  <c r="S497" i="31"/>
  <c r="S493" i="31"/>
  <c r="S489" i="31"/>
  <c r="S485" i="31"/>
  <c r="S481" i="31"/>
  <c r="S477" i="31"/>
  <c r="S473" i="31"/>
  <c r="S469" i="31"/>
  <c r="S443" i="31"/>
  <c r="S442" i="31"/>
  <c r="S441" i="31"/>
  <c r="S437" i="31"/>
  <c r="S435" i="31"/>
  <c r="S433" i="31"/>
  <c r="S498" i="31"/>
  <c r="S465" i="31"/>
  <c r="S461" i="31"/>
  <c r="S457" i="31"/>
  <c r="S453" i="31"/>
  <c r="S445" i="31"/>
  <c r="S449" i="31"/>
  <c r="S509"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M5"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E5" i="3" s="1"/>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L575" i="3" s="1"/>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A582" i="3" s="1"/>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S517" i="31"/>
  <c r="S521"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s="1"/>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J14" i="40" s="1"/>
  <c r="W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H38" i="40"/>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E94" i="37" s="1"/>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F13" i="36" s="1"/>
  <c r="S13" i="36" s="1"/>
  <c r="B57" i="36"/>
  <c r="J12" i="36"/>
  <c r="B55" i="36"/>
  <c r="C51" i="36"/>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AB34" i="35" s="1"/>
  <c r="B77" i="35"/>
  <c r="B75" i="35"/>
  <c r="J24" i="35" s="1"/>
  <c r="AC24" i="35" s="1"/>
  <c r="B73" i="35"/>
  <c r="B57" i="35"/>
  <c r="B61" i="35"/>
  <c r="B59" i="35"/>
  <c r="B131" i="34"/>
  <c r="B129" i="34"/>
  <c r="J46" i="34" s="1"/>
  <c r="B127" i="34"/>
  <c r="B99" i="34"/>
  <c r="H32" i="34" s="1"/>
  <c r="B97" i="34"/>
  <c r="B95" i="34"/>
  <c r="H30" i="34" s="1"/>
  <c r="B93" i="34"/>
  <c r="B75" i="34"/>
  <c r="J14" i="34" s="1"/>
  <c r="W14" i="34" s="1"/>
  <c r="B73" i="34"/>
  <c r="B71" i="34"/>
  <c r="B130" i="33"/>
  <c r="B128" i="33"/>
  <c r="F45" i="33" s="1"/>
  <c r="B126" i="33"/>
  <c r="B98" i="33"/>
  <c r="F31" i="33" s="1"/>
  <c r="B96" i="33"/>
  <c r="B94" i="33"/>
  <c r="H29" i="33" s="1"/>
  <c r="B74" i="33"/>
  <c r="B72" i="33"/>
  <c r="H13" i="33" s="1"/>
  <c r="U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AC29" i="21" s="1"/>
  <c r="B92" i="21"/>
  <c r="B90" i="21"/>
  <c r="J27" i="21" s="1"/>
  <c r="W27"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J45" i="39"/>
  <c r="W45" i="39" s="1"/>
  <c r="J44" i="39"/>
  <c r="AC44" i="39"/>
  <c r="J35" i="39"/>
  <c r="AC35" i="39" s="1"/>
  <c r="F35" i="39"/>
  <c r="AA35" i="39"/>
  <c r="U9" i="39"/>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W22" i="35"/>
  <c r="S31" i="35"/>
  <c r="U34" i="35"/>
  <c r="F36" i="34"/>
  <c r="J35" i="34"/>
  <c r="H39" i="33"/>
  <c r="AB39" i="33"/>
  <c r="F26" i="33"/>
  <c r="AA26" i="33"/>
  <c r="U35" i="33"/>
  <c r="S40" i="33"/>
  <c r="W33" i="33"/>
  <c r="W39" i="33"/>
  <c r="H39" i="37"/>
  <c r="AB39" i="37" s="1"/>
  <c r="S27" i="35"/>
  <c r="F11" i="40"/>
  <c r="AA11" i="40"/>
  <c r="H11" i="40"/>
  <c r="AB11" i="40"/>
  <c r="AB39" i="40"/>
  <c r="U9" i="40"/>
  <c r="S34" i="40"/>
  <c r="W31" i="40"/>
  <c r="U34" i="40"/>
  <c r="F42" i="39"/>
  <c r="F41" i="39"/>
  <c r="S41" i="39" s="1"/>
  <c r="H40" i="39"/>
  <c r="AB40" i="39" s="1"/>
  <c r="H39" i="39"/>
  <c r="U39" i="39" s="1"/>
  <c r="S38" i="39"/>
  <c r="H34" i="39"/>
  <c r="U34" i="39" s="1"/>
  <c r="E108"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B12" i="36"/>
  <c r="S44" i="39"/>
  <c r="F37" i="39"/>
  <c r="AA37" i="39" s="1"/>
  <c r="J34" i="36"/>
  <c r="W34" i="36" s="1"/>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F13" i="33"/>
  <c r="S13" i="33" s="1"/>
  <c r="J29" i="33"/>
  <c r="U29" i="33"/>
  <c r="J31" i="33"/>
  <c r="H31" i="33"/>
  <c r="H45" i="33"/>
  <c r="J45" i="33"/>
  <c r="W45" i="33" s="1"/>
  <c r="AA45" i="33"/>
  <c r="F14" i="34"/>
  <c r="H14" i="34"/>
  <c r="F30" i="34"/>
  <c r="S30" i="34" s="1"/>
  <c r="J30" i="34"/>
  <c r="F32" i="34"/>
  <c r="H46" i="34"/>
  <c r="U46" i="34" s="1"/>
  <c r="F46" i="34"/>
  <c r="S46" i="34" s="1"/>
  <c r="H11" i="35"/>
  <c r="AB11" i="35" s="1"/>
  <c r="J26" i="36"/>
  <c r="W26" i="36" s="1"/>
  <c r="H28" i="36"/>
  <c r="U28" i="36" s="1"/>
  <c r="J32" i="36"/>
  <c r="W32" i="36" s="1"/>
  <c r="J11" i="36"/>
  <c r="AC11" i="36" s="1"/>
  <c r="H11" i="36"/>
  <c r="U11" i="36" s="1"/>
  <c r="F11" i="36"/>
  <c r="AA11" i="36" s="1"/>
  <c r="H13" i="36"/>
  <c r="AB13" i="36" s="1"/>
  <c r="F89" i="37"/>
  <c r="G89" i="37" s="1"/>
  <c r="H89" i="37" s="1"/>
  <c r="I89" i="37" s="1"/>
  <c r="J89" i="37" s="1"/>
  <c r="K89" i="37" s="1"/>
  <c r="L89" i="37" s="1"/>
  <c r="M89" i="37" s="1"/>
  <c r="J29" i="37"/>
  <c r="W29" i="37" s="1"/>
  <c r="F29" i="37"/>
  <c r="S29" i="37"/>
  <c r="H36" i="37"/>
  <c r="AB36" i="37" s="1"/>
  <c r="F107" i="37"/>
  <c r="J37" i="37"/>
  <c r="AC37" i="37" s="1"/>
  <c r="H37" i="37"/>
  <c r="U37" i="37" s="1"/>
  <c r="H40" i="37"/>
  <c r="U40" i="37" s="1"/>
  <c r="J40" i="37"/>
  <c r="W40" i="37" s="1"/>
  <c r="AC40" i="37"/>
  <c r="F40" i="37"/>
  <c r="AA40" i="37" s="1"/>
  <c r="AC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F13" i="37"/>
  <c r="S13" i="37" s="1"/>
  <c r="J13" i="37"/>
  <c r="W13" i="37" s="1"/>
  <c r="F28" i="37"/>
  <c r="AA28" i="37" s="1"/>
  <c r="J28" i="37"/>
  <c r="AC28" i="37" s="1"/>
  <c r="H28" i="37"/>
  <c r="H38" i="37"/>
  <c r="AB38" i="37"/>
  <c r="J38" i="37"/>
  <c r="AC38" i="37" s="1"/>
  <c r="F38" i="37"/>
  <c r="S38" i="37" s="1"/>
  <c r="F43" i="39"/>
  <c r="AA43" i="39" s="1"/>
  <c r="J14" i="39"/>
  <c r="AC14" i="39" s="1"/>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F14" i="40"/>
  <c r="AA14" i="40" s="1"/>
  <c r="J14" i="37"/>
  <c r="AA44" i="33"/>
  <c r="U46" i="33"/>
  <c r="AA14" i="33"/>
  <c r="J36" i="37"/>
  <c r="AC36" i="37" s="1"/>
  <c r="J10" i="36"/>
  <c r="AC10" i="36" s="1"/>
  <c r="AB30" i="21"/>
  <c r="W31" i="34"/>
  <c r="AB46" i="34"/>
  <c r="S45" i="33"/>
  <c r="AC28" i="21"/>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68" i="3"/>
  <c r="BL564" i="3"/>
  <c r="BL560" i="3"/>
  <c r="AZ560" i="3" s="1"/>
  <c r="BL554" i="3"/>
  <c r="BL546" i="3"/>
  <c r="BL542" i="3"/>
  <c r="BL538" i="3"/>
  <c r="BL534" i="3"/>
  <c r="BL530" i="3"/>
  <c r="BL526" i="3"/>
  <c r="BL522" i="3"/>
  <c r="AZ522" i="3" s="1"/>
  <c r="BL516" i="3"/>
  <c r="BL512" i="3"/>
  <c r="BL506" i="3"/>
  <c r="BL502" i="3"/>
  <c r="AZ502" i="3" s="1"/>
  <c r="BL498" i="3"/>
  <c r="BL494" i="3"/>
  <c r="AZ494" i="3" s="1"/>
  <c r="BL578" i="3"/>
  <c r="BL570" i="3"/>
  <c r="BL566" i="3"/>
  <c r="BL562" i="3"/>
  <c r="BL556" i="3"/>
  <c r="BL552" i="3"/>
  <c r="BL544" i="3"/>
  <c r="BL540" i="3"/>
  <c r="BL536" i="3"/>
  <c r="G533" i="3"/>
  <c r="BL532" i="3"/>
  <c r="G529" i="3"/>
  <c r="BL528" i="3"/>
  <c r="G525" i="3"/>
  <c r="BL524" i="3"/>
  <c r="BL518" i="3"/>
  <c r="BL514" i="3"/>
  <c r="BL510" i="3"/>
  <c r="BL504" i="3"/>
  <c r="BL500" i="3"/>
  <c r="BL496" i="3"/>
  <c r="G493" i="3"/>
  <c r="BA578" i="3"/>
  <c r="BA574" i="3"/>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BA518" i="3"/>
  <c r="BA516" i="3"/>
  <c r="AZ516" i="3" s="1"/>
  <c r="BA514" i="3"/>
  <c r="BA512" i="3"/>
  <c r="AZ512" i="3" s="1"/>
  <c r="BA510" i="3"/>
  <c r="BA508" i="3"/>
  <c r="BA506" i="3"/>
  <c r="BA504" i="3"/>
  <c r="AZ504" i="3" s="1"/>
  <c r="BA502" i="3"/>
  <c r="BA500" i="3"/>
  <c r="BA498" i="3"/>
  <c r="AZ498" i="3" s="1"/>
  <c r="BA496" i="3"/>
  <c r="AZ496" i="3" s="1"/>
  <c r="BA494" i="3"/>
  <c r="BA587" i="3"/>
  <c r="BA583" i="3"/>
  <c r="BA579" i="3"/>
  <c r="BA571" i="3"/>
  <c r="BA569" i="3"/>
  <c r="BA567" i="3"/>
  <c r="BA565" i="3"/>
  <c r="BA563" i="3"/>
  <c r="AZ563" i="3" s="1"/>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AZ503" i="3" s="1"/>
  <c r="BA501" i="3"/>
  <c r="BA499" i="3"/>
  <c r="BA497" i="3"/>
  <c r="BA495" i="3"/>
  <c r="BA493" i="3"/>
  <c r="G581" i="3"/>
  <c r="G577" i="3"/>
  <c r="G575" i="3"/>
  <c r="G573" i="3"/>
  <c r="G569" i="3"/>
  <c r="G567" i="3"/>
  <c r="G565" i="3"/>
  <c r="G563" i="3"/>
  <c r="G561" i="3"/>
  <c r="BL558" i="3"/>
  <c r="BA557" i="3"/>
  <c r="AC557" i="3"/>
  <c r="G557" i="3" s="1"/>
  <c r="BQ557" i="3"/>
  <c r="BL557" i="3" s="1"/>
  <c r="BQ583" i="3"/>
  <c r="BQ581" i="3"/>
  <c r="BQ579" i="3"/>
  <c r="BQ577" i="3"/>
  <c r="BL577" i="3" s="1"/>
  <c r="BQ575" i="3"/>
  <c r="BQ573" i="3"/>
  <c r="BQ571" i="3"/>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BL493" i="3" s="1"/>
  <c r="AZ493" i="3" s="1"/>
  <c r="S505" i="31"/>
  <c r="S503" i="31"/>
  <c r="S501" i="31"/>
  <c r="I26" i="31"/>
  <c r="I25" i="31"/>
  <c r="Q26" i="31"/>
  <c r="I27" i="31"/>
  <c r="Q27" i="31"/>
  <c r="I28" i="31"/>
  <c r="Q28" i="31"/>
  <c r="S21"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39" i="37"/>
  <c r="U26" i="37"/>
  <c r="W47" i="34"/>
  <c r="AC36" i="34"/>
  <c r="AA13" i="33"/>
  <c r="W44" i="33"/>
  <c r="U11" i="33"/>
  <c r="U19" i="21"/>
  <c r="W44" i="21"/>
  <c r="AB38" i="21"/>
  <c r="F43" i="33"/>
  <c r="AA43" i="33" s="1"/>
  <c r="W15" i="34"/>
  <c r="AC15" i="34"/>
  <c r="G107" i="37"/>
  <c r="H107" i="37" s="1"/>
  <c r="I107" i="37" s="1"/>
  <c r="J107" i="37" s="1"/>
  <c r="K107" i="37" s="1"/>
  <c r="L107" i="37" s="1"/>
  <c r="M107" i="37" s="1"/>
  <c r="H37" i="21"/>
  <c r="U37" i="21" s="1"/>
  <c r="S42" i="21"/>
  <c r="H19" i="34"/>
  <c r="AB19" i="34" s="1"/>
  <c r="F36" i="35"/>
  <c r="S36" i="35" s="1"/>
  <c r="J9" i="37"/>
  <c r="W9" i="37" s="1"/>
  <c r="F9" i="37"/>
  <c r="S9" i="37" s="1"/>
  <c r="J12" i="37"/>
  <c r="W12" i="37" s="1"/>
  <c r="H12" i="37"/>
  <c r="AB12" i="37" s="1"/>
  <c r="F12" i="37"/>
  <c r="S12" i="37" s="1"/>
  <c r="E71" i="37"/>
  <c r="F71" i="37" s="1"/>
  <c r="G71" i="37" s="1"/>
  <c r="F15" i="37"/>
  <c r="S15" i="37" s="1"/>
  <c r="F31" i="37"/>
  <c r="S31" i="37" s="1"/>
  <c r="F12" i="39"/>
  <c r="S12" i="39" s="1"/>
  <c r="J42" i="39"/>
  <c r="AC42" i="39" s="1"/>
  <c r="H21" i="40"/>
  <c r="AB21" i="40" s="1"/>
  <c r="F94" i="37"/>
  <c r="G94" i="37"/>
  <c r="H94" i="37" s="1"/>
  <c r="I94" i="37" s="1"/>
  <c r="J94" i="37" s="1"/>
  <c r="K94" i="37" s="1"/>
  <c r="L94" i="37" s="1"/>
  <c r="M94" i="37" s="1"/>
  <c r="H31" i="37"/>
  <c r="U31" i="37"/>
  <c r="J15" i="37"/>
  <c r="W15" i="37"/>
  <c r="AT6" i="3"/>
  <c r="AA25" i="21"/>
  <c r="H19" i="40"/>
  <c r="U19" i="40" s="1"/>
  <c r="F88" i="40"/>
  <c r="G88" i="40" s="1"/>
  <c r="F19" i="40"/>
  <c r="S19" i="40" s="1"/>
  <c r="S14" i="40"/>
  <c r="AC13" i="40"/>
  <c r="W23" i="39"/>
  <c r="AC43" i="39"/>
  <c r="W43" i="39"/>
  <c r="AB44" i="39"/>
  <c r="U44" i="39"/>
  <c r="H37" i="39"/>
  <c r="AB37" i="39"/>
  <c r="AC37" i="39"/>
  <c r="W37" i="39"/>
  <c r="H25" i="39"/>
  <c r="AB25" i="39"/>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AZ116" i="3" s="1"/>
  <c r="G117" i="3"/>
  <c r="BA119" i="3"/>
  <c r="BL120" i="3"/>
  <c r="AZ120" i="3" s="1"/>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G165" i="3"/>
  <c r="BA167" i="3"/>
  <c r="AZ167" i="3"/>
  <c r="BL168" i="3"/>
  <c r="AZ168" i="3" s="1"/>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s="1"/>
  <c r="G197" i="3"/>
  <c r="BA199" i="3"/>
  <c r="BL200" i="3"/>
  <c r="G201" i="3"/>
  <c r="BA203" i="3"/>
  <c r="BL204" i="3"/>
  <c r="AZ67" i="3"/>
  <c r="AZ105"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500" i="3"/>
  <c r="BA16" i="3"/>
  <c r="AZ16" i="3" s="1"/>
  <c r="BL303" i="3"/>
  <c r="G304" i="3"/>
  <c r="BA306" i="3"/>
  <c r="BL307" i="3"/>
  <c r="G308" i="3"/>
  <c r="BA310" i="3"/>
  <c r="AZ310" i="3"/>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AZ379" i="3" s="1"/>
  <c r="BL380" i="3"/>
  <c r="G381" i="3"/>
  <c r="BA383" i="3"/>
  <c r="AZ383" i="3" s="1"/>
  <c r="BL384" i="3"/>
  <c r="G385" i="3"/>
  <c r="BA387" i="3"/>
  <c r="BL388" i="3"/>
  <c r="AZ388" i="3" s="1"/>
  <c r="G389" i="3"/>
  <c r="BA391" i="3"/>
  <c r="AZ391" i="3" s="1"/>
  <c r="BL392" i="3"/>
  <c r="G393" i="3"/>
  <c r="AZ283" i="3"/>
  <c r="BO5" i="3"/>
  <c r="BF5" i="3"/>
  <c r="BD5" i="3"/>
  <c r="AZ341" i="3"/>
  <c r="AC5" i="3"/>
  <c r="AZ506" i="3"/>
  <c r="G548" i="3"/>
  <c r="G538" i="3"/>
  <c r="G520" i="3"/>
  <c r="G502" i="3"/>
  <c r="BS5" i="3"/>
  <c r="BN5" i="3"/>
  <c r="BI5" i="3"/>
  <c r="BG5" i="3"/>
  <c r="G17" i="3"/>
  <c r="BA17" i="3"/>
  <c r="AZ17" i="3" s="1"/>
  <c r="AZ368" i="3"/>
  <c r="BA15" i="3"/>
  <c r="BR5" i="3"/>
  <c r="AZ380" i="3"/>
  <c r="AZ392" i="3"/>
  <c r="AZ509" i="3"/>
  <c r="G509" i="3"/>
  <c r="U36" i="40"/>
  <c r="F83" i="43"/>
  <c r="H85" i="43" s="1"/>
  <c r="F50" i="43"/>
  <c r="H54" i="43" s="1"/>
  <c r="F72" i="43"/>
  <c r="H75" i="43" s="1"/>
  <c r="U17" i="39"/>
  <c r="S14" i="35"/>
  <c r="U43" i="21"/>
  <c r="U35" i="21"/>
  <c r="AC35" i="21"/>
  <c r="AC11" i="39"/>
  <c r="AZ501" i="3"/>
  <c r="W37" i="37"/>
  <c r="W44" i="34"/>
  <c r="AC44" i="34"/>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J27" i="40"/>
  <c r="AC27" i="40"/>
  <c r="F27" i="40"/>
  <c r="AA27" i="40" s="1"/>
  <c r="J30" i="40"/>
  <c r="AC30" i="40"/>
  <c r="F30" i="40"/>
  <c r="S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80" i="3"/>
  <c r="AZ133" i="3"/>
  <c r="AZ72" i="3"/>
  <c r="AZ82" i="3"/>
  <c r="AZ94"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W12" i="33"/>
  <c r="AC12" i="33"/>
  <c r="BL14" i="3"/>
  <c r="AC13" i="34"/>
  <c r="AA47" i="34"/>
  <c r="W28" i="37"/>
  <c r="S19" i="39"/>
  <c r="F12" i="33"/>
  <c r="S12" i="33" s="1"/>
  <c r="H12" i="39"/>
  <c r="U12" i="39" s="1"/>
  <c r="F39" i="40"/>
  <c r="BA14" i="3"/>
  <c r="AZ250" i="3"/>
  <c r="AZ157" i="3"/>
  <c r="B12" i="1"/>
  <c r="E12" i="1" s="1"/>
  <c r="B10" i="1"/>
  <c r="E10" i="1" s="1"/>
  <c r="K12" i="1"/>
  <c r="M12" i="1" s="1"/>
  <c r="S13" i="1"/>
  <c r="AR13" i="1" s="1"/>
  <c r="R13" i="1"/>
  <c r="J51" i="67"/>
  <c r="C42" i="1"/>
  <c r="C24" i="12" s="1"/>
  <c r="AC34" i="33"/>
  <c r="AB37" i="40"/>
  <c r="S35" i="40"/>
  <c r="U35" i="40"/>
  <c r="AC36"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AC13" i="39"/>
  <c r="S23" i="36"/>
  <c r="U13" i="36"/>
  <c r="U26" i="36"/>
  <c r="S33" i="36"/>
  <c r="AA26" i="36"/>
  <c r="AA34" i="36"/>
  <c r="AC26" i="36"/>
  <c r="W14" i="36"/>
  <c r="AB14" i="36"/>
  <c r="U22" i="36"/>
  <c r="S16" i="36"/>
  <c r="AA25" i="36"/>
  <c r="S24" i="36"/>
  <c r="U24" i="36"/>
  <c r="U23" i="36"/>
  <c r="AB20" i="36"/>
  <c r="U16" i="36"/>
  <c r="S14" i="36"/>
  <c r="AA25" i="35"/>
  <c r="S23" i="35"/>
  <c r="W24" i="35"/>
  <c r="AB13" i="35"/>
  <c r="U29" i="35"/>
  <c r="U28" i="35"/>
  <c r="AB27" i="35"/>
  <c r="U36" i="35"/>
  <c r="U32" i="35"/>
  <c r="AA33" i="35"/>
  <c r="AC30" i="35"/>
  <c r="S32" i="35"/>
  <c r="S28" i="35"/>
  <c r="AB16" i="35"/>
  <c r="U22" i="35"/>
  <c r="AC20" i="35"/>
  <c r="S22" i="35"/>
  <c r="U14" i="35"/>
  <c r="AC9" i="35"/>
  <c r="W9" i="35"/>
  <c r="W13" i="35"/>
  <c r="F9" i="35"/>
  <c r="S9" i="35" s="1"/>
  <c r="H9" i="35"/>
  <c r="U9" i="35" s="1"/>
  <c r="AB40" i="37"/>
  <c r="AC29" i="37"/>
  <c r="U29" i="37"/>
  <c r="AB31" i="37"/>
  <c r="W30" i="37"/>
  <c r="S36" i="37"/>
  <c r="U32" i="37"/>
  <c r="W38" i="37"/>
  <c r="AC35" i="37"/>
  <c r="W39" i="37"/>
  <c r="S30" i="37"/>
  <c r="S37" i="37"/>
  <c r="AC15" i="37"/>
  <c r="J17" i="37"/>
  <c r="W17" i="37"/>
  <c r="G73" i="37"/>
  <c r="F17" i="37"/>
  <c r="AA17" i="37" s="1"/>
  <c r="AB17" i="37"/>
  <c r="F75" i="37"/>
  <c r="F19" i="37"/>
  <c r="S19" i="37" s="1"/>
  <c r="F79" i="37"/>
  <c r="F23" i="37"/>
  <c r="S23" i="37" s="1"/>
  <c r="U23" i="37"/>
  <c r="U15" i="37"/>
  <c r="AC13" i="37"/>
  <c r="H10" i="37"/>
  <c r="AB10" i="37" s="1"/>
  <c r="F63" i="37"/>
  <c r="G63" i="37" s="1"/>
  <c r="H63" i="37" s="1"/>
  <c r="I63" i="37" s="1"/>
  <c r="F11" i="37"/>
  <c r="S11" i="37" s="1"/>
  <c r="AB8" i="34"/>
  <c r="AA33" i="34"/>
  <c r="U43" i="34"/>
  <c r="W41" i="34"/>
  <c r="AC42" i="34"/>
  <c r="AB35" i="34"/>
  <c r="U39" i="34"/>
  <c r="S43" i="34"/>
  <c r="AB41" i="34"/>
  <c r="AA45" i="34"/>
  <c r="AA25" i="34"/>
  <c r="U28" i="34"/>
  <c r="S17" i="34"/>
  <c r="AA29" i="34"/>
  <c r="S23" i="34"/>
  <c r="U15" i="34"/>
  <c r="S13" i="34"/>
  <c r="H10" i="34"/>
  <c r="AB10" i="34" s="1"/>
  <c r="F11" i="34"/>
  <c r="S11" i="34" s="1"/>
  <c r="F70" i="34"/>
  <c r="W42" i="33"/>
  <c r="S27" i="33"/>
  <c r="S32" i="33"/>
  <c r="AB29" i="33"/>
  <c r="W38" i="33"/>
  <c r="H41" i="33"/>
  <c r="U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M20" i="67"/>
  <c r="F34" i="15"/>
  <c r="F62" i="15" s="1"/>
  <c r="BA13" i="3"/>
  <c r="BL17" i="3"/>
  <c r="J56" i="9"/>
  <c r="J57" i="9" s="1"/>
  <c r="J59" i="9" s="1"/>
  <c r="J61" i="9" s="1"/>
  <c r="U29" i="34"/>
  <c r="E5" i="6"/>
  <c r="E32" i="6"/>
  <c r="E19" i="69"/>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W29" i="36"/>
  <c r="AC20" i="36"/>
  <c r="U25" i="36"/>
  <c r="AB28" i="36"/>
  <c r="AA13" i="36"/>
  <c r="W22" i="36"/>
  <c r="W23" i="36"/>
  <c r="AB20" i="35"/>
  <c r="AC25" i="35"/>
  <c r="S24" i="35"/>
  <c r="U24" i="35"/>
  <c r="S35" i="35"/>
  <c r="W35" i="35"/>
  <c r="AA16" i="35"/>
  <c r="AA35" i="37"/>
  <c r="W36" i="37"/>
  <c r="S28" i="37"/>
  <c r="W32" i="37"/>
  <c r="U36" i="37"/>
  <c r="S40" i="37"/>
  <c r="U38" i="37"/>
  <c r="AB37" i="37"/>
  <c r="AC34" i="37"/>
  <c r="AA31" i="37"/>
  <c r="U19" i="37"/>
  <c r="AA29" i="37"/>
  <c r="U8" i="37"/>
  <c r="AB40" i="34"/>
  <c r="U19" i="34"/>
  <c r="W19" i="34"/>
  <c r="AB33" i="34"/>
  <c r="AC45" i="34"/>
  <c r="AA31" i="34"/>
  <c r="AB45" i="34"/>
  <c r="AB47" i="34"/>
  <c r="U25" i="34"/>
  <c r="AB36" i="34"/>
  <c r="AC14" i="34"/>
  <c r="AC29" i="34"/>
  <c r="W29" i="34"/>
  <c r="W46" i="34"/>
  <c r="AC46" i="34"/>
  <c r="S32" i="34"/>
  <c r="AA32" i="34"/>
  <c r="U30" i="34"/>
  <c r="AB30" i="34"/>
  <c r="S37" i="34"/>
  <c r="U38" i="34"/>
  <c r="AC40" i="34"/>
  <c r="W40" i="34"/>
  <c r="AA19" i="34"/>
  <c r="S19" i="34"/>
  <c r="AA36" i="34"/>
  <c r="S36" i="34"/>
  <c r="AA8" i="34"/>
  <c r="S8" i="34"/>
  <c r="AA46" i="34"/>
  <c r="U32" i="34"/>
  <c r="AB32" i="34"/>
  <c r="U14" i="34"/>
  <c r="AB14" i="34"/>
  <c r="AC43" i="34"/>
  <c r="W43" i="34"/>
  <c r="W23" i="34"/>
  <c r="AC23" i="34"/>
  <c r="AC35" i="34"/>
  <c r="W35" i="34"/>
  <c r="AB28" i="33"/>
  <c r="AC37" i="33"/>
  <c r="U39" i="33"/>
  <c r="U38" i="33"/>
  <c r="S33"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H32" i="39"/>
  <c r="AB32" i="39" s="1"/>
  <c r="AA32" i="39"/>
  <c r="S32" i="39"/>
  <c r="AA21" i="39"/>
  <c r="S21" i="39"/>
  <c r="AC17" i="37"/>
  <c r="J19" i="37"/>
  <c r="W19" i="37" s="1"/>
  <c r="G75" i="37"/>
  <c r="AA23" i="37"/>
  <c r="J23" i="37"/>
  <c r="G79" i="37"/>
  <c r="J10" i="37"/>
  <c r="W10" i="37" s="1"/>
  <c r="H11" i="37"/>
  <c r="AB11" i="37" s="1"/>
  <c r="G70" i="34"/>
  <c r="H70" i="34" s="1"/>
  <c r="I70" i="34" s="1"/>
  <c r="J70" i="34" s="1"/>
  <c r="K70" i="34" s="1"/>
  <c r="L70" i="34" s="1"/>
  <c r="M70" i="34" s="1"/>
  <c r="H11" i="34"/>
  <c r="U11" i="34" s="1"/>
  <c r="J10" i="34"/>
  <c r="AC10" i="34" s="1"/>
  <c r="AB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AA25" i="33"/>
  <c r="G87" i="33"/>
  <c r="H87" i="33" s="1"/>
  <c r="I87" i="33" s="1"/>
  <c r="J87" i="33" s="1"/>
  <c r="K87" i="33" s="1"/>
  <c r="L87" i="33" s="1"/>
  <c r="M87" i="33" s="1"/>
  <c r="J25" i="33"/>
  <c r="F23" i="33"/>
  <c r="G85" i="33"/>
  <c r="AA19" i="33"/>
  <c r="H19" i="33"/>
  <c r="H17" i="33"/>
  <c r="U17" i="33" s="1"/>
  <c r="F17" i="33"/>
  <c r="S17" i="33" s="1"/>
  <c r="S37" i="21"/>
  <c r="AA23" i="21"/>
  <c r="AB15" i="21"/>
  <c r="J23" i="21"/>
  <c r="AC23" i="21" s="1"/>
  <c r="F85" i="21"/>
  <c r="G85" i="21" s="1"/>
  <c r="H23" i="21"/>
  <c r="AB23" i="21" s="1"/>
  <c r="D6" i="52"/>
  <c r="AP7" i="1"/>
  <c r="AB45" i="21"/>
  <c r="AA32" i="21"/>
  <c r="S32" i="21"/>
  <c r="AB32" i="21"/>
  <c r="U32" i="21"/>
  <c r="U32" i="39"/>
  <c r="AC32" i="39"/>
  <c r="W32" i="39"/>
  <c r="J63" i="37"/>
  <c r="K63" i="37" s="1"/>
  <c r="L63" i="37" s="1"/>
  <c r="M63" i="37" s="1"/>
  <c r="J11" i="37"/>
  <c r="AC11" i="37" s="1"/>
  <c r="J11" i="34"/>
  <c r="W11" i="34" s="1"/>
  <c r="AB36" i="33"/>
  <c r="W25" i="33"/>
  <c r="AC25" i="33"/>
  <c r="AB19" i="33"/>
  <c r="U19" i="33"/>
  <c r="AA17" i="33"/>
  <c r="U23" i="21"/>
  <c r="W23" i="21"/>
  <c r="H109" i="9"/>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6" i="67"/>
  <c r="E2" i="69"/>
  <c r="F37" i="67"/>
  <c r="F38" i="67"/>
  <c r="D6" i="73"/>
  <c r="F8" i="67"/>
  <c r="E7" i="76"/>
  <c r="M6" i="67"/>
  <c r="M26" i="67"/>
  <c r="F16" i="67"/>
  <c r="E12" i="76"/>
  <c r="L48" i="67"/>
  <c r="M8" i="67"/>
  <c r="B7" i="76"/>
  <c r="B11" i="76"/>
  <c r="F42" i="67"/>
  <c r="M24" i="67"/>
  <c r="F6" i="67"/>
  <c r="M9" i="67"/>
  <c r="F13" i="67"/>
  <c r="B13" i="76"/>
  <c r="M22" i="67"/>
  <c r="M28" i="67"/>
  <c r="B10" i="76"/>
  <c r="F3" i="73"/>
  <c r="J15" i="67"/>
  <c r="F5" i="73"/>
  <c r="F40" i="67"/>
  <c r="E9" i="76"/>
  <c r="B8" i="76"/>
  <c r="E11" i="76"/>
  <c r="M23" i="67"/>
  <c r="E8" i="76"/>
  <c r="E13" i="76"/>
  <c r="F9" i="67"/>
  <c r="B12" i="76"/>
  <c r="F36" i="67"/>
  <c r="B9" i="76"/>
  <c r="C76" i="67"/>
  <c r="L47" i="67"/>
  <c r="E10" i="76"/>
  <c r="F7" i="73"/>
  <c r="E2" i="68"/>
  <c r="AO13" i="1"/>
  <c r="F20" i="31"/>
  <c r="F4" i="73"/>
  <c r="F6" i="73"/>
  <c r="D33" i="43" l="1"/>
  <c r="D1" i="43" s="1"/>
  <c r="B24" i="31"/>
  <c r="T27" i="31"/>
  <c r="V27" i="31"/>
  <c r="U27" i="31"/>
  <c r="C18" i="9"/>
  <c r="D18" i="9" s="1"/>
  <c r="A24" i="51"/>
  <c r="B18" i="72" s="1"/>
  <c r="F34" i="67"/>
  <c r="F62" i="67" s="1"/>
  <c r="B41" i="1"/>
  <c r="C40" i="69"/>
  <c r="C21" i="68"/>
  <c r="E19" i="11"/>
  <c r="G1" i="69"/>
  <c r="G1" i="15"/>
  <c r="B6" i="1"/>
  <c r="E6" i="1" s="1"/>
  <c r="K1" i="12"/>
  <c r="K6" i="1"/>
  <c r="BL13" i="3"/>
  <c r="F29" i="6"/>
  <c r="W23" i="37"/>
  <c r="AC23" i="37"/>
  <c r="AZ575" i="3"/>
  <c r="W17" i="21"/>
  <c r="AC17" i="21"/>
  <c r="W27" i="33"/>
  <c r="AC27" i="33"/>
  <c r="AB9" i="21"/>
  <c r="U9" i="21"/>
  <c r="AB23" i="33"/>
  <c r="U25" i="33"/>
  <c r="AA39" i="39"/>
  <c r="AB12" i="39"/>
  <c r="AA30" i="40"/>
  <c r="S27" i="40"/>
  <c r="U27" i="40"/>
  <c r="AA15" i="37"/>
  <c r="AZ520" i="3"/>
  <c r="U33" i="40"/>
  <c r="AB33" i="40"/>
  <c r="W31" i="33"/>
  <c r="AC31" i="33"/>
  <c r="S29" i="35"/>
  <c r="AA29" i="35"/>
  <c r="BL585" i="3"/>
  <c r="B72" i="43"/>
  <c r="C15" i="39"/>
  <c r="AC8" i="34"/>
  <c r="W8" i="34"/>
  <c r="H9" i="36"/>
  <c r="AB9" i="36" s="1"/>
  <c r="J9" i="36"/>
  <c r="F32" i="36"/>
  <c r="H32" i="36"/>
  <c r="J36" i="39"/>
  <c r="AC36" i="39" s="1"/>
  <c r="F36" i="39"/>
  <c r="H36" i="39"/>
  <c r="BA584" i="3"/>
  <c r="AZ584" i="3" s="1"/>
  <c r="BL582" i="3"/>
  <c r="AZ582" i="3" s="1"/>
  <c r="BL581" i="3"/>
  <c r="BL580" i="3"/>
  <c r="BL579" i="3"/>
  <c r="AZ579" i="3" s="1"/>
  <c r="BA577" i="3"/>
  <c r="AZ577" i="3" s="1"/>
  <c r="BK5" i="3"/>
  <c r="BC5" i="3"/>
  <c r="BA576" i="3"/>
  <c r="AZ576" i="3" s="1"/>
  <c r="BJ5" i="3"/>
  <c r="BB5" i="3"/>
  <c r="BL572" i="3"/>
  <c r="BL571" i="3"/>
  <c r="AC9" i="21"/>
  <c r="S36" i="33"/>
  <c r="S17" i="37"/>
  <c r="U21" i="39"/>
  <c r="AZ345" i="3"/>
  <c r="AZ318" i="3"/>
  <c r="AZ337" i="3"/>
  <c r="W16" i="35"/>
  <c r="AZ499" i="3"/>
  <c r="AZ527" i="3"/>
  <c r="AZ571" i="3"/>
  <c r="AZ508" i="3"/>
  <c r="AZ540" i="3"/>
  <c r="S14" i="37"/>
  <c r="AA14" i="37"/>
  <c r="U45" i="33"/>
  <c r="AB45" i="33"/>
  <c r="AA44" i="34"/>
  <c r="S44" i="34"/>
  <c r="S28" i="34"/>
  <c r="AA42" i="39"/>
  <c r="S42" i="39"/>
  <c r="W25" i="37"/>
  <c r="G585" i="3"/>
  <c r="BL587" i="3"/>
  <c r="AZ587" i="3" s="1"/>
  <c r="BL586" i="3"/>
  <c r="AZ586" i="3" s="1"/>
  <c r="BA585" i="3"/>
  <c r="AZ585" i="3" s="1"/>
  <c r="AB33" i="33"/>
  <c r="U33" i="33"/>
  <c r="J12" i="34"/>
  <c r="F12" i="34"/>
  <c r="S12" i="34" s="1"/>
  <c r="H12" i="34"/>
  <c r="J11" i="35"/>
  <c r="F11" i="35"/>
  <c r="AC17" i="33"/>
  <c r="W33" i="34"/>
  <c r="AA40" i="34"/>
  <c r="AZ14" i="3"/>
  <c r="S13" i="21"/>
  <c r="AA19" i="37"/>
  <c r="M18" i="15"/>
  <c r="M18" i="67"/>
  <c r="F30" i="11"/>
  <c r="C48" i="11" s="1"/>
  <c r="AB34" i="33"/>
  <c r="W46" i="33"/>
  <c r="AA30" i="34"/>
  <c r="AB35" i="37"/>
  <c r="S27" i="37"/>
  <c r="U25" i="35"/>
  <c r="U42" i="33"/>
  <c r="AA35" i="33"/>
  <c r="U27" i="34"/>
  <c r="AC39" i="34"/>
  <c r="W25" i="34"/>
  <c r="AA13" i="37"/>
  <c r="AA38" i="37"/>
  <c r="S20" i="35"/>
  <c r="AA36" i="35"/>
  <c r="AA22" i="36"/>
  <c r="AA12" i="39"/>
  <c r="AA34" i="33"/>
  <c r="U30" i="33"/>
  <c r="AC21" i="40"/>
  <c r="AA12" i="40"/>
  <c r="BP5" i="3"/>
  <c r="G29" i="6" s="1"/>
  <c r="AZ389" i="3"/>
  <c r="AZ372" i="3"/>
  <c r="AZ320" i="3"/>
  <c r="AZ304" i="3"/>
  <c r="AZ306" i="3"/>
  <c r="H5" i="3"/>
  <c r="AC12" i="37"/>
  <c r="AC45" i="33"/>
  <c r="AZ535" i="3"/>
  <c r="AZ557" i="3"/>
  <c r="AZ510" i="3"/>
  <c r="AZ552" i="3"/>
  <c r="J13" i="36"/>
  <c r="S14" i="34"/>
  <c r="AA14" i="34"/>
  <c r="W28" i="34"/>
  <c r="AC28" i="34"/>
  <c r="U17" i="34"/>
  <c r="AB17" i="34"/>
  <c r="AB12" i="35"/>
  <c r="F9" i="34"/>
  <c r="AA9" i="34" s="1"/>
  <c r="H9" i="34"/>
  <c r="J9" i="34"/>
  <c r="H45" i="39"/>
  <c r="F45" i="39"/>
  <c r="S9" i="40"/>
  <c r="AA9" i="40"/>
  <c r="AB38" i="40"/>
  <c r="U38" i="40"/>
  <c r="BA581" i="3"/>
  <c r="BA580" i="3"/>
  <c r="AZ580" i="3" s="1"/>
  <c r="BL574" i="3"/>
  <c r="AZ574" i="3" s="1"/>
  <c r="BA573" i="3"/>
  <c r="BA572" i="3"/>
  <c r="AZ572" i="3" s="1"/>
  <c r="AZ531" i="3"/>
  <c r="BL573" i="3"/>
  <c r="BL583" i="3"/>
  <c r="AZ583" i="3" s="1"/>
  <c r="AZ568" i="3"/>
  <c r="H14" i="40"/>
  <c r="H43" i="39"/>
  <c r="J32" i="34"/>
  <c r="F29" i="33"/>
  <c r="AB30" i="36"/>
  <c r="B101" i="43"/>
  <c r="B79" i="43"/>
  <c r="AC27" i="35"/>
  <c r="W27" i="35"/>
  <c r="S34" i="39"/>
  <c r="AA34" i="39"/>
  <c r="AC8" i="40"/>
  <c r="W8" i="40"/>
  <c r="AA38" i="40"/>
  <c r="S38" i="40"/>
  <c r="AZ387" i="3"/>
  <c r="AZ362" i="3"/>
  <c r="AZ338" i="3"/>
  <c r="AZ390" i="3"/>
  <c r="AZ371" i="3"/>
  <c r="AZ351" i="3"/>
  <c r="AZ336" i="3"/>
  <c r="AZ305" i="3"/>
  <c r="AZ360" i="3"/>
  <c r="AZ539" i="3"/>
  <c r="AZ529" i="3"/>
  <c r="AZ537" i="3"/>
  <c r="AZ518" i="3"/>
  <c r="AZ526" i="3"/>
  <c r="AZ546" i="3"/>
  <c r="AZ564" i="3"/>
  <c r="S11" i="36"/>
  <c r="J27" i="37"/>
  <c r="S35" i="34"/>
  <c r="F31" i="39"/>
  <c r="U34" i="34"/>
  <c r="F9" i="33"/>
  <c r="AA9" i="33" s="1"/>
  <c r="J9" i="33"/>
  <c r="J23" i="35"/>
  <c r="H23" i="35"/>
  <c r="AB31" i="36"/>
  <c r="U31" i="36"/>
  <c r="AB30" i="37"/>
  <c r="U30" i="37"/>
  <c r="AC40" i="39"/>
  <c r="W40" i="39"/>
  <c r="J38" i="40"/>
  <c r="AC32" i="40"/>
  <c r="W32" i="40"/>
  <c r="F12" i="35"/>
  <c r="J12" i="35"/>
  <c r="H25" i="37"/>
  <c r="F25" i="37"/>
  <c r="U8" i="39"/>
  <c r="AB8" i="39"/>
  <c r="AB31" i="35"/>
  <c r="U31" i="35"/>
  <c r="AZ458" i="3"/>
  <c r="AZ462" i="3"/>
  <c r="AZ402" i="3"/>
  <c r="AZ406" i="3"/>
  <c r="G587" i="3"/>
  <c r="AZ466" i="3"/>
  <c r="AZ480" i="3"/>
  <c r="BL398" i="3"/>
  <c r="BL403" i="3"/>
  <c r="BA408" i="3"/>
  <c r="AZ408" i="3" s="1"/>
  <c r="BA409" i="3"/>
  <c r="AZ409" i="3" s="1"/>
  <c r="BA411" i="3"/>
  <c r="BL414" i="3"/>
  <c r="BL415" i="3"/>
  <c r="BA417" i="3"/>
  <c r="BL421" i="3"/>
  <c r="BL422" i="3"/>
  <c r="AZ422" i="3" s="1"/>
  <c r="BL425" i="3"/>
  <c r="BL426" i="3"/>
  <c r="BA428" i="3"/>
  <c r="BA429" i="3"/>
  <c r="BA430" i="3"/>
  <c r="AZ430" i="3" s="1"/>
  <c r="BA432" i="3"/>
  <c r="BA434" i="3"/>
  <c r="BA436" i="3"/>
  <c r="BA438" i="3"/>
  <c r="BA446" i="3"/>
  <c r="AZ487" i="3"/>
  <c r="G551" i="3"/>
  <c r="BL550" i="3"/>
  <c r="G542" i="3"/>
  <c r="BL15" i="3"/>
  <c r="AZ15" i="3" s="1"/>
  <c r="BA398" i="3"/>
  <c r="AZ398" i="3" s="1"/>
  <c r="BA399" i="3"/>
  <c r="AZ399" i="3" s="1"/>
  <c r="BL401" i="3"/>
  <c r="AZ401" i="3" s="1"/>
  <c r="BL404" i="3"/>
  <c r="BL405" i="3"/>
  <c r="BL407" i="3"/>
  <c r="BA412" i="3"/>
  <c r="AZ412" i="3" s="1"/>
  <c r="BA414" i="3"/>
  <c r="BA415" i="3"/>
  <c r="BA416" i="3"/>
  <c r="AZ416" i="3" s="1"/>
  <c r="BA418" i="3"/>
  <c r="BA421" i="3"/>
  <c r="BA423" i="3"/>
  <c r="AZ423" i="3" s="1"/>
  <c r="BA425" i="3"/>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BA457" i="3"/>
  <c r="AZ457" i="3" s="1"/>
  <c r="BA459" i="3"/>
  <c r="BA460" i="3"/>
  <c r="AZ460" i="3" s="1"/>
  <c r="BA461" i="3"/>
  <c r="AZ461" i="3" s="1"/>
  <c r="BL464" i="3"/>
  <c r="BL466" i="3"/>
  <c r="G468" i="3"/>
  <c r="G469"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L272" i="3"/>
  <c r="BL273" i="3"/>
  <c r="G274" i="3"/>
  <c r="BA276" i="3"/>
  <c r="BA278" i="3"/>
  <c r="AZ278" i="3" s="1"/>
  <c r="G281" i="3"/>
  <c r="G286" i="3"/>
  <c r="BL286" i="3"/>
  <c r="AZ286" i="3" s="1"/>
  <c r="G289" i="3"/>
  <c r="G295" i="3"/>
  <c r="BA296" i="3"/>
  <c r="BA298" i="3"/>
  <c r="AZ298" i="3" s="1"/>
  <c r="BA301" i="3"/>
  <c r="AZ301" i="3" s="1"/>
  <c r="BA121" i="3"/>
  <c r="AZ121" i="3" s="1"/>
  <c r="BL121" i="3"/>
  <c r="BA134" i="3"/>
  <c r="AZ403" i="3"/>
  <c r="AZ404" i="3"/>
  <c r="AZ405" i="3"/>
  <c r="AZ407" i="3"/>
  <c r="AZ419" i="3"/>
  <c r="AZ444" i="3"/>
  <c r="BL450" i="3"/>
  <c r="BL452" i="3"/>
  <c r="BL456" i="3"/>
  <c r="BA464" i="3"/>
  <c r="BL467"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A216" i="3"/>
  <c r="AZ216" i="3" s="1"/>
  <c r="BA218" i="3"/>
  <c r="AZ218" i="3" s="1"/>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AZ249" i="3" s="1"/>
  <c r="BL249" i="3"/>
  <c r="BA251" i="3"/>
  <c r="BL251" i="3"/>
  <c r="BA253" i="3"/>
  <c r="BL260" i="3"/>
  <c r="BL263" i="3"/>
  <c r="AZ263" i="3" s="1"/>
  <c r="BL270" i="3"/>
  <c r="AZ270" i="3" s="1"/>
  <c r="BA551" i="3"/>
  <c r="AZ551" i="3" s="1"/>
  <c r="BA550" i="3"/>
  <c r="BL548" i="3"/>
  <c r="AZ548" i="3" s="1"/>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A271" i="3"/>
  <c r="BL271" i="3"/>
  <c r="BA273" i="3"/>
  <c r="BA279" i="3"/>
  <c r="G292" i="3"/>
  <c r="BA294" i="3"/>
  <c r="AZ294" i="3" s="1"/>
  <c r="BL301" i="3"/>
  <c r="BL302" i="3"/>
  <c r="BA114" i="3"/>
  <c r="G126" i="3"/>
  <c r="G136" i="3"/>
  <c r="BL177" i="3"/>
  <c r="G179" i="3"/>
  <c r="BL183" i="3"/>
  <c r="AZ183" i="3" s="1"/>
  <c r="BA186" i="3"/>
  <c r="AZ186" i="3" s="1"/>
  <c r="BA190" i="3"/>
  <c r="G196" i="3"/>
  <c r="BA197" i="3"/>
  <c r="AZ197" i="3" s="1"/>
  <c r="BL201" i="3"/>
  <c r="BL203" i="3"/>
  <c r="AZ203" i="3" s="1"/>
  <c r="BA204" i="3"/>
  <c r="AZ204" i="3" s="1"/>
  <c r="BA18" i="3"/>
  <c r="G21" i="3"/>
  <c r="BL21" i="3"/>
  <c r="AZ21" i="3" s="1"/>
  <c r="BA30" i="3"/>
  <c r="BA55" i="3"/>
  <c r="AZ55" i="3" s="1"/>
  <c r="BL57" i="3"/>
  <c r="C47" i="71"/>
  <c r="D47" i="71" s="1"/>
  <c r="D46" i="71"/>
  <c r="V24" i="71"/>
  <c r="E23" i="71"/>
  <c r="E22" i="71" s="1"/>
  <c r="E21" i="71" s="1"/>
  <c r="E20" i="71" s="1"/>
  <c r="BL123" i="3"/>
  <c r="AZ123" i="3" s="1"/>
  <c r="BA128" i="3"/>
  <c r="AZ128" i="3" s="1"/>
  <c r="BL134" i="3"/>
  <c r="BL137" i="3"/>
  <c r="BA146" i="3"/>
  <c r="AZ146" i="3" s="1"/>
  <c r="BA150" i="3"/>
  <c r="AZ150" i="3" s="1"/>
  <c r="AZ177" i="3"/>
  <c r="AZ201" i="3"/>
  <c r="D31" i="71"/>
  <c r="C32" i="71"/>
  <c r="C52" i="71"/>
  <c r="D51" i="71"/>
  <c r="C55" i="71"/>
  <c r="D54" i="71"/>
  <c r="C60" i="71"/>
  <c r="D59" i="71"/>
  <c r="N67" i="71"/>
  <c r="B66" i="71"/>
  <c r="F66" i="71"/>
  <c r="Q67" i="7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L30" i="3"/>
  <c r="BL31" i="3"/>
  <c r="AZ31" i="3" s="1"/>
  <c r="BA41" i="3"/>
  <c r="AZ52" i="3"/>
  <c r="BL54" i="3"/>
  <c r="BA277" i="3"/>
  <c r="BL277" i="3"/>
  <c r="BA282" i="3"/>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BA33" i="3"/>
  <c r="BA36" i="3"/>
  <c r="BL38" i="3"/>
  <c r="AZ38" i="3" s="1"/>
  <c r="BA39" i="3"/>
  <c r="BA43" i="3"/>
  <c r="BL47" i="3"/>
  <c r="AZ47" i="3" s="1"/>
  <c r="G49" i="3"/>
  <c r="C44" i="71"/>
  <c r="D43" i="71"/>
  <c r="BL61" i="3"/>
  <c r="G64" i="3"/>
  <c r="BA64" i="3"/>
  <c r="AZ64" i="3" s="1"/>
  <c r="G67" i="3"/>
  <c r="BL68" i="3"/>
  <c r="BA69" i="3"/>
  <c r="AZ69" i="3" s="1"/>
  <c r="G72" i="3"/>
  <c r="BL73" i="3"/>
  <c r="BA74" i="3"/>
  <c r="AZ74" i="3" s="1"/>
  <c r="BA75" i="3"/>
  <c r="AZ75" i="3" s="1"/>
  <c r="G81" i="3"/>
  <c r="BL85" i="3"/>
  <c r="BA86" i="3"/>
  <c r="AZ86" i="3" s="1"/>
  <c r="BA87" i="3"/>
  <c r="BA91" i="3"/>
  <c r="AZ91" i="3" s="1"/>
  <c r="G96" i="3"/>
  <c r="BL97" i="3"/>
  <c r="AZ97" i="3" s="1"/>
  <c r="BL101" i="3"/>
  <c r="BL102" i="3"/>
  <c r="AZ102" i="3" s="1"/>
  <c r="G104" i="3"/>
  <c r="G105" i="3"/>
  <c r="BL106" i="3"/>
  <c r="BA108" i="3"/>
  <c r="AZ108" i="3" s="1"/>
  <c r="BA110" i="3"/>
  <c r="AZ110" i="3" s="1"/>
  <c r="F3" i="35"/>
  <c r="S21" i="33"/>
  <c r="S21" i="37"/>
  <c r="E75" i="71"/>
  <c r="E74" i="71" s="1"/>
  <c r="AB25" i="71"/>
  <c r="X26" i="71"/>
  <c r="Y25" i="71"/>
  <c r="Z25" i="71" s="1"/>
  <c r="X38" i="71"/>
  <c r="C35" i="71"/>
  <c r="Y29" i="71"/>
  <c r="Z29" i="71" s="1"/>
  <c r="N68" i="71"/>
  <c r="E38" i="71"/>
  <c r="E39" i="71" s="1"/>
  <c r="E40" i="71" s="1"/>
  <c r="U40" i="71" s="1"/>
  <c r="B34" i="71"/>
  <c r="B35" i="71" s="1"/>
  <c r="B36" i="71" s="1"/>
  <c r="S36" i="71" s="1"/>
  <c r="AB32" i="71"/>
  <c r="X33" i="71"/>
  <c r="AB37" i="71"/>
  <c r="G37" i="3"/>
  <c r="BL40" i="3"/>
  <c r="BL41" i="3"/>
  <c r="BL45" i="3"/>
  <c r="BA48" i="3"/>
  <c r="BA49" i="3"/>
  <c r="AZ49" i="3" s="1"/>
  <c r="BA51" i="3"/>
  <c r="AZ51" i="3" s="1"/>
  <c r="G55" i="3"/>
  <c r="BL56" i="3"/>
  <c r="BA58" i="3"/>
  <c r="BL59" i="3"/>
  <c r="AZ59" i="3" s="1"/>
  <c r="BL60" i="3"/>
  <c r="BA61" i="3"/>
  <c r="AZ61" i="3" s="1"/>
  <c r="BA68" i="3"/>
  <c r="BA73" i="3"/>
  <c r="BA80" i="3"/>
  <c r="BL84" i="3"/>
  <c r="BA89" i="3"/>
  <c r="BA103" i="3"/>
  <c r="AZ103" i="3" s="1"/>
  <c r="BA104" i="3"/>
  <c r="BA106" i="3"/>
  <c r="BL108" i="3"/>
  <c r="BL111" i="3"/>
  <c r="AZ111" i="3" s="1"/>
  <c r="U29" i="39"/>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29" i="3"/>
  <c r="BL29" i="3"/>
  <c r="AZ29" i="3" s="1"/>
  <c r="G33" i="3"/>
  <c r="G34" i="3"/>
  <c r="BA37" i="3"/>
  <c r="G39" i="3"/>
  <c r="BL39" i="3"/>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AB21" i="33"/>
  <c r="S21" i="34"/>
  <c r="B88" i="43"/>
  <c r="AZ100" i="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51" i="67"/>
  <c r="F65" i="67"/>
  <c r="J53" i="67"/>
  <c r="J57" i="67"/>
  <c r="J55" i="67" s="1"/>
  <c r="J58" i="67" s="1"/>
  <c r="Q50" i="67" s="1"/>
  <c r="L56" i="67"/>
  <c r="I54" i="67"/>
  <c r="F66" i="67"/>
  <c r="Q71" i="67"/>
  <c r="C27" i="67"/>
  <c r="N59" i="67"/>
  <c r="L59" i="67"/>
  <c r="L58" i="67"/>
  <c r="M59" i="67"/>
  <c r="B13" i="70"/>
  <c r="F68" i="67"/>
  <c r="F64" i="67"/>
  <c r="M29" i="67"/>
  <c r="F7" i="67"/>
  <c r="F43" i="67"/>
  <c r="C76" i="15"/>
  <c r="F7" i="15"/>
  <c r="D7" i="73"/>
  <c r="D3" i="73"/>
  <c r="M24" i="15"/>
  <c r="F26" i="15"/>
  <c r="F6" i="15"/>
  <c r="D9" i="68"/>
  <c r="M28" i="15"/>
  <c r="M26" i="15"/>
  <c r="F43" i="15"/>
  <c r="C36" i="68"/>
  <c r="M6" i="15"/>
  <c r="F8" i="15"/>
  <c r="D4" i="73"/>
  <c r="D5" i="73"/>
  <c r="M29" i="15"/>
  <c r="F13" i="15"/>
  <c r="L47" i="15"/>
  <c r="J15" i="15"/>
  <c r="M23" i="15"/>
  <c r="F37" i="15"/>
  <c r="M8" i="15"/>
  <c r="F38" i="15"/>
  <c r="F42" i="15"/>
  <c r="F36" i="15"/>
  <c r="M9" i="15"/>
  <c r="M22" i="15"/>
  <c r="F40" i="15"/>
  <c r="F9" i="15"/>
  <c r="L48" i="15"/>
  <c r="C16" i="67"/>
  <c r="C36" i="69"/>
  <c r="F16" i="15"/>
  <c r="F71" i="67" l="1"/>
  <c r="M7" i="67"/>
  <c r="J6" i="67" s="1"/>
  <c r="C6" i="67"/>
  <c r="F50" i="67"/>
  <c r="C49" i="67" s="1"/>
  <c r="C25" i="31"/>
  <c r="C29" i="31"/>
  <c r="C33" i="31"/>
  <c r="C37" i="31"/>
  <c r="C41" i="31"/>
  <c r="C45" i="31"/>
  <c r="C49" i="31"/>
  <c r="C53" i="31"/>
  <c r="C57" i="31"/>
  <c r="C61" i="31"/>
  <c r="C65" i="31"/>
  <c r="C69" i="31"/>
  <c r="C73" i="31"/>
  <c r="C77" i="31"/>
  <c r="C81" i="31"/>
  <c r="C85" i="31"/>
  <c r="C89" i="31"/>
  <c r="C93" i="31"/>
  <c r="C97" i="31"/>
  <c r="C101" i="31"/>
  <c r="C105" i="31"/>
  <c r="C109" i="31"/>
  <c r="C113" i="31"/>
  <c r="C117" i="31"/>
  <c r="C121" i="31"/>
  <c r="C125" i="31"/>
  <c r="C129" i="31"/>
  <c r="C133" i="31"/>
  <c r="C137" i="31"/>
  <c r="C141" i="31"/>
  <c r="C145" i="31"/>
  <c r="C149" i="31"/>
  <c r="C153" i="31"/>
  <c r="C157" i="31"/>
  <c r="C161" i="31"/>
  <c r="C165" i="31"/>
  <c r="C169" i="31"/>
  <c r="C173" i="31"/>
  <c r="C177" i="31"/>
  <c r="C26" i="31"/>
  <c r="C30" i="31"/>
  <c r="C34" i="31"/>
  <c r="C38" i="31"/>
  <c r="C42" i="31"/>
  <c r="C46" i="31"/>
  <c r="C50" i="31"/>
  <c r="C54" i="31"/>
  <c r="C58" i="31"/>
  <c r="C62" i="31"/>
  <c r="C66" i="31"/>
  <c r="C70" i="31"/>
  <c r="C74" i="31"/>
  <c r="C78" i="31"/>
  <c r="C82" i="31"/>
  <c r="C86" i="31"/>
  <c r="C90" i="31"/>
  <c r="C94" i="31"/>
  <c r="C98" i="31"/>
  <c r="C102" i="31"/>
  <c r="C106" i="31"/>
  <c r="C110" i="31"/>
  <c r="C114" i="31"/>
  <c r="C118" i="31"/>
  <c r="C122" i="31"/>
  <c r="C126" i="31"/>
  <c r="C130" i="31"/>
  <c r="C134" i="31"/>
  <c r="C138" i="31"/>
  <c r="C142" i="31"/>
  <c r="C146" i="31"/>
  <c r="C150" i="31"/>
  <c r="C154" i="31"/>
  <c r="C158" i="31"/>
  <c r="C162" i="31"/>
  <c r="C166" i="31"/>
  <c r="C170" i="31"/>
  <c r="C174" i="31"/>
  <c r="C178" i="31"/>
  <c r="B22" i="31"/>
  <c r="B14" i="74" s="1"/>
  <c r="C31" i="31"/>
  <c r="C35" i="31"/>
  <c r="C39" i="31"/>
  <c r="C43" i="31"/>
  <c r="C47" i="31"/>
  <c r="C51" i="31"/>
  <c r="C55" i="31"/>
  <c r="C59" i="31"/>
  <c r="C63" i="31"/>
  <c r="C67" i="31"/>
  <c r="C71" i="31"/>
  <c r="C75" i="31"/>
  <c r="C79" i="31"/>
  <c r="C83" i="31"/>
  <c r="C87" i="31"/>
  <c r="C91" i="31"/>
  <c r="C95" i="31"/>
  <c r="C99" i="31"/>
  <c r="C103" i="31"/>
  <c r="C107" i="31"/>
  <c r="C111" i="31"/>
  <c r="C115" i="31"/>
  <c r="C119" i="31"/>
  <c r="C123" i="31"/>
  <c r="C127" i="31"/>
  <c r="C131" i="31"/>
  <c r="C135" i="31"/>
  <c r="C139" i="31"/>
  <c r="C143" i="31"/>
  <c r="C147" i="31"/>
  <c r="C151" i="31"/>
  <c r="C155" i="31"/>
  <c r="C159" i="31"/>
  <c r="C163" i="31"/>
  <c r="C167" i="31"/>
  <c r="C171" i="31"/>
  <c r="C175" i="31"/>
  <c r="C179" i="31"/>
  <c r="C28" i="31"/>
  <c r="C32" i="31"/>
  <c r="C36" i="31"/>
  <c r="C40" i="31"/>
  <c r="C44" i="31"/>
  <c r="C48" i="31"/>
  <c r="C52" i="31"/>
  <c r="C56" i="31"/>
  <c r="C60" i="31"/>
  <c r="C64" i="31"/>
  <c r="C68" i="31"/>
  <c r="C72" i="31"/>
  <c r="C76" i="31"/>
  <c r="C80" i="31"/>
  <c r="C84" i="31"/>
  <c r="C88" i="31"/>
  <c r="C92" i="31"/>
  <c r="C96" i="31"/>
  <c r="C100" i="31"/>
  <c r="C104" i="31"/>
  <c r="C108" i="31"/>
  <c r="C112" i="31"/>
  <c r="C116" i="31"/>
  <c r="C120" i="31"/>
  <c r="C124" i="31"/>
  <c r="C128" i="31"/>
  <c r="C132" i="31"/>
  <c r="C136" i="31"/>
  <c r="C140" i="31"/>
  <c r="C144" i="31"/>
  <c r="C148" i="31"/>
  <c r="C152" i="31"/>
  <c r="C156" i="31"/>
  <c r="C160" i="31"/>
  <c r="C164" i="31"/>
  <c r="C168" i="31"/>
  <c r="C172" i="31"/>
  <c r="C176" i="31"/>
  <c r="C180" i="31"/>
  <c r="AP6" i="1"/>
  <c r="W27" i="31"/>
  <c r="X27" i="31" s="1"/>
  <c r="N370" i="46"/>
  <c r="E26" i="43"/>
  <c r="F48" i="9"/>
  <c r="O52" i="9" s="1"/>
  <c r="F52" i="9"/>
  <c r="F28" i="15"/>
  <c r="C28" i="15" s="1"/>
  <c r="D68" i="9"/>
  <c r="F31" i="12"/>
  <c r="C31" i="12" s="1"/>
  <c r="F32" i="15"/>
  <c r="F60" i="15" s="1"/>
  <c r="F30" i="68"/>
  <c r="F32" i="67"/>
  <c r="F60" i="67" s="1"/>
  <c r="F54" i="9"/>
  <c r="F28" i="67"/>
  <c r="C28" i="67" s="1"/>
  <c r="F30" i="69"/>
  <c r="F66" i="15"/>
  <c r="C27" i="15"/>
  <c r="F68" i="15"/>
  <c r="F71" i="15"/>
  <c r="F64" i="15"/>
  <c r="F51" i="15"/>
  <c r="F65" i="15"/>
  <c r="H26" i="43"/>
  <c r="F26" i="43"/>
  <c r="E59" i="40"/>
  <c r="G26" i="43"/>
  <c r="N94" i="46"/>
  <c r="P6" i="1"/>
  <c r="C13" i="12" s="1"/>
  <c r="E11" i="6"/>
  <c r="E60" i="39" s="1"/>
  <c r="D17" i="53"/>
  <c r="B36" i="72" s="1"/>
  <c r="F31" i="15"/>
  <c r="F50" i="15"/>
  <c r="F59" i="15" s="1"/>
  <c r="M7" i="15"/>
  <c r="J6" i="15" s="1"/>
  <c r="J18" i="15" s="1"/>
  <c r="C6" i="15"/>
  <c r="C32" i="15" s="1"/>
  <c r="Q71" i="15"/>
  <c r="M59" i="15"/>
  <c r="L59" i="15"/>
  <c r="Q74" i="15" s="1"/>
  <c r="N59" i="15"/>
  <c r="L58" i="15"/>
  <c r="Q60" i="15" s="1"/>
  <c r="J53" i="15"/>
  <c r="L56" i="15" s="1"/>
  <c r="J57" i="15"/>
  <c r="J55" i="15" s="1"/>
  <c r="J58" i="15" s="1"/>
  <c r="Q50" i="15" s="1"/>
  <c r="I54" i="15"/>
  <c r="E29" i="6"/>
  <c r="K15" i="1" s="1"/>
  <c r="K16" i="1" s="1"/>
  <c r="G30" i="6"/>
  <c r="G31" i="6" s="1"/>
  <c r="T28" i="71"/>
  <c r="D28" i="71"/>
  <c r="U28" i="71" s="1"/>
  <c r="C27" i="71"/>
  <c r="D79" i="71"/>
  <c r="C78" i="71"/>
  <c r="D78" i="71" s="1"/>
  <c r="D44" i="71"/>
  <c r="T44" i="71"/>
  <c r="AZ39" i="3"/>
  <c r="AZ41" i="3"/>
  <c r="AZ27" i="3"/>
  <c r="N65" i="71"/>
  <c r="N66" i="71"/>
  <c r="T32" i="71"/>
  <c r="D32" i="71"/>
  <c r="AZ418" i="3"/>
  <c r="W12" i="35"/>
  <c r="AC12" i="35"/>
  <c r="AC38" i="40"/>
  <c r="W38" i="40"/>
  <c r="AC23" i="35"/>
  <c r="W23" i="35"/>
  <c r="AA31" i="39"/>
  <c r="S31" i="39"/>
  <c r="S29" i="33"/>
  <c r="AA29" i="33"/>
  <c r="AB9" i="34"/>
  <c r="U9" i="34"/>
  <c r="W11" i="35"/>
  <c r="AC11" i="35"/>
  <c r="AB36" i="39"/>
  <c r="U36" i="39"/>
  <c r="AA32" i="36"/>
  <c r="S32" i="36"/>
  <c r="G5" i="3"/>
  <c r="B3" i="3" s="1"/>
  <c r="E63" i="3" s="1"/>
  <c r="D83" i="71"/>
  <c r="C82" i="71"/>
  <c r="D82" i="71" s="1"/>
  <c r="O65" i="71"/>
  <c r="D66" i="71"/>
  <c r="O66" i="71"/>
  <c r="AZ58" i="3"/>
  <c r="AZ277" i="3"/>
  <c r="C56" i="71"/>
  <c r="D55" i="71"/>
  <c r="AZ271" i="3"/>
  <c r="AZ210" i="3"/>
  <c r="AZ464" i="3"/>
  <c r="AZ454" i="3"/>
  <c r="AZ425" i="3"/>
  <c r="AZ429" i="3"/>
  <c r="AC9" i="33"/>
  <c r="W9" i="33"/>
  <c r="W32" i="34"/>
  <c r="AC32" i="34"/>
  <c r="S45" i="39"/>
  <c r="AA45" i="39"/>
  <c r="U12" i="34"/>
  <c r="AB12" i="34"/>
  <c r="S36" i="39"/>
  <c r="AA36" i="39"/>
  <c r="AC9" i="36"/>
  <c r="W9" i="36"/>
  <c r="G16" i="1"/>
  <c r="F10" i="39" s="1"/>
  <c r="AA10" i="39" s="1"/>
  <c r="C40" i="71"/>
  <c r="D39" i="71"/>
  <c r="C36" i="71"/>
  <c r="D35" i="71"/>
  <c r="AZ130" i="3"/>
  <c r="AZ190" i="3"/>
  <c r="AZ241" i="3"/>
  <c r="AZ491" i="3"/>
  <c r="AZ251" i="3"/>
  <c r="AZ247" i="3"/>
  <c r="AZ229" i="3"/>
  <c r="AZ332" i="3"/>
  <c r="AZ415" i="3"/>
  <c r="AZ428" i="3"/>
  <c r="AZ411" i="3"/>
  <c r="AA25" i="37"/>
  <c r="S25" i="37"/>
  <c r="AC27" i="37"/>
  <c r="W27" i="37"/>
  <c r="AB43" i="39"/>
  <c r="U43" i="39"/>
  <c r="AZ573" i="3"/>
  <c r="U45" i="39"/>
  <c r="AB45" i="39"/>
  <c r="AZ101" i="3"/>
  <c r="C70" i="71"/>
  <c r="D70" i="71" s="1"/>
  <c r="D71" i="71"/>
  <c r="AZ282" i="3"/>
  <c r="D60" i="71"/>
  <c r="T60" i="71"/>
  <c r="T52" i="71"/>
  <c r="D52" i="71"/>
  <c r="AZ273" i="3"/>
  <c r="AZ256" i="3"/>
  <c r="AZ397" i="3"/>
  <c r="AZ550" i="3"/>
  <c r="AZ459" i="3"/>
  <c r="AZ421" i="3"/>
  <c r="AZ414" i="3"/>
  <c r="AZ432" i="3"/>
  <c r="AZ417" i="3"/>
  <c r="U25" i="37"/>
  <c r="AB25" i="37"/>
  <c r="U23" i="35"/>
  <c r="AB23" i="35"/>
  <c r="U14" i="40"/>
  <c r="AB14" i="40"/>
  <c r="AC9" i="34"/>
  <c r="W9" i="34"/>
  <c r="S11" i="35"/>
  <c r="AA11" i="35"/>
  <c r="W12" i="34"/>
  <c r="AC12" i="34"/>
  <c r="AB32" i="36"/>
  <c r="U32" i="36"/>
  <c r="J7" i="37"/>
  <c r="K1" i="73"/>
  <c r="E241" i="3"/>
  <c r="E405" i="3"/>
  <c r="E115" i="3"/>
  <c r="E422" i="3"/>
  <c r="E137" i="3"/>
  <c r="E365" i="3"/>
  <c r="E155" i="3"/>
  <c r="E47" i="3"/>
  <c r="E66" i="3"/>
  <c r="E187" i="3"/>
  <c r="E207" i="3"/>
  <c r="E546" i="3"/>
  <c r="E523" i="3"/>
  <c r="E280" i="3"/>
  <c r="E429" i="3"/>
  <c r="E580" i="3"/>
  <c r="E366" i="3"/>
  <c r="E229" i="3"/>
  <c r="E294" i="3"/>
  <c r="E45" i="3"/>
  <c r="E571" i="3"/>
  <c r="E515" i="3"/>
  <c r="E27" i="3"/>
  <c r="E44" i="3"/>
  <c r="E143" i="3"/>
  <c r="E538" i="3"/>
  <c r="E185" i="3"/>
  <c r="E134" i="3"/>
  <c r="E495" i="3"/>
  <c r="E77" i="3"/>
  <c r="K6" i="3"/>
  <c r="E465" i="3"/>
  <c r="E454" i="3"/>
  <c r="E227" i="3"/>
  <c r="E327" i="3"/>
  <c r="E400" i="3"/>
  <c r="E211" i="3"/>
  <c r="E109" i="3"/>
  <c r="E322" i="3"/>
  <c r="E514" i="3"/>
  <c r="E387" i="3"/>
  <c r="E69" i="3"/>
  <c r="E191" i="3"/>
  <c r="E385" i="3"/>
  <c r="E200"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U7" i="36"/>
  <c r="F7" i="33"/>
  <c r="E58" i="21"/>
  <c r="AC7" i="36"/>
  <c r="V36" i="36" s="1"/>
  <c r="I36" i="36" s="1"/>
  <c r="W7" i="36"/>
  <c r="F7" i="37"/>
  <c r="M17" i="67"/>
  <c r="P28" i="43"/>
  <c r="B66" i="40" s="1"/>
  <c r="P25" i="43"/>
  <c r="P29" i="43"/>
  <c r="P27" i="43"/>
  <c r="B70" i="39" s="1"/>
  <c r="Q60" i="67"/>
  <c r="Q73" i="67"/>
  <c r="M11" i="67"/>
  <c r="J10" i="67" s="1"/>
  <c r="J5" i="67" s="1"/>
  <c r="F11" i="15"/>
  <c r="M11" i="15"/>
  <c r="J10" i="15" s="1"/>
  <c r="F11" i="67"/>
  <c r="J18" i="67"/>
  <c r="F1" i="67"/>
  <c r="Q52" i="67"/>
  <c r="Q61" i="67"/>
  <c r="Q74" i="67"/>
  <c r="AE11" i="1"/>
  <c r="AE9" i="1"/>
  <c r="AE7" i="1"/>
  <c r="AE8" i="1"/>
  <c r="AE12" i="1"/>
  <c r="AE10" i="1"/>
  <c r="F27" i="68"/>
  <c r="F27" i="69"/>
  <c r="C16" i="15"/>
  <c r="G1" i="73"/>
  <c r="D9" i="69"/>
  <c r="E336" i="3" l="1"/>
  <c r="E448" i="3"/>
  <c r="E213" i="3"/>
  <c r="E471" i="3"/>
  <c r="E312" i="3"/>
  <c r="E276" i="3"/>
  <c r="E34" i="3"/>
  <c r="F45" i="69"/>
  <c r="C47" i="69"/>
  <c r="D45" i="69" s="1"/>
  <c r="C29" i="69"/>
  <c r="D27" i="69" s="1"/>
  <c r="C9" i="69"/>
  <c r="E118" i="3"/>
  <c r="E487" i="3"/>
  <c r="E296" i="3"/>
  <c r="E445" i="3"/>
  <c r="E431" i="3"/>
  <c r="E489" i="3"/>
  <c r="E214" i="3"/>
  <c r="AK6" i="3"/>
  <c r="E361" i="3"/>
  <c r="E508" i="3"/>
  <c r="E318" i="3"/>
  <c r="E117" i="3"/>
  <c r="E121" i="3"/>
  <c r="E177" i="3"/>
  <c r="E501" i="3"/>
  <c r="E306" i="3"/>
  <c r="E48" i="3"/>
  <c r="E123" i="3"/>
  <c r="E158" i="3"/>
  <c r="F48" i="69"/>
  <c r="C48" i="69"/>
  <c r="C30" i="69"/>
  <c r="F48" i="68"/>
  <c r="C30" i="68"/>
  <c r="C48" i="68"/>
  <c r="C32" i="67"/>
  <c r="E212" i="3"/>
  <c r="E539" i="3"/>
  <c r="R6" i="3"/>
  <c r="E449" i="3"/>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536" i="3"/>
  <c r="E502"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430" i="3"/>
  <c r="E479" i="3"/>
  <c r="E292" i="3"/>
  <c r="E484" i="3"/>
  <c r="E249" i="3"/>
  <c r="E33" i="3"/>
  <c r="E81" i="3"/>
  <c r="E281" i="3"/>
  <c r="E199" i="3"/>
  <c r="E554" i="3"/>
  <c r="E95" i="3"/>
  <c r="E389" i="3"/>
  <c r="E64" i="3"/>
  <c r="E310" i="3"/>
  <c r="E233" i="3"/>
  <c r="E309" i="3"/>
  <c r="AL6" i="3"/>
  <c r="E235" i="3"/>
  <c r="E102" i="3"/>
  <c r="E173" i="3"/>
  <c r="E408" i="3"/>
  <c r="E420" i="3"/>
  <c r="E428" i="3"/>
  <c r="E49" i="3"/>
  <c r="E16" i="3"/>
  <c r="E543" i="3"/>
  <c r="AH6" i="3"/>
  <c r="E108" i="3"/>
  <c r="L6" i="3"/>
  <c r="E38" i="3"/>
  <c r="E299" i="3"/>
  <c r="E52" i="3"/>
  <c r="E340" i="3"/>
  <c r="E176" i="3"/>
  <c r="E101" i="3"/>
  <c r="E460" i="3"/>
  <c r="E521" i="3"/>
  <c r="E51" i="3"/>
  <c r="E500" i="3"/>
  <c r="E138" i="3"/>
  <c r="E19" i="3"/>
  <c r="E297" i="3"/>
  <c r="E341" i="3"/>
  <c r="E259" i="3"/>
  <c r="AD6" i="3"/>
  <c r="E154" i="3"/>
  <c r="E98" i="3"/>
  <c r="E136" i="3"/>
  <c r="E313" i="3"/>
  <c r="E288" i="3"/>
  <c r="E168" i="3"/>
  <c r="E93" i="3"/>
  <c r="E379" i="3"/>
  <c r="E547" i="3"/>
  <c r="E126" i="3"/>
  <c r="E29" i="3"/>
  <c r="E328" i="3"/>
  <c r="E97" i="3"/>
  <c r="E418" i="3"/>
  <c r="E304" i="3"/>
  <c r="E221"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575" i="3"/>
  <c r="E517" i="3"/>
  <c r="E152" i="3"/>
  <c r="E544" i="3"/>
  <c r="E46" i="3"/>
  <c r="E492" i="3"/>
  <c r="E355" i="3"/>
  <c r="E513" i="3"/>
  <c r="E42" i="3"/>
  <c r="E383" i="3"/>
  <c r="E113" i="3"/>
  <c r="E525" i="3"/>
  <c r="E451" i="3"/>
  <c r="E26" i="3"/>
  <c r="E412" i="3"/>
  <c r="E232" i="3"/>
  <c r="E188" i="3"/>
  <c r="E427" i="3"/>
  <c r="J6" i="3"/>
  <c r="E178" i="3"/>
  <c r="E60" i="3"/>
  <c r="E170" i="3"/>
  <c r="E339" i="3"/>
  <c r="E112" i="3"/>
  <c r="E364" i="3"/>
  <c r="E218" i="3"/>
  <c r="E141" i="3"/>
  <c r="E90" i="3"/>
  <c r="E65" i="3"/>
  <c r="E244" i="3"/>
  <c r="E520" i="3"/>
  <c r="E209" i="3"/>
  <c r="E149" i="3"/>
  <c r="E375" i="3"/>
  <c r="E373" i="3"/>
  <c r="E163" i="3"/>
  <c r="E459" i="3"/>
  <c r="E167" i="3"/>
  <c r="E127" i="3"/>
  <c r="E352" i="3"/>
  <c r="E532" i="3"/>
  <c r="E537" i="3"/>
  <c r="E208" i="3"/>
  <c r="E397" i="3"/>
  <c r="E411" i="3"/>
  <c r="E403" i="3"/>
  <c r="E272" i="3"/>
  <c r="E319" i="3"/>
  <c r="O6" i="3"/>
  <c r="E390" i="3"/>
  <c r="E321" i="3"/>
  <c r="E565" i="3"/>
  <c r="E254"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61" i="3"/>
  <c r="E337" i="3"/>
  <c r="E343" i="3"/>
  <c r="E384" i="3"/>
  <c r="AS6" i="3"/>
  <c r="E271" i="3"/>
  <c r="E150" i="3"/>
  <c r="E527" i="3"/>
  <c r="E314" i="3"/>
  <c r="E578" i="3"/>
  <c r="E395" i="3"/>
  <c r="V6" i="3"/>
  <c r="E516" i="3"/>
  <c r="E30" i="3"/>
  <c r="E444" i="3"/>
  <c r="E164" i="3"/>
  <c r="E256" i="3"/>
  <c r="E424" i="3"/>
  <c r="E128" i="3"/>
  <c r="E402" i="3"/>
  <c r="E169" i="3"/>
  <c r="E285" i="3"/>
  <c r="AM6" i="3"/>
  <c r="E432" i="3"/>
  <c r="E14" i="3"/>
  <c r="E438" i="3"/>
  <c r="E122" i="3"/>
  <c r="E87" i="3"/>
  <c r="E39" i="3"/>
  <c r="E582" i="3"/>
  <c r="E446" i="3"/>
  <c r="E250" i="3"/>
  <c r="E398" i="3"/>
  <c r="E62" i="3"/>
  <c r="AQ6" i="3"/>
  <c r="E15" i="3"/>
  <c r="E463" i="3"/>
  <c r="E393" i="3"/>
  <c r="E324" i="3"/>
  <c r="E13" i="3"/>
  <c r="E205" i="3"/>
  <c r="E96" i="3"/>
  <c r="E67" i="3"/>
  <c r="E417" i="3"/>
  <c r="H10" i="39"/>
  <c r="U10" i="39" s="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AR6" i="3"/>
  <c r="E555" i="3"/>
  <c r="E530" i="3"/>
  <c r="E331" i="3"/>
  <c r="E505" i="3"/>
  <c r="E269" i="3"/>
  <c r="E111" i="3"/>
  <c r="E458" i="3"/>
  <c r="E85" i="3"/>
  <c r="E382" i="3"/>
  <c r="E415" i="3"/>
  <c r="E551" i="3"/>
  <c r="E239" i="3"/>
  <c r="E334" i="3"/>
  <c r="E581" i="3"/>
  <c r="E252" i="3"/>
  <c r="E203" i="3"/>
  <c r="E481" i="3"/>
  <c r="E434" i="3"/>
  <c r="E303" i="3"/>
  <c r="E298" i="3"/>
  <c r="E574" i="3"/>
  <c r="E317" i="3"/>
  <c r="E548" i="3"/>
  <c r="E257" i="3"/>
  <c r="E474" i="3"/>
  <c r="E82" i="3"/>
  <c r="E488" i="3"/>
  <c r="E374" i="3"/>
  <c r="E464" i="3"/>
  <c r="E57" i="3"/>
  <c r="E24" i="3"/>
  <c r="E552" i="3"/>
  <c r="E50" i="3"/>
  <c r="E392" i="3"/>
  <c r="E473" i="3"/>
  <c r="E401" i="3"/>
  <c r="E105" i="3"/>
  <c r="E220" i="3"/>
  <c r="E497" i="3"/>
  <c r="E22" i="3"/>
  <c r="E18" i="3"/>
  <c r="E267" i="3"/>
  <c r="E541" i="3"/>
  <c r="S10" i="39"/>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E270" i="3"/>
  <c r="E388" i="3"/>
  <c r="E175" i="3"/>
  <c r="E162" i="3"/>
  <c r="E478" i="3"/>
  <c r="E31" i="3"/>
  <c r="E450" i="3"/>
  <c r="E193" i="3"/>
  <c r="E583" i="3"/>
  <c r="E290" i="3"/>
  <c r="E230" i="3"/>
  <c r="E151" i="3"/>
  <c r="E553" i="3"/>
  <c r="E166" i="3"/>
  <c r="P6" i="3"/>
  <c r="E32" i="3"/>
  <c r="E496" i="3"/>
  <c r="E330" i="3"/>
  <c r="AA6" i="3"/>
  <c r="E302" i="3"/>
  <c r="E506" i="3"/>
  <c r="E153" i="3"/>
  <c r="E92" i="3"/>
  <c r="E145" i="3"/>
  <c r="E475" i="3"/>
  <c r="E224" i="3"/>
  <c r="E504" i="3"/>
  <c r="Y6" i="3"/>
  <c r="E584" i="3"/>
  <c r="E284" i="3"/>
  <c r="E421" i="3"/>
  <c r="E58" i="3"/>
  <c r="E524" i="3"/>
  <c r="E147" i="3"/>
  <c r="E234" i="3"/>
  <c r="E346" i="3"/>
  <c r="E440" i="3"/>
  <c r="E326" i="3"/>
  <c r="E225" i="3"/>
  <c r="E456" i="3"/>
  <c r="E206" i="3"/>
  <c r="E198" i="3"/>
  <c r="E409" i="3"/>
  <c r="D26" i="43"/>
  <c r="C25" i="43" s="1"/>
  <c r="C33" i="43" s="1"/>
  <c r="C6" i="69" s="1"/>
  <c r="C7" i="69" s="1"/>
  <c r="C49" i="15"/>
  <c r="E3" i="6"/>
  <c r="I3" i="6"/>
  <c r="E442" i="3"/>
  <c r="E286" i="3"/>
  <c r="E510" i="3"/>
  <c r="J10" i="39"/>
  <c r="W10" i="39" s="1"/>
  <c r="H10" i="40"/>
  <c r="AB10" i="40" s="1"/>
  <c r="J10" i="40"/>
  <c r="AC10" i="40" s="1"/>
  <c r="F10" i="40"/>
  <c r="S10" i="40" s="1"/>
  <c r="Q73" i="15"/>
  <c r="M17" i="15"/>
  <c r="F1" i="15"/>
  <c r="Q52" i="15"/>
  <c r="Q61" i="15"/>
  <c r="J5" i="15"/>
  <c r="J24" i="15" s="1"/>
  <c r="D56" i="71"/>
  <c r="T56" i="71"/>
  <c r="D36" i="71"/>
  <c r="T36" i="71"/>
  <c r="E255" i="3"/>
  <c r="E466" i="3"/>
  <c r="E499" i="3"/>
  <c r="T40" i="71"/>
  <c r="D40"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15"/>
  <c r="AE6" i="1"/>
  <c r="F41" i="15"/>
  <c r="M27" i="67"/>
  <c r="C48" i="15" l="1"/>
  <c r="C66" i="15" s="1"/>
  <c r="U10" i="40"/>
  <c r="H6" i="3"/>
  <c r="AC6" i="3"/>
  <c r="W10" i="40"/>
  <c r="D116" i="43"/>
  <c r="AA10" i="40"/>
  <c r="F25" i="12"/>
  <c r="C26" i="12" s="1"/>
  <c r="D25" i="12" s="1"/>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F41" i="67"/>
  <c r="C34" i="69"/>
  <c r="C14" i="67"/>
  <c r="D10" i="69"/>
  <c r="C17" i="67"/>
  <c r="D10" i="68"/>
  <c r="C17" i="15"/>
  <c r="F69" i="67" l="1"/>
  <c r="H25" i="6"/>
  <c r="E6" i="3"/>
  <c r="C44" i="11"/>
  <c r="D41" i="11" s="1"/>
  <c r="C26" i="11"/>
  <c r="D22" i="11" s="1"/>
  <c r="C44" i="68"/>
  <c r="D41" i="68" s="1"/>
  <c r="C26" i="68"/>
  <c r="D22" i="68" s="1"/>
  <c r="C25" i="11"/>
  <c r="C24" i="11"/>
  <c r="C44" i="69"/>
  <c r="D41" i="69" s="1"/>
  <c r="C26" i="69"/>
  <c r="D22" i="69" s="1"/>
  <c r="C16" i="71"/>
  <c r="D17"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C34" i="68"/>
  <c r="C5" i="69" l="1"/>
  <c r="B29" i="1"/>
  <c r="C18" i="12" s="1"/>
  <c r="B3" i="43"/>
  <c r="C6" i="68"/>
  <c r="C7" i="68" s="1"/>
  <c r="C5" i="68" s="1"/>
  <c r="C23" i="68" s="1"/>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B3" i="69"/>
  <c r="C102" i="9" l="1"/>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Q69" i="67" l="1"/>
  <c r="Q68" i="67" s="1"/>
  <c r="H42" i="67"/>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0"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D2" i="37"/>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2" i="1"/>
  <c r="AO9" i="1"/>
  <c r="AO7"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c r="B58" i="40"/>
  <c r="F58" i="40" s="1"/>
  <c r="B54" i="40"/>
  <c r="F54" i="40" s="1"/>
  <c r="B53" i="40"/>
  <c r="F53" i="40" s="1"/>
  <c r="B59" i="40"/>
  <c r="F59" i="40" s="1"/>
  <c r="B52" i="40"/>
  <c r="F52" i="40" s="1"/>
  <c r="B56" i="40"/>
  <c r="F56" i="40" s="1"/>
  <c r="B60" i="40"/>
  <c r="F60" i="40" s="1"/>
  <c r="B57" i="40"/>
  <c r="F57" i="40" s="1"/>
  <c r="B51" i="40"/>
  <c r="F51" i="40" s="1"/>
  <c r="F61" i="40"/>
  <c r="B2" i="40" s="1"/>
  <c r="B3" i="40" s="1"/>
  <c r="D35" i="9"/>
  <c r="D34" i="9"/>
  <c r="G118" i="9" l="1"/>
  <c r="G4" i="52" s="1"/>
  <c r="B52" i="72" s="1"/>
  <c r="I118" i="9"/>
  <c r="I4" i="52" s="1"/>
  <c r="F118" i="9" l="1"/>
  <c r="F119" i="9" s="1"/>
  <c r="F5" i="52" s="1"/>
  <c r="B53" i="72" s="1"/>
  <c r="H118" i="9"/>
  <c r="H119" i="9" s="1"/>
  <c r="H5" i="52" s="1"/>
  <c r="C105" i="9"/>
  <c r="E118" i="9"/>
  <c r="H102" i="9"/>
  <c r="R24" i="31" s="1"/>
  <c r="AG22" i="31" s="1"/>
  <c r="S24" i="31" l="1"/>
  <c r="L4" i="80" s="1"/>
  <c r="F4" i="52"/>
  <c r="B51" i="72" s="1"/>
  <c r="H4" i="52"/>
  <c r="H101" i="9"/>
  <c r="H107" i="9" s="1"/>
  <c r="C104" i="9"/>
  <c r="D118" i="9"/>
  <c r="E4" i="52"/>
  <c r="B48" i="72" s="1"/>
  <c r="D7" i="53"/>
  <c r="B21" i="72" s="1"/>
  <c r="K29" i="31" l="1"/>
  <c r="AG21" i="31"/>
  <c r="V24" i="31"/>
  <c r="O4" i="80" s="1"/>
  <c r="K33" i="31"/>
  <c r="K37" i="31"/>
  <c r="K41" i="31"/>
  <c r="K45" i="31"/>
  <c r="K49" i="31"/>
  <c r="K53" i="31"/>
  <c r="K57" i="31"/>
  <c r="K61" i="31"/>
  <c r="K65" i="31"/>
  <c r="K69" i="31"/>
  <c r="K73" i="31"/>
  <c r="K77" i="31"/>
  <c r="K81" i="31"/>
  <c r="K85" i="31"/>
  <c r="K89" i="31"/>
  <c r="K93" i="31"/>
  <c r="K97" i="31"/>
  <c r="K101" i="31"/>
  <c r="K105" i="31"/>
  <c r="K109" i="31"/>
  <c r="K113" i="31"/>
  <c r="K117" i="31"/>
  <c r="K121" i="31"/>
  <c r="K125" i="31"/>
  <c r="K129" i="31"/>
  <c r="K133" i="31"/>
  <c r="K137" i="31"/>
  <c r="K141" i="31"/>
  <c r="K145" i="31"/>
  <c r="K149" i="31"/>
  <c r="K153" i="31"/>
  <c r="K157" i="31"/>
  <c r="K161" i="31"/>
  <c r="K165" i="31"/>
  <c r="K169" i="31"/>
  <c r="K173" i="31"/>
  <c r="K177" i="31"/>
  <c r="K181" i="31"/>
  <c r="K185" i="31"/>
  <c r="K189" i="31"/>
  <c r="K193" i="31"/>
  <c r="K197" i="31"/>
  <c r="K201" i="31"/>
  <c r="K205" i="31"/>
  <c r="K209" i="31"/>
  <c r="K213" i="31"/>
  <c r="K217" i="31"/>
  <c r="K221" i="31"/>
  <c r="K225" i="31"/>
  <c r="K229" i="31"/>
  <c r="K233" i="31"/>
  <c r="K237" i="31"/>
  <c r="K241" i="31"/>
  <c r="K245" i="31"/>
  <c r="K249" i="31"/>
  <c r="K253" i="31"/>
  <c r="K257" i="31"/>
  <c r="K261" i="31"/>
  <c r="K265" i="31"/>
  <c r="K269" i="31"/>
  <c r="K273" i="31"/>
  <c r="K277" i="31"/>
  <c r="K281" i="31"/>
  <c r="K285" i="31"/>
  <c r="K289" i="31"/>
  <c r="K293" i="31"/>
  <c r="K297" i="31"/>
  <c r="K301" i="31"/>
  <c r="K305" i="31"/>
  <c r="K309" i="31"/>
  <c r="K313" i="31"/>
  <c r="K317" i="31"/>
  <c r="K321" i="31"/>
  <c r="K325" i="31"/>
  <c r="K329" i="31"/>
  <c r="K333" i="31"/>
  <c r="K337" i="31"/>
  <c r="K341" i="31"/>
  <c r="K345" i="31"/>
  <c r="K349" i="31"/>
  <c r="K353" i="31"/>
  <c r="K357" i="31"/>
  <c r="K361" i="31"/>
  <c r="K365" i="31"/>
  <c r="K30" i="31"/>
  <c r="K34" i="31"/>
  <c r="K38" i="31"/>
  <c r="K42" i="31"/>
  <c r="K46" i="31"/>
  <c r="K50" i="31"/>
  <c r="K54" i="31"/>
  <c r="K58" i="31"/>
  <c r="K62" i="31"/>
  <c r="K66" i="31"/>
  <c r="K70" i="31"/>
  <c r="K74" i="31"/>
  <c r="K78" i="31"/>
  <c r="K82" i="31"/>
  <c r="K86" i="31"/>
  <c r="K90" i="31"/>
  <c r="K94" i="31"/>
  <c r="K98" i="31"/>
  <c r="K102" i="31"/>
  <c r="K106" i="31"/>
  <c r="K110" i="31"/>
  <c r="K114" i="31"/>
  <c r="K118" i="31"/>
  <c r="K122" i="31"/>
  <c r="K126" i="31"/>
  <c r="K130" i="31"/>
  <c r="K134" i="31"/>
  <c r="K138" i="31"/>
  <c r="K142" i="31"/>
  <c r="K146" i="31"/>
  <c r="K150" i="31"/>
  <c r="K154" i="31"/>
  <c r="K158" i="31"/>
  <c r="K162" i="31"/>
  <c r="K166" i="31"/>
  <c r="K170" i="31"/>
  <c r="K174" i="31"/>
  <c r="K178" i="31"/>
  <c r="K182" i="31"/>
  <c r="K186" i="31"/>
  <c r="K190" i="31"/>
  <c r="K194" i="31"/>
  <c r="K198" i="31"/>
  <c r="K202" i="31"/>
  <c r="K206" i="31"/>
  <c r="K210" i="31"/>
  <c r="K214" i="31"/>
  <c r="K218" i="31"/>
  <c r="K222" i="31"/>
  <c r="K226" i="31"/>
  <c r="K230" i="31"/>
  <c r="K234" i="31"/>
  <c r="K238" i="31"/>
  <c r="K242" i="31"/>
  <c r="K246" i="31"/>
  <c r="K250" i="31"/>
  <c r="K254" i="31"/>
  <c r="K258" i="31"/>
  <c r="K262" i="31"/>
  <c r="K266" i="31"/>
  <c r="K270" i="31"/>
  <c r="K274" i="31"/>
  <c r="K278" i="31"/>
  <c r="K282" i="31"/>
  <c r="K286" i="31"/>
  <c r="K290" i="31"/>
  <c r="K294" i="31"/>
  <c r="K298" i="31"/>
  <c r="K302" i="31"/>
  <c r="K306" i="31"/>
  <c r="K310" i="31"/>
  <c r="K314" i="31"/>
  <c r="K318" i="31"/>
  <c r="K322" i="31"/>
  <c r="K326" i="31"/>
  <c r="K330" i="31"/>
  <c r="K334" i="31"/>
  <c r="K338" i="31"/>
  <c r="K31" i="31"/>
  <c r="K35" i="31"/>
  <c r="K39" i="31"/>
  <c r="K43" i="31"/>
  <c r="K47" i="31"/>
  <c r="K51" i="31"/>
  <c r="K55" i="31"/>
  <c r="K59" i="31"/>
  <c r="K63" i="31"/>
  <c r="K67" i="31"/>
  <c r="K71" i="31"/>
  <c r="K75" i="31"/>
  <c r="K79" i="31"/>
  <c r="K83" i="31"/>
  <c r="K87" i="31"/>
  <c r="K91" i="31"/>
  <c r="K95" i="31"/>
  <c r="K99" i="31"/>
  <c r="K103" i="31"/>
  <c r="K107" i="31"/>
  <c r="K111" i="31"/>
  <c r="K115" i="31"/>
  <c r="K119" i="31"/>
  <c r="K123" i="31"/>
  <c r="K127" i="31"/>
  <c r="K131" i="31"/>
  <c r="K135" i="31"/>
  <c r="K139" i="31"/>
  <c r="K143" i="31"/>
  <c r="K147" i="31"/>
  <c r="K151" i="31"/>
  <c r="K155" i="31"/>
  <c r="K159" i="31"/>
  <c r="K163" i="31"/>
  <c r="K167" i="31"/>
  <c r="K171" i="31"/>
  <c r="K175" i="31"/>
  <c r="K179" i="31"/>
  <c r="K183" i="31"/>
  <c r="K187" i="31"/>
  <c r="K191" i="31"/>
  <c r="K195" i="31"/>
  <c r="K199" i="31"/>
  <c r="K203" i="31"/>
  <c r="K207" i="31"/>
  <c r="K211" i="31"/>
  <c r="K215" i="31"/>
  <c r="K219" i="31"/>
  <c r="K223" i="31"/>
  <c r="K227" i="31"/>
  <c r="K231" i="31"/>
  <c r="K235" i="31"/>
  <c r="K239" i="31"/>
  <c r="K243" i="31"/>
  <c r="K247" i="31"/>
  <c r="K251" i="31"/>
  <c r="K255" i="31"/>
  <c r="K259" i="31"/>
  <c r="K263" i="31"/>
  <c r="K267" i="31"/>
  <c r="K271" i="31"/>
  <c r="K275" i="31"/>
  <c r="K279" i="31"/>
  <c r="K283" i="31"/>
  <c r="K287" i="31"/>
  <c r="K291" i="31"/>
  <c r="K295" i="31"/>
  <c r="K299" i="31"/>
  <c r="K303" i="31"/>
  <c r="K307" i="31"/>
  <c r="K311" i="31"/>
  <c r="K315" i="31"/>
  <c r="K319" i="31"/>
  <c r="K323" i="31"/>
  <c r="K327" i="31"/>
  <c r="K331" i="31"/>
  <c r="K32" i="31"/>
  <c r="K36" i="31"/>
  <c r="K40" i="31"/>
  <c r="K44" i="31"/>
  <c r="K48" i="31"/>
  <c r="K52" i="31"/>
  <c r="K56" i="31"/>
  <c r="K60" i="31"/>
  <c r="K64" i="31"/>
  <c r="K68" i="31"/>
  <c r="K72" i="31"/>
  <c r="K76" i="31"/>
  <c r="K80" i="31"/>
  <c r="K84" i="31"/>
  <c r="K88" i="31"/>
  <c r="K92" i="31"/>
  <c r="K96" i="31"/>
  <c r="K100" i="31"/>
  <c r="K104" i="31"/>
  <c r="K108" i="31"/>
  <c r="K112" i="31"/>
  <c r="K116" i="31"/>
  <c r="K120" i="31"/>
  <c r="K124" i="31"/>
  <c r="K128" i="31"/>
  <c r="K132" i="31"/>
  <c r="K136" i="31"/>
  <c r="K140" i="31"/>
  <c r="K144" i="31"/>
  <c r="K148" i="31"/>
  <c r="K152" i="31"/>
  <c r="K156" i="31"/>
  <c r="K160" i="31"/>
  <c r="K164" i="31"/>
  <c r="K168" i="31"/>
  <c r="K172" i="31"/>
  <c r="K176" i="31"/>
  <c r="K180" i="31"/>
  <c r="K184" i="31"/>
  <c r="K188" i="31"/>
  <c r="K192" i="31"/>
  <c r="K196" i="31"/>
  <c r="K200" i="31"/>
  <c r="K204" i="31"/>
  <c r="K208" i="31"/>
  <c r="K212" i="31"/>
  <c r="K216" i="31"/>
  <c r="K220" i="31"/>
  <c r="K224" i="31"/>
  <c r="K228" i="31"/>
  <c r="K232" i="31"/>
  <c r="K236" i="31"/>
  <c r="K240" i="31"/>
  <c r="K244" i="31"/>
  <c r="K248" i="31"/>
  <c r="K252" i="31"/>
  <c r="K256" i="31"/>
  <c r="K260" i="31"/>
  <c r="K264" i="31"/>
  <c r="K268" i="31"/>
  <c r="K272" i="31"/>
  <c r="K276" i="31"/>
  <c r="K280" i="31"/>
  <c r="K284" i="31"/>
  <c r="K288" i="31"/>
  <c r="K292" i="31"/>
  <c r="K296" i="31"/>
  <c r="K300" i="31"/>
  <c r="K304" i="31"/>
  <c r="K308" i="31"/>
  <c r="K312" i="31"/>
  <c r="K316" i="31"/>
  <c r="K320" i="31"/>
  <c r="K324" i="31"/>
  <c r="K328" i="31"/>
  <c r="K332" i="31"/>
  <c r="K336" i="31"/>
  <c r="K340" i="31"/>
  <c r="K335" i="31"/>
  <c r="K344" i="31"/>
  <c r="K350" i="31"/>
  <c r="K355" i="31"/>
  <c r="K360" i="31"/>
  <c r="K366" i="31"/>
  <c r="K370" i="31"/>
  <c r="K374" i="31"/>
  <c r="K378" i="31"/>
  <c r="K382" i="31"/>
  <c r="K386" i="31"/>
  <c r="K390" i="31"/>
  <c r="K394" i="31"/>
  <c r="K398" i="31"/>
  <c r="K402" i="31"/>
  <c r="K406" i="31"/>
  <c r="K410" i="31"/>
  <c r="K414" i="31"/>
  <c r="K418" i="31"/>
  <c r="K422" i="31"/>
  <c r="K426" i="31"/>
  <c r="K430" i="31"/>
  <c r="K434" i="31"/>
  <c r="K438" i="31"/>
  <c r="K442" i="31"/>
  <c r="K446" i="31"/>
  <c r="K450" i="31"/>
  <c r="K454" i="31"/>
  <c r="K458" i="31"/>
  <c r="K462" i="31"/>
  <c r="K466" i="31"/>
  <c r="K470" i="31"/>
  <c r="K474" i="31"/>
  <c r="K478" i="31"/>
  <c r="K482" i="31"/>
  <c r="K486" i="31"/>
  <c r="K490" i="31"/>
  <c r="K494" i="31"/>
  <c r="K498" i="31"/>
  <c r="K502" i="31"/>
  <c r="K506" i="31"/>
  <c r="K510" i="31"/>
  <c r="K514" i="31"/>
  <c r="K518" i="31"/>
  <c r="K522" i="31"/>
  <c r="K339" i="31"/>
  <c r="K346" i="31"/>
  <c r="K351" i="31"/>
  <c r="K356" i="31"/>
  <c r="K362" i="31"/>
  <c r="K367" i="31"/>
  <c r="K371" i="31"/>
  <c r="K375" i="31"/>
  <c r="K379" i="31"/>
  <c r="K383" i="31"/>
  <c r="K387" i="31"/>
  <c r="K391" i="31"/>
  <c r="K395" i="31"/>
  <c r="K399" i="31"/>
  <c r="K403" i="31"/>
  <c r="K407" i="31"/>
  <c r="K411" i="31"/>
  <c r="K415" i="31"/>
  <c r="K419" i="31"/>
  <c r="K423" i="31"/>
  <c r="K427" i="31"/>
  <c r="K431" i="31"/>
  <c r="K435" i="31"/>
  <c r="K439" i="31"/>
  <c r="K443" i="31"/>
  <c r="K447" i="31"/>
  <c r="K451" i="31"/>
  <c r="K455" i="31"/>
  <c r="K459" i="31"/>
  <c r="K463" i="31"/>
  <c r="K467" i="31"/>
  <c r="K471" i="31"/>
  <c r="K475" i="31"/>
  <c r="K479" i="31"/>
  <c r="K483" i="31"/>
  <c r="K487" i="31"/>
  <c r="K491" i="31"/>
  <c r="K495" i="31"/>
  <c r="K499" i="31"/>
  <c r="K503" i="31"/>
  <c r="K507" i="31"/>
  <c r="K511" i="31"/>
  <c r="K515" i="31"/>
  <c r="K519" i="31"/>
  <c r="K523" i="31"/>
  <c r="K28" i="31"/>
  <c r="K342" i="31"/>
  <c r="K347" i="31"/>
  <c r="K352" i="31"/>
  <c r="K358" i="31"/>
  <c r="K363" i="31"/>
  <c r="K368" i="31"/>
  <c r="K372" i="31"/>
  <c r="K376" i="31"/>
  <c r="K380" i="31"/>
  <c r="K384" i="31"/>
  <c r="K388" i="31"/>
  <c r="K392" i="31"/>
  <c r="K396" i="31"/>
  <c r="K400" i="31"/>
  <c r="K404" i="31"/>
  <c r="K408" i="31"/>
  <c r="K412" i="31"/>
  <c r="K416" i="31"/>
  <c r="K420" i="31"/>
  <c r="K424" i="31"/>
  <c r="K428" i="31"/>
  <c r="K432" i="31"/>
  <c r="K436" i="31"/>
  <c r="K440" i="31"/>
  <c r="K444" i="31"/>
  <c r="K448" i="31"/>
  <c r="K452" i="31"/>
  <c r="K456" i="31"/>
  <c r="K460" i="31"/>
  <c r="K464" i="31"/>
  <c r="K468" i="31"/>
  <c r="K472" i="31"/>
  <c r="K476" i="31"/>
  <c r="K480" i="31"/>
  <c r="K484" i="31"/>
  <c r="K488" i="31"/>
  <c r="K492" i="31"/>
  <c r="K496" i="31"/>
  <c r="K500" i="31"/>
  <c r="K504" i="31"/>
  <c r="K508" i="31"/>
  <c r="K512" i="31"/>
  <c r="K516" i="31"/>
  <c r="K520" i="31"/>
  <c r="K524" i="31"/>
  <c r="K25" i="31"/>
  <c r="K27" i="31"/>
  <c r="K343" i="31"/>
  <c r="K348" i="31"/>
  <c r="K354" i="31"/>
  <c r="K359" i="31"/>
  <c r="K364" i="31"/>
  <c r="K369" i="31"/>
  <c r="K373" i="31"/>
  <c r="K377" i="31"/>
  <c r="K381" i="31"/>
  <c r="K385" i="31"/>
  <c r="K389" i="31"/>
  <c r="K393" i="31"/>
  <c r="K397" i="31"/>
  <c r="K401" i="31"/>
  <c r="K405" i="31"/>
  <c r="K409" i="31"/>
  <c r="K413" i="31"/>
  <c r="K417" i="31"/>
  <c r="K421" i="31"/>
  <c r="K425" i="31"/>
  <c r="K429" i="31"/>
  <c r="K433" i="31"/>
  <c r="K437" i="31"/>
  <c r="K441" i="31"/>
  <c r="K445" i="31"/>
  <c r="K449" i="31"/>
  <c r="K453" i="31"/>
  <c r="K457" i="31"/>
  <c r="K461" i="31"/>
  <c r="K465" i="31"/>
  <c r="K469" i="31"/>
  <c r="K473" i="31"/>
  <c r="K477" i="31"/>
  <c r="K481" i="31"/>
  <c r="K485" i="31"/>
  <c r="K489" i="31"/>
  <c r="K493" i="31"/>
  <c r="K497" i="31"/>
  <c r="K501" i="31"/>
  <c r="K505" i="31"/>
  <c r="K509" i="31"/>
  <c r="K513" i="31"/>
  <c r="K517" i="31"/>
  <c r="K521" i="31"/>
  <c r="K26" i="31"/>
  <c r="T24" i="31"/>
  <c r="M4" i="80" s="1"/>
  <c r="U24" i="31"/>
  <c r="N4" i="80" s="1"/>
  <c r="M48" i="9"/>
  <c r="D5" i="53"/>
  <c r="D6" i="53" s="1"/>
  <c r="B22" i="72" s="1"/>
  <c r="D45" i="9"/>
  <c r="D55" i="9" s="1"/>
  <c r="M53" i="9" s="1"/>
  <c r="M49" i="9"/>
  <c r="H108" i="9"/>
  <c r="D13" i="53"/>
  <c r="D122" i="9"/>
  <c r="D119" i="9"/>
  <c r="D5" i="52" s="1"/>
  <c r="B49" i="72" s="1"/>
  <c r="D4" i="52"/>
  <c r="B47" i="72" s="1"/>
  <c r="W24" i="31" l="1"/>
  <c r="D52" i="9"/>
  <c r="C72" i="9"/>
  <c r="C85" i="9"/>
  <c r="B20" i="72"/>
  <c r="C78" i="9"/>
  <c r="C73" i="9" s="1"/>
  <c r="C64" i="9"/>
  <c r="C63" i="9" s="1"/>
  <c r="C67" i="9" s="1"/>
  <c r="C68" i="9" s="1"/>
  <c r="D54" i="9" s="1"/>
  <c r="C93" i="9"/>
  <c r="C86" i="9" s="1"/>
  <c r="D53" i="9"/>
  <c r="D15" i="53"/>
  <c r="B31" i="72" s="1"/>
  <c r="B30" i="72"/>
  <c r="D14" i="53"/>
  <c r="B32" i="72" s="1"/>
  <c r="L64" i="9"/>
  <c r="M64" i="9" s="1"/>
  <c r="L68" i="9"/>
  <c r="M68" i="9" s="1"/>
  <c r="L65" i="9"/>
  <c r="M65" i="9" s="1"/>
  <c r="L66" i="9"/>
  <c r="M66" i="9" s="1"/>
  <c r="L63" i="9"/>
  <c r="M63" i="9" s="1"/>
  <c r="L67" i="9"/>
  <c r="M67" i="9" s="1"/>
  <c r="D8" i="52"/>
  <c r="D123" i="9"/>
  <c r="D9" i="52" s="1"/>
  <c r="X24" i="31" l="1"/>
  <c r="Q4" i="80" s="1"/>
  <c r="P4" i="80"/>
  <c r="C95" i="9"/>
  <c r="C96" i="9" s="1"/>
  <c r="E96" i="9" s="1"/>
  <c r="E97" i="9" s="1"/>
  <c r="C79" i="9"/>
  <c r="C80" i="9" s="1"/>
  <c r="E80" i="9" s="1"/>
  <c r="E81" i="9" s="1"/>
  <c r="D59" i="9"/>
  <c r="M55" i="9" s="1"/>
  <c r="M69" i="9"/>
  <c r="N69" i="9" s="1"/>
  <c r="C81" i="9" l="1"/>
  <c r="C97" i="9"/>
  <c r="D58" i="9" s="1"/>
  <c r="D56" i="9" s="1"/>
  <c r="M54" i="9" s="1"/>
  <c r="N57" i="9" s="1"/>
  <c r="N58" i="9" s="1"/>
  <c r="P57" i="9" l="1"/>
  <c r="N59" i="9"/>
  <c r="N60" i="9" s="1"/>
  <c r="H111" i="9"/>
  <c r="N61" i="9" l="1"/>
  <c r="H112" i="9" s="1"/>
  <c r="D21" i="53" s="1"/>
  <c r="B39" i="72" s="1"/>
  <c r="D126" i="9"/>
  <c r="D19" i="53"/>
  <c r="D20" i="53" l="1"/>
  <c r="B40" i="72" s="1"/>
  <c r="B38" i="72"/>
  <c r="D127" i="9"/>
  <c r="D13" i="52" s="1"/>
  <c r="D12" i="52"/>
  <c r="M81" i="31"/>
  <c r="M129" i="31"/>
  <c r="M173" i="31"/>
  <c r="M60" i="31"/>
  <c r="M94" i="31"/>
  <c r="M44" i="31"/>
  <c r="M59" i="31"/>
  <c r="M144" i="31"/>
  <c r="M146" i="31"/>
  <c r="M45" i="31"/>
  <c r="M102" i="31"/>
  <c r="M180" i="31"/>
  <c r="M118" i="31"/>
  <c r="M126" i="31"/>
  <c r="M133" i="31"/>
  <c r="M117" i="31"/>
  <c r="M52" i="31"/>
  <c r="M90" i="31"/>
  <c r="M41" i="31"/>
  <c r="M96" i="31"/>
  <c r="M110" i="31"/>
  <c r="M79" i="31"/>
  <c r="M68" i="31"/>
  <c r="M145" i="31"/>
  <c r="M123" i="31"/>
  <c r="M168" i="31"/>
  <c r="M84" i="31"/>
  <c r="M132" i="31"/>
  <c r="M95" i="31"/>
  <c r="M172" i="31"/>
  <c r="M99" i="31"/>
  <c r="M51" i="31"/>
  <c r="M33" i="31"/>
  <c r="M159" i="31"/>
  <c r="M54" i="31"/>
  <c r="M153" i="31"/>
  <c r="M124" i="31"/>
  <c r="M85" i="31"/>
  <c r="M26" i="31"/>
  <c r="M65" i="31"/>
  <c r="M107" i="31"/>
  <c r="M100" i="31"/>
  <c r="M39" i="31"/>
  <c r="M58" i="31"/>
  <c r="M77" i="31"/>
  <c r="M34" i="31"/>
  <c r="M147" i="31"/>
  <c r="M179" i="31"/>
  <c r="M101" i="31"/>
  <c r="M178" i="31"/>
  <c r="M106" i="31"/>
  <c r="M93" i="31"/>
  <c r="M56" i="31"/>
  <c r="M80" i="31"/>
  <c r="M115" i="31"/>
  <c r="M43" i="31"/>
  <c r="M158" i="31"/>
  <c r="M149" i="31"/>
  <c r="M78" i="31"/>
  <c r="M83" i="31"/>
  <c r="M151" i="31"/>
  <c r="M164" i="31"/>
  <c r="M114" i="31"/>
  <c r="M37" i="31"/>
  <c r="M120" i="31"/>
  <c r="M112" i="31"/>
  <c r="M142" i="31"/>
  <c r="M156" i="31"/>
  <c r="M73" i="31"/>
  <c r="M135" i="31"/>
  <c r="M29" i="31"/>
  <c r="M136" i="31"/>
  <c r="M48" i="31"/>
  <c r="M171" i="31"/>
  <c r="M160" i="31"/>
  <c r="M82" i="31"/>
  <c r="M70" i="31"/>
  <c r="M166" i="31"/>
  <c r="M71" i="31"/>
  <c r="M130" i="31"/>
  <c r="M177" i="31"/>
  <c r="M89" i="31"/>
  <c r="M92" i="31"/>
  <c r="M148" i="31"/>
  <c r="M154" i="31"/>
  <c r="M167" i="31"/>
  <c r="M97" i="31"/>
  <c r="M98" i="31"/>
  <c r="M40" i="31"/>
  <c r="M32" i="31"/>
  <c r="M87" i="31"/>
  <c r="M74" i="31"/>
  <c r="M116" i="31"/>
  <c r="M38" i="31"/>
  <c r="M152" i="31"/>
  <c r="M127" i="31"/>
  <c r="M49" i="31"/>
  <c r="M128" i="31"/>
  <c r="M50" i="31"/>
  <c r="M47" i="31"/>
  <c r="M140" i="31"/>
  <c r="M157" i="31"/>
  <c r="M170" i="31"/>
  <c r="M131" i="31"/>
  <c r="M108" i="31"/>
  <c r="M103" i="31"/>
  <c r="M122" i="31"/>
  <c r="M109" i="31"/>
  <c r="M137" i="31"/>
  <c r="M143" i="31"/>
  <c r="M121" i="31"/>
  <c r="M67" i="31"/>
  <c r="M150" i="31"/>
  <c r="M163" i="31"/>
  <c r="M155" i="31"/>
  <c r="M174" i="31"/>
  <c r="M165" i="31"/>
  <c r="M139" i="31"/>
  <c r="M169" i="31"/>
  <c r="M175" i="31"/>
  <c r="M76" i="31"/>
  <c r="M66" i="31"/>
  <c r="M134" i="31"/>
  <c r="M75" i="31"/>
  <c r="M63" i="31"/>
  <c r="M28" i="31"/>
  <c r="M35" i="31"/>
  <c r="M138" i="31"/>
  <c r="M161" i="31"/>
  <c r="M162" i="31"/>
  <c r="M86" i="31"/>
  <c r="M62" i="31"/>
  <c r="M69" i="31"/>
  <c r="M53" i="31"/>
  <c r="M57" i="31"/>
  <c r="M61" i="31"/>
  <c r="M42" i="31"/>
  <c r="M30" i="31"/>
  <c r="M125" i="31"/>
  <c r="M64" i="31"/>
  <c r="M141" i="31"/>
  <c r="M46" i="31"/>
  <c r="M119" i="31"/>
  <c r="M105" i="31"/>
  <c r="M176" i="31"/>
  <c r="M36" i="31"/>
  <c r="M113" i="31"/>
  <c r="M91" i="31"/>
  <c r="M104" i="31"/>
  <c r="M111" i="31"/>
  <c r="M72" i="31"/>
  <c r="M31" i="31"/>
  <c r="M55" i="31"/>
  <c r="M88" i="31"/>
  <c r="M205" i="31"/>
  <c r="M269" i="31"/>
  <c r="M285" i="31"/>
  <c r="M301" i="31"/>
  <c r="M317" i="31"/>
  <c r="M333" i="31"/>
  <c r="M349" i="31"/>
  <c r="M365" i="31"/>
  <c r="M194" i="31"/>
  <c r="M210" i="31"/>
  <c r="M226" i="31"/>
  <c r="M242" i="31"/>
  <c r="M258" i="31"/>
  <c r="M274" i="31"/>
  <c r="M290" i="31"/>
  <c r="M306" i="31"/>
  <c r="M322" i="31"/>
  <c r="M338" i="31"/>
  <c r="M192" i="31"/>
  <c r="M224" i="31"/>
  <c r="M256" i="31"/>
  <c r="M288" i="31"/>
  <c r="M320" i="31"/>
  <c r="M351" i="31"/>
  <c r="M371" i="31"/>
  <c r="M387" i="31"/>
  <c r="M403" i="31"/>
  <c r="M203" i="31"/>
  <c r="M235" i="31"/>
  <c r="M267" i="31"/>
  <c r="M299" i="31"/>
  <c r="M331" i="31"/>
  <c r="M358" i="31"/>
  <c r="M376" i="31"/>
  <c r="M392" i="31"/>
  <c r="M408" i="31"/>
  <c r="M424" i="31"/>
  <c r="M440" i="31"/>
  <c r="M456" i="31"/>
  <c r="M472" i="31"/>
  <c r="M488" i="31"/>
  <c r="M504" i="31"/>
  <c r="M520" i="31"/>
  <c r="M300" i="31"/>
  <c r="M359" i="31"/>
  <c r="M204" i="31"/>
  <c r="M236" i="31"/>
  <c r="M276" i="31"/>
  <c r="M340" i="31"/>
  <c r="M191" i="31"/>
  <c r="M319" i="31"/>
  <c r="M389" i="31"/>
  <c r="M438" i="31"/>
  <c r="M507" i="31"/>
  <c r="M189" i="31"/>
  <c r="M253" i="31"/>
  <c r="M193" i="31"/>
  <c r="M209" i="31"/>
  <c r="M225" i="31"/>
  <c r="M241" i="31"/>
  <c r="M257" i="31"/>
  <c r="M273" i="31"/>
  <c r="M289" i="31"/>
  <c r="M305" i="31"/>
  <c r="M321" i="31"/>
  <c r="M337" i="31"/>
  <c r="M353" i="31"/>
  <c r="M182" i="31"/>
  <c r="M198" i="31"/>
  <c r="M214" i="31"/>
  <c r="M230" i="31"/>
  <c r="M246" i="31"/>
  <c r="M262" i="31"/>
  <c r="M278" i="31"/>
  <c r="M294" i="31"/>
  <c r="M310" i="31"/>
  <c r="M326" i="31"/>
  <c r="M342" i="31"/>
  <c r="M200" i="31"/>
  <c r="M232" i="31"/>
  <c r="M264" i="31"/>
  <c r="M296" i="31"/>
  <c r="M328" i="31"/>
  <c r="M356" i="31"/>
  <c r="M375" i="31"/>
  <c r="M391" i="31"/>
  <c r="M407" i="31"/>
  <c r="M211" i="31"/>
  <c r="M243" i="31"/>
  <c r="M275" i="31"/>
  <c r="M307" i="31"/>
  <c r="M339" i="31"/>
  <c r="M363" i="31"/>
  <c r="M380" i="31"/>
  <c r="M396" i="31"/>
  <c r="M412" i="31"/>
  <c r="M428" i="31"/>
  <c r="M444" i="31"/>
  <c r="M460" i="31"/>
  <c r="M476" i="31"/>
  <c r="M492" i="31"/>
  <c r="M508" i="31"/>
  <c r="M524" i="31"/>
  <c r="M316" i="31"/>
  <c r="M369" i="31"/>
  <c r="M212" i="31"/>
  <c r="M252" i="31"/>
  <c r="M292" i="31"/>
  <c r="M354" i="31"/>
  <c r="M223" i="31"/>
  <c r="M350" i="31"/>
  <c r="M397" i="31"/>
  <c r="M443" i="31"/>
  <c r="M183" i="31"/>
  <c r="M221" i="31"/>
  <c r="M181" i="31"/>
  <c r="M197" i="31"/>
  <c r="M213" i="31"/>
  <c r="M229" i="31"/>
  <c r="M245" i="31"/>
  <c r="M261" i="31"/>
  <c r="M277" i="31"/>
  <c r="M293" i="31"/>
  <c r="M309" i="31"/>
  <c r="M325" i="31"/>
  <c r="M341" i="31"/>
  <c r="M357" i="31"/>
  <c r="M186" i="31"/>
  <c r="M202" i="31"/>
  <c r="M218" i="31"/>
  <c r="M234" i="31"/>
  <c r="M250" i="31"/>
  <c r="M266" i="31"/>
  <c r="M282" i="31"/>
  <c r="M298" i="31"/>
  <c r="M314" i="31"/>
  <c r="M330" i="31"/>
  <c r="M346" i="31"/>
  <c r="M208" i="31"/>
  <c r="M240" i="31"/>
  <c r="M272" i="31"/>
  <c r="M304" i="31"/>
  <c r="M336" i="31"/>
  <c r="M362" i="31"/>
  <c r="M379" i="31"/>
  <c r="M395" i="31"/>
  <c r="M187" i="31"/>
  <c r="M219" i="31"/>
  <c r="M251" i="31"/>
  <c r="M283" i="31"/>
  <c r="M315" i="31"/>
  <c r="M347" i="31"/>
  <c r="M368" i="31"/>
  <c r="M384" i="31"/>
  <c r="M400" i="31"/>
  <c r="M416" i="31"/>
  <c r="M432" i="31"/>
  <c r="M448" i="31"/>
  <c r="M464" i="31"/>
  <c r="M480" i="31"/>
  <c r="M496" i="31"/>
  <c r="M512" i="31"/>
  <c r="M244" i="31"/>
  <c r="M332" i="31"/>
  <c r="M188" i="31"/>
  <c r="M220" i="31"/>
  <c r="M260" i="31"/>
  <c r="M308" i="31"/>
  <c r="M364" i="31"/>
  <c r="M255" i="31"/>
  <c r="M370" i="31"/>
  <c r="M417" i="31"/>
  <c r="M465" i="31"/>
  <c r="M421" i="31"/>
  <c r="M237" i="31"/>
  <c r="M185" i="31"/>
  <c r="M201" i="31"/>
  <c r="M217" i="31"/>
  <c r="M233" i="31"/>
  <c r="M249" i="31"/>
  <c r="M265" i="31"/>
  <c r="M281" i="31"/>
  <c r="M297" i="31"/>
  <c r="M313" i="31"/>
  <c r="M329" i="31"/>
  <c r="M345" i="31"/>
  <c r="M361" i="31"/>
  <c r="M190" i="31"/>
  <c r="M206" i="31"/>
  <c r="M222" i="31"/>
  <c r="M238" i="31"/>
  <c r="M254" i="31"/>
  <c r="M270" i="31"/>
  <c r="M286" i="31"/>
  <c r="M302" i="31"/>
  <c r="M318" i="31"/>
  <c r="M334" i="31"/>
  <c r="M184" i="31"/>
  <c r="M216" i="31"/>
  <c r="M248" i="31"/>
  <c r="M280" i="31"/>
  <c r="M312" i="31"/>
  <c r="M344" i="31"/>
  <c r="M367" i="31"/>
  <c r="M383" i="31"/>
  <c r="M399" i="31"/>
  <c r="M195" i="31"/>
  <c r="M227" i="31"/>
  <c r="M259" i="31"/>
  <c r="M291" i="31"/>
  <c r="M323" i="31"/>
  <c r="M352" i="31"/>
  <c r="M372" i="31"/>
  <c r="M388" i="31"/>
  <c r="M404" i="31"/>
  <c r="M420" i="31"/>
  <c r="M436" i="31"/>
  <c r="M452" i="31"/>
  <c r="M468" i="31"/>
  <c r="M484" i="31"/>
  <c r="M500" i="31"/>
  <c r="M516" i="31"/>
  <c r="M284" i="31"/>
  <c r="M348" i="31"/>
  <c r="M196" i="31"/>
  <c r="M228" i="31"/>
  <c r="M268" i="31"/>
  <c r="M324" i="31"/>
  <c r="M373" i="31"/>
  <c r="M287" i="31"/>
  <c r="M381" i="31"/>
  <c r="M422" i="31"/>
  <c r="M486" i="31"/>
  <c r="M490" i="31"/>
  <c r="M231" i="31"/>
  <c r="M355" i="31"/>
  <c r="M398" i="31"/>
  <c r="M423" i="31"/>
  <c r="M445" i="31"/>
  <c r="M466" i="31"/>
  <c r="M487" i="31"/>
  <c r="M509" i="31"/>
  <c r="M279" i="31"/>
  <c r="M426" i="31"/>
  <c r="M485" i="31"/>
  <c r="M239" i="31"/>
  <c r="M360" i="31"/>
  <c r="M401" i="31"/>
  <c r="M425" i="31"/>
  <c r="M446" i="31"/>
  <c r="M467" i="31"/>
  <c r="M489" i="31"/>
  <c r="M510" i="31"/>
  <c r="M247" i="31"/>
  <c r="M431" i="31"/>
  <c r="M495" i="31"/>
  <c r="M405" i="31"/>
  <c r="M427" i="31"/>
  <c r="M449" i="31"/>
  <c r="M470" i="31"/>
  <c r="M491" i="31"/>
  <c r="M513" i="31"/>
  <c r="M311" i="31"/>
  <c r="M437" i="31"/>
  <c r="M506" i="31"/>
  <c r="M263" i="31"/>
  <c r="M374" i="31"/>
  <c r="M406" i="31"/>
  <c r="M429" i="31"/>
  <c r="M450" i="31"/>
  <c r="M471" i="31"/>
  <c r="M493" i="31"/>
  <c r="M514" i="31"/>
  <c r="M366" i="31"/>
  <c r="M442" i="31"/>
  <c r="M501" i="31"/>
  <c r="M271" i="31"/>
  <c r="M377" i="31"/>
  <c r="M409" i="31"/>
  <c r="M430" i="31"/>
  <c r="M451" i="31"/>
  <c r="M473" i="31"/>
  <c r="M494" i="31"/>
  <c r="M515" i="31"/>
  <c r="M343" i="31"/>
  <c r="M447" i="31"/>
  <c r="M511" i="31"/>
  <c r="M411" i="31"/>
  <c r="M433" i="31"/>
  <c r="M454" i="31"/>
  <c r="M475" i="31"/>
  <c r="M497" i="31"/>
  <c r="M518" i="31"/>
  <c r="M378" i="31"/>
  <c r="M453" i="31"/>
  <c r="M522" i="31"/>
  <c r="M295" i="31"/>
  <c r="M382" i="31"/>
  <c r="M413" i="31"/>
  <c r="M434" i="31"/>
  <c r="M455" i="31"/>
  <c r="M477" i="31"/>
  <c r="M498" i="31"/>
  <c r="M519" i="31"/>
  <c r="M394" i="31"/>
  <c r="M458" i="31"/>
  <c r="M517" i="31"/>
  <c r="M303" i="31"/>
  <c r="M385" i="31"/>
  <c r="M414" i="31"/>
  <c r="M435" i="31"/>
  <c r="M457" i="31"/>
  <c r="M478" i="31"/>
  <c r="M499" i="31"/>
  <c r="M521" i="31"/>
  <c r="M386" i="31"/>
  <c r="M463" i="31"/>
  <c r="M459" i="31"/>
  <c r="M481" i="31"/>
  <c r="M502" i="31"/>
  <c r="M523" i="31"/>
  <c r="M402" i="31"/>
  <c r="M469" i="31"/>
  <c r="M199" i="31"/>
  <c r="M327" i="31"/>
  <c r="M390" i="31"/>
  <c r="M418" i="31"/>
  <c r="M439" i="31"/>
  <c r="M461" i="31"/>
  <c r="M482" i="31"/>
  <c r="M503" i="31"/>
  <c r="M215" i="31"/>
  <c r="M410" i="31"/>
  <c r="M474" i="31"/>
  <c r="M207" i="31"/>
  <c r="M335" i="31"/>
  <c r="M393" i="31"/>
  <c r="M419" i="31"/>
  <c r="M441" i="31"/>
  <c r="M462" i="31"/>
  <c r="M483" i="31"/>
  <c r="M505" i="31"/>
  <c r="M27" i="31"/>
  <c r="M415" i="31"/>
  <c r="M479" i="31"/>
  <c r="M25" i="31"/>
  <c r="O83" i="31"/>
  <c r="R83" i="31" s="1"/>
  <c r="S83" i="31" s="1"/>
  <c r="L60" i="80" s="1"/>
  <c r="O153" i="31"/>
  <c r="R153" i="31" s="1"/>
  <c r="S153" i="31" s="1"/>
  <c r="L130" i="80" s="1"/>
  <c r="O68" i="31"/>
  <c r="R68" i="31" s="1"/>
  <c r="S68" i="31" s="1"/>
  <c r="L45" i="80" s="1"/>
  <c r="O81" i="31"/>
  <c r="R81" i="31" s="1"/>
  <c r="S81" i="31" s="1"/>
  <c r="L58" i="80" s="1"/>
  <c r="O80" i="31"/>
  <c r="R80" i="31" s="1"/>
  <c r="S80" i="31" s="1"/>
  <c r="L57" i="80" s="1"/>
  <c r="O172" i="31"/>
  <c r="R172" i="31" s="1"/>
  <c r="S172" i="31" s="1"/>
  <c r="L149" i="80" s="1"/>
  <c r="O79" i="31"/>
  <c r="R79" i="31" s="1"/>
  <c r="S79" i="31" s="1"/>
  <c r="L56" i="80" s="1"/>
  <c r="O117" i="31"/>
  <c r="R117" i="31" s="1"/>
  <c r="S117" i="31" s="1"/>
  <c r="L94" i="80" s="1"/>
  <c r="O159" i="31"/>
  <c r="R159" i="31" s="1"/>
  <c r="S159" i="31" s="1"/>
  <c r="L136" i="80" s="1"/>
  <c r="O56" i="31"/>
  <c r="R56" i="31" s="1"/>
  <c r="S56" i="31" s="1"/>
  <c r="L33" i="80" s="1"/>
  <c r="O173" i="31"/>
  <c r="R173" i="31" s="1"/>
  <c r="S173" i="31" s="1"/>
  <c r="L150" i="80" s="1"/>
  <c r="O34" i="31"/>
  <c r="R34" i="31" s="1"/>
  <c r="S34" i="31" s="1"/>
  <c r="L11" i="80" s="1"/>
  <c r="O180" i="31"/>
  <c r="R180" i="31" s="1"/>
  <c r="S180" i="31" s="1"/>
  <c r="L157" i="80" s="1"/>
  <c r="O129" i="31"/>
  <c r="R129" i="31" s="1"/>
  <c r="S129" i="31" s="1"/>
  <c r="L106" i="80" s="1"/>
  <c r="O102" i="31"/>
  <c r="R102" i="31" s="1"/>
  <c r="S102" i="31" s="1"/>
  <c r="L79" i="80" s="1"/>
  <c r="O168" i="31"/>
  <c r="R168" i="31" s="1"/>
  <c r="S168" i="31" s="1"/>
  <c r="L145" i="80" s="1"/>
  <c r="O118" i="31"/>
  <c r="R118" i="31" s="1"/>
  <c r="S118" i="31" s="1"/>
  <c r="L95" i="80" s="1"/>
  <c r="O41" i="31"/>
  <c r="R41" i="31" s="1"/>
  <c r="S41" i="31" s="1"/>
  <c r="L18" i="80" s="1"/>
  <c r="O96" i="31"/>
  <c r="R96" i="31" s="1"/>
  <c r="S96" i="31" s="1"/>
  <c r="L73" i="80" s="1"/>
  <c r="O158" i="31"/>
  <c r="R158" i="31" s="1"/>
  <c r="S158" i="31" s="1"/>
  <c r="L135" i="80" s="1"/>
  <c r="O146" i="31"/>
  <c r="R146" i="31" s="1"/>
  <c r="S146" i="31" s="1"/>
  <c r="L123" i="80" s="1"/>
  <c r="O60" i="31"/>
  <c r="R60" i="31" s="1"/>
  <c r="S60" i="31" s="1"/>
  <c r="L37" i="80" s="1"/>
  <c r="O147" i="31"/>
  <c r="R147" i="31" s="1"/>
  <c r="S147" i="31" s="1"/>
  <c r="L124" i="80" s="1"/>
  <c r="O65" i="31"/>
  <c r="R65" i="31" s="1"/>
  <c r="S65" i="31" s="1"/>
  <c r="L42" i="80" s="1"/>
  <c r="O94" i="31"/>
  <c r="R94" i="31" s="1"/>
  <c r="S94" i="31" s="1"/>
  <c r="L71" i="80" s="1"/>
  <c r="O90" i="31"/>
  <c r="R90" i="31" s="1"/>
  <c r="S90" i="31" s="1"/>
  <c r="L67" i="80" s="1"/>
  <c r="O107" i="31"/>
  <c r="R107" i="31" s="1"/>
  <c r="S107" i="31" s="1"/>
  <c r="L84" i="80" s="1"/>
  <c r="O156" i="31"/>
  <c r="R156" i="31" s="1"/>
  <c r="S156" i="31" s="1"/>
  <c r="L133" i="80" s="1"/>
  <c r="O144" i="31"/>
  <c r="R144" i="31" s="1"/>
  <c r="S144" i="31" s="1"/>
  <c r="L121" i="80" s="1"/>
  <c r="O95" i="31"/>
  <c r="R95" i="31" s="1"/>
  <c r="S95" i="31" s="1"/>
  <c r="L72" i="80" s="1"/>
  <c r="O178" i="31"/>
  <c r="R178" i="31" s="1"/>
  <c r="S178" i="31" s="1"/>
  <c r="L155" i="80" s="1"/>
  <c r="O44" i="31"/>
  <c r="R44" i="31" s="1"/>
  <c r="S44" i="31" s="1"/>
  <c r="L21" i="80" s="1"/>
  <c r="O51" i="31"/>
  <c r="R51" i="31"/>
  <c r="S51" i="31" s="1"/>
  <c r="L28" i="80" s="1"/>
  <c r="O43" i="31"/>
  <c r="R43" i="31" s="1"/>
  <c r="S43" i="31" s="1"/>
  <c r="L20" i="80" s="1"/>
  <c r="O126" i="31"/>
  <c r="R126" i="31" s="1"/>
  <c r="S126" i="31" s="1"/>
  <c r="L103" i="80" s="1"/>
  <c r="O59" i="31"/>
  <c r="R59" i="31" s="1"/>
  <c r="S59" i="31" s="1"/>
  <c r="L36" i="80" s="1"/>
  <c r="O58" i="31"/>
  <c r="R58" i="31" s="1"/>
  <c r="S58" i="31" s="1"/>
  <c r="L35" i="80" s="1"/>
  <c r="O32" i="31"/>
  <c r="R32" i="31" s="1"/>
  <c r="S32" i="31" s="1"/>
  <c r="L9" i="80" s="1"/>
  <c r="O152" i="31"/>
  <c r="R152" i="31" s="1"/>
  <c r="S152" i="31" s="1"/>
  <c r="O38" i="31"/>
  <c r="R38" i="31"/>
  <c r="S38" i="31" s="1"/>
  <c r="L15" i="80" s="1"/>
  <c r="O123" i="31"/>
  <c r="R123" i="31" s="1"/>
  <c r="S123" i="31" s="1"/>
  <c r="O109" i="31"/>
  <c r="R109" i="31" s="1"/>
  <c r="S109" i="31" s="1"/>
  <c r="L86" i="80" s="1"/>
  <c r="O113" i="31"/>
  <c r="R113" i="31" s="1"/>
  <c r="S113" i="31" s="1"/>
  <c r="L90" i="80" s="1"/>
  <c r="O87" i="31"/>
  <c r="R87" i="31" s="1"/>
  <c r="S87" i="31" s="1"/>
  <c r="O33" i="31"/>
  <c r="R33" i="31" s="1"/>
  <c r="S33" i="31" s="1"/>
  <c r="O39" i="31"/>
  <c r="R39" i="31" s="1"/>
  <c r="S39" i="31" s="1"/>
  <c r="L16" i="80" s="1"/>
  <c r="O104" i="31"/>
  <c r="R104" i="31" s="1"/>
  <c r="S104" i="31" s="1"/>
  <c r="L81" i="80" s="1"/>
  <c r="O76" i="31"/>
  <c r="R76" i="31" s="1"/>
  <c r="S76" i="31" s="1"/>
  <c r="L53" i="80" s="1"/>
  <c r="O130" i="31"/>
  <c r="R130" i="31" s="1"/>
  <c r="S130" i="31" s="1"/>
  <c r="O84" i="31"/>
  <c r="R84" i="31" s="1"/>
  <c r="S84" i="31" s="1"/>
  <c r="L61" i="80" s="1"/>
  <c r="O124" i="31"/>
  <c r="R124" i="31" s="1"/>
  <c r="S124" i="31" s="1"/>
  <c r="L101" i="80" s="1"/>
  <c r="O112" i="31"/>
  <c r="R112" i="31" s="1"/>
  <c r="S112" i="31" s="1"/>
  <c r="L89" i="80" s="1"/>
  <c r="O36" i="31"/>
  <c r="R36" i="31" s="1"/>
  <c r="S36" i="31" s="1"/>
  <c r="L13" i="80" s="1"/>
  <c r="O50" i="31"/>
  <c r="R50" i="31" s="1"/>
  <c r="S50" i="31" s="1"/>
  <c r="L27" i="80" s="1"/>
  <c r="O66" i="31"/>
  <c r="R66" i="31" s="1"/>
  <c r="S66" i="31" s="1"/>
  <c r="L43" i="80" s="1"/>
  <c r="O100" i="31"/>
  <c r="R100" i="31" s="1"/>
  <c r="S100" i="31" s="1"/>
  <c r="L77" i="80" s="1"/>
  <c r="O134" i="31"/>
  <c r="R134" i="31" s="1"/>
  <c r="S134" i="31" s="1"/>
  <c r="L111" i="80" s="1"/>
  <c r="O135" i="31"/>
  <c r="R135" i="31" s="1"/>
  <c r="S135" i="31" s="1"/>
  <c r="L112" i="80" s="1"/>
  <c r="O157" i="31"/>
  <c r="R157" i="31" s="1"/>
  <c r="S157" i="31" s="1"/>
  <c r="O105" i="31"/>
  <c r="R105" i="31" s="1"/>
  <c r="S105" i="31" s="1"/>
  <c r="O161" i="31"/>
  <c r="R161" i="31" s="1"/>
  <c r="S161" i="31" s="1"/>
  <c r="L138" i="80" s="1"/>
  <c r="O137" i="31"/>
  <c r="R137" i="31" s="1"/>
  <c r="S137" i="31" s="1"/>
  <c r="L114" i="80" s="1"/>
  <c r="O162" i="31"/>
  <c r="R162" i="31" s="1"/>
  <c r="S162" i="31" s="1"/>
  <c r="L139" i="80" s="1"/>
  <c r="O164" i="31"/>
  <c r="R164" i="31" s="1"/>
  <c r="S164" i="31" s="1"/>
  <c r="L141" i="80" s="1"/>
  <c r="O26" i="31"/>
  <c r="R26" i="31" s="1"/>
  <c r="S26" i="31" s="1"/>
  <c r="L3" i="80" s="1"/>
  <c r="O93" i="31"/>
  <c r="R93" i="31" s="1"/>
  <c r="S93" i="31" s="1"/>
  <c r="O142" i="31"/>
  <c r="R142" i="31" s="1"/>
  <c r="S142" i="31" s="1"/>
  <c r="L119" i="80" s="1"/>
  <c r="O154" i="31"/>
  <c r="R154" i="31" s="1"/>
  <c r="S154" i="31" s="1"/>
  <c r="L131" i="80" s="1"/>
  <c r="O127" i="31"/>
  <c r="R127" i="31" s="1"/>
  <c r="S127" i="31" s="1"/>
  <c r="L104" i="80" s="1"/>
  <c r="O71" i="31"/>
  <c r="R71" i="31" s="1"/>
  <c r="S71" i="31" s="1"/>
  <c r="L48" i="80" s="1"/>
  <c r="O140" i="31"/>
  <c r="R140" i="31" s="1"/>
  <c r="S140" i="31" s="1"/>
  <c r="L117" i="80" s="1"/>
  <c r="O143" i="31"/>
  <c r="R143" i="31" s="1"/>
  <c r="S143" i="31" s="1"/>
  <c r="L120" i="80" s="1"/>
  <c r="O171" i="31"/>
  <c r="R171" i="31" s="1"/>
  <c r="S171" i="31" s="1"/>
  <c r="L148" i="80" s="1"/>
  <c r="O92" i="31"/>
  <c r="R92" i="31" s="1"/>
  <c r="S92" i="31" s="1"/>
  <c r="L69" i="80" s="1"/>
  <c r="O53" i="31"/>
  <c r="R53" i="31" s="1"/>
  <c r="S53" i="31" s="1"/>
  <c r="L30" i="80" s="1"/>
  <c r="O74" i="31"/>
  <c r="R74" i="31" s="1"/>
  <c r="S74" i="31" s="1"/>
  <c r="L51" i="80" s="1"/>
  <c r="O176" i="31"/>
  <c r="R176" i="31" s="1"/>
  <c r="S176" i="31" s="1"/>
  <c r="L153" i="80" s="1"/>
  <c r="O62" i="31"/>
  <c r="R62" i="31" s="1"/>
  <c r="S62" i="31" s="1"/>
  <c r="L39" i="80" s="1"/>
  <c r="O108" i="31"/>
  <c r="R108" i="31" s="1"/>
  <c r="S108" i="31" s="1"/>
  <c r="L85" i="80" s="1"/>
  <c r="O101" i="31"/>
  <c r="R101" i="31" s="1"/>
  <c r="S101" i="31" s="1"/>
  <c r="L78" i="80" s="1"/>
  <c r="O45" i="31"/>
  <c r="R45" i="31" s="1"/>
  <c r="S45" i="31" s="1"/>
  <c r="L22" i="80" s="1"/>
  <c r="O99" i="31"/>
  <c r="R99" i="31" s="1"/>
  <c r="S99" i="31" s="1"/>
  <c r="L76" i="80" s="1"/>
  <c r="O115" i="31"/>
  <c r="R115" i="31" s="1"/>
  <c r="S115" i="31" s="1"/>
  <c r="L92" i="80" s="1"/>
  <c r="O29" i="31"/>
  <c r="R29" i="31" s="1"/>
  <c r="S29" i="31" s="1"/>
  <c r="L6" i="80" s="1"/>
  <c r="O160" i="31"/>
  <c r="R160" i="31" s="1"/>
  <c r="S160" i="31" s="1"/>
  <c r="L137" i="80" s="1"/>
  <c r="O82" i="31"/>
  <c r="R82" i="31"/>
  <c r="S82" i="31" s="1"/>
  <c r="L59" i="80" s="1"/>
  <c r="O86" i="31"/>
  <c r="R86" i="31" s="1"/>
  <c r="S86" i="31" s="1"/>
  <c r="L63" i="80" s="1"/>
  <c r="O174" i="31"/>
  <c r="R174" i="31" s="1"/>
  <c r="S174" i="31" s="1"/>
  <c r="L151" i="80" s="1"/>
  <c r="O64" i="31"/>
  <c r="R64" i="31" s="1"/>
  <c r="S64" i="31" s="1"/>
  <c r="L41" i="80" s="1"/>
  <c r="O114" i="31"/>
  <c r="R114" i="31" s="1"/>
  <c r="S114" i="31" s="1"/>
  <c r="L91" i="80" s="1"/>
  <c r="O48" i="31"/>
  <c r="R48" i="31" s="1"/>
  <c r="S48" i="31" s="1"/>
  <c r="L25" i="80" s="1"/>
  <c r="O47" i="31"/>
  <c r="R47" i="31" s="1"/>
  <c r="S47" i="31" s="1"/>
  <c r="L24" i="80" s="1"/>
  <c r="O75" i="31"/>
  <c r="R75" i="31" s="1"/>
  <c r="S75" i="31" s="1"/>
  <c r="L52" i="80" s="1"/>
  <c r="O85" i="31"/>
  <c r="R85" i="31" s="1"/>
  <c r="S85" i="31" s="1"/>
  <c r="L62" i="80" s="1"/>
  <c r="O106" i="31"/>
  <c r="R106" i="31" s="1"/>
  <c r="S106" i="31" s="1"/>
  <c r="L83" i="80" s="1"/>
  <c r="O110" i="31"/>
  <c r="R110" i="31" s="1"/>
  <c r="S110" i="31" s="1"/>
  <c r="L87" i="80" s="1"/>
  <c r="O132" i="31"/>
  <c r="R132" i="31" s="1"/>
  <c r="S132" i="31" s="1"/>
  <c r="L109" i="80" s="1"/>
  <c r="O37" i="31"/>
  <c r="R37" i="31" s="1"/>
  <c r="S37" i="31" s="1"/>
  <c r="L14" i="80" s="1"/>
  <c r="O149" i="31"/>
  <c r="R149" i="31" s="1"/>
  <c r="S149" i="31" s="1"/>
  <c r="L126" i="80" s="1"/>
  <c r="O166" i="31"/>
  <c r="R166" i="31" s="1"/>
  <c r="S166" i="31" s="1"/>
  <c r="L143" i="80" s="1"/>
  <c r="O141" i="31"/>
  <c r="R141" i="31" s="1"/>
  <c r="S141" i="31" s="1"/>
  <c r="L118" i="80" s="1"/>
  <c r="O57" i="31"/>
  <c r="R57" i="31"/>
  <c r="S57" i="31" s="1"/>
  <c r="O151" i="31"/>
  <c r="R151" i="31" s="1"/>
  <c r="S151" i="31" s="1"/>
  <c r="O136" i="31"/>
  <c r="R136" i="31" s="1"/>
  <c r="S136" i="31" s="1"/>
  <c r="L113" i="80" s="1"/>
  <c r="O120" i="31"/>
  <c r="R120" i="31"/>
  <c r="S120" i="31" s="1"/>
  <c r="L97" i="80" s="1"/>
  <c r="O148" i="31"/>
  <c r="R148" i="31" s="1"/>
  <c r="S148" i="31" s="1"/>
  <c r="L125" i="80" s="1"/>
  <c r="O131" i="31"/>
  <c r="R131" i="31" s="1"/>
  <c r="S131" i="31" s="1"/>
  <c r="L108" i="80" s="1"/>
  <c r="O177" i="31"/>
  <c r="R177" i="31" s="1"/>
  <c r="S177" i="31" s="1"/>
  <c r="O89" i="31"/>
  <c r="R89" i="31" s="1"/>
  <c r="S89" i="31" s="1"/>
  <c r="L66" i="80" s="1"/>
  <c r="O116" i="31"/>
  <c r="R116" i="31" s="1"/>
  <c r="S116" i="31" s="1"/>
  <c r="L93" i="80" s="1"/>
  <c r="O179" i="31"/>
  <c r="R179" i="31" s="1"/>
  <c r="S179" i="31" s="1"/>
  <c r="L156" i="80" s="1"/>
  <c r="O145" i="31"/>
  <c r="R145" i="31" s="1"/>
  <c r="S145" i="31" s="1"/>
  <c r="L122" i="80" s="1"/>
  <c r="O133" i="31"/>
  <c r="R133" i="31" s="1"/>
  <c r="S133" i="31" s="1"/>
  <c r="L110" i="80" s="1"/>
  <c r="O54" i="31"/>
  <c r="R54" i="31" s="1"/>
  <c r="S54" i="31" s="1"/>
  <c r="L31" i="80" s="1"/>
  <c r="O77" i="31"/>
  <c r="R77" i="31" s="1"/>
  <c r="S77" i="31" s="1"/>
  <c r="L54" i="80" s="1"/>
  <c r="O78" i="31"/>
  <c r="R78" i="31" s="1"/>
  <c r="S78" i="31" s="1"/>
  <c r="L55" i="80" s="1"/>
  <c r="O70" i="31"/>
  <c r="R70" i="31" s="1"/>
  <c r="S70" i="31" s="1"/>
  <c r="L47" i="80" s="1"/>
  <c r="O40" i="31"/>
  <c r="R40" i="31" s="1"/>
  <c r="S40" i="31" s="1"/>
  <c r="L17" i="80" s="1"/>
  <c r="O155" i="31"/>
  <c r="R155" i="31" s="1"/>
  <c r="S155" i="31" s="1"/>
  <c r="L132" i="80" s="1"/>
  <c r="O46" i="31"/>
  <c r="R46" i="31" s="1"/>
  <c r="S46" i="31" s="1"/>
  <c r="O73" i="31"/>
  <c r="R73" i="31" s="1"/>
  <c r="S73" i="31" s="1"/>
  <c r="O98" i="31"/>
  <c r="R98" i="31" s="1"/>
  <c r="S98" i="31" s="1"/>
  <c r="O35" i="31"/>
  <c r="R35" i="31" s="1"/>
  <c r="S35" i="31" s="1"/>
  <c r="O167" i="31"/>
  <c r="R167" i="31" s="1"/>
  <c r="S167" i="31" s="1"/>
  <c r="O69" i="31"/>
  <c r="R69" i="31" s="1"/>
  <c r="S69" i="31" s="1"/>
  <c r="O97" i="31"/>
  <c r="R97" i="31" s="1"/>
  <c r="S97" i="31" s="1"/>
  <c r="O122" i="31"/>
  <c r="R122" i="31" s="1"/>
  <c r="S122" i="31" s="1"/>
  <c r="O111" i="31"/>
  <c r="R111" i="31" s="1"/>
  <c r="S111" i="31" s="1"/>
  <c r="L88" i="80" s="1"/>
  <c r="O63" i="31"/>
  <c r="R63" i="31" s="1"/>
  <c r="S63" i="31" s="1"/>
  <c r="L40" i="80" s="1"/>
  <c r="O169" i="31"/>
  <c r="R169" i="31" s="1"/>
  <c r="S169" i="31" s="1"/>
  <c r="O175" i="31"/>
  <c r="R175" i="31" s="1"/>
  <c r="S175" i="31" s="1"/>
  <c r="L152" i="80" s="1"/>
  <c r="O28" i="31"/>
  <c r="R28" i="31" s="1"/>
  <c r="S28" i="31" s="1"/>
  <c r="O163" i="31"/>
  <c r="R163" i="31" s="1"/>
  <c r="S163" i="31" s="1"/>
  <c r="O170" i="31"/>
  <c r="R170" i="31" s="1"/>
  <c r="S170" i="31" s="1"/>
  <c r="L147" i="80" s="1"/>
  <c r="O128" i="31"/>
  <c r="R128" i="31" s="1"/>
  <c r="S128" i="31" s="1"/>
  <c r="L105" i="80" s="1"/>
  <c r="O138" i="31"/>
  <c r="R138" i="31" s="1"/>
  <c r="S138" i="31" s="1"/>
  <c r="O125" i="31"/>
  <c r="R125" i="31" s="1"/>
  <c r="S125" i="31" s="1"/>
  <c r="O42" i="31"/>
  <c r="R42" i="31" s="1"/>
  <c r="S42" i="31" s="1"/>
  <c r="L19" i="80" s="1"/>
  <c r="O103" i="31"/>
  <c r="R103" i="31" s="1"/>
  <c r="S103" i="31" s="1"/>
  <c r="L80" i="80" s="1"/>
  <c r="O150" i="31"/>
  <c r="R150" i="31"/>
  <c r="S150" i="31" s="1"/>
  <c r="L127" i="80" s="1"/>
  <c r="O119" i="31"/>
  <c r="R119" i="31" s="1"/>
  <c r="S119" i="31" s="1"/>
  <c r="L96" i="80" s="1"/>
  <c r="O88" i="31"/>
  <c r="R88" i="31" s="1"/>
  <c r="S88" i="31" s="1"/>
  <c r="L65" i="80" s="1"/>
  <c r="O31" i="31"/>
  <c r="R31" i="31" s="1"/>
  <c r="S31" i="31" s="1"/>
  <c r="L8" i="80" s="1"/>
  <c r="O139" i="31"/>
  <c r="R139" i="31" s="1"/>
  <c r="S139" i="31" s="1"/>
  <c r="L116" i="80" s="1"/>
  <c r="O30" i="31"/>
  <c r="R30" i="31" s="1"/>
  <c r="S30" i="31" s="1"/>
  <c r="L7" i="80" s="1"/>
  <c r="O55" i="31"/>
  <c r="R55" i="31" s="1"/>
  <c r="S55" i="31" s="1"/>
  <c r="L32" i="80" s="1"/>
  <c r="O72" i="31"/>
  <c r="R72" i="31" s="1"/>
  <c r="S72" i="31" s="1"/>
  <c r="L49" i="80" s="1"/>
  <c r="O49" i="31"/>
  <c r="R49" i="31"/>
  <c r="S49" i="31" s="1"/>
  <c r="L26" i="80" s="1"/>
  <c r="O52" i="31"/>
  <c r="R52" i="31" s="1"/>
  <c r="S52" i="31" s="1"/>
  <c r="L29" i="80" s="1"/>
  <c r="O165" i="31"/>
  <c r="R165" i="31" s="1"/>
  <c r="S165" i="31" s="1"/>
  <c r="L142" i="80" s="1"/>
  <c r="O91" i="31"/>
  <c r="R91" i="31" s="1"/>
  <c r="S91" i="31" s="1"/>
  <c r="L68" i="80" s="1"/>
  <c r="O67" i="31"/>
  <c r="R67" i="31" s="1"/>
  <c r="S67" i="31" s="1"/>
  <c r="L44" i="80" s="1"/>
  <c r="O121" i="31"/>
  <c r="R121" i="31" s="1"/>
  <c r="S121" i="31" s="1"/>
  <c r="L98" i="80" s="1"/>
  <c r="O61" i="31"/>
  <c r="R61" i="31" s="1"/>
  <c r="S61" i="31" s="1"/>
  <c r="L38" i="80" s="1"/>
  <c r="O185" i="31"/>
  <c r="O233" i="31"/>
  <c r="O281" i="31"/>
  <c r="O345" i="31"/>
  <c r="O206" i="31"/>
  <c r="O254" i="31"/>
  <c r="O270" i="31"/>
  <c r="O286" i="31"/>
  <c r="O302" i="31"/>
  <c r="O183" i="31"/>
  <c r="O199" i="31"/>
  <c r="O215" i="31"/>
  <c r="O231" i="31"/>
  <c r="O247" i="31"/>
  <c r="O263" i="31"/>
  <c r="O279" i="31"/>
  <c r="O295" i="31"/>
  <c r="O311" i="31"/>
  <c r="O327" i="31"/>
  <c r="O343" i="31"/>
  <c r="O359" i="31"/>
  <c r="O196" i="31"/>
  <c r="O212" i="31"/>
  <c r="O228" i="31"/>
  <c r="O244" i="31"/>
  <c r="O260" i="31"/>
  <c r="O276" i="31"/>
  <c r="O292" i="31"/>
  <c r="O308" i="31"/>
  <c r="O324" i="31"/>
  <c r="O340" i="31"/>
  <c r="O356" i="31"/>
  <c r="O362" i="31"/>
  <c r="O379" i="31"/>
  <c r="O395" i="31"/>
  <c r="O411" i="31"/>
  <c r="O427" i="31"/>
  <c r="O443" i="31"/>
  <c r="O459" i="31"/>
  <c r="O475" i="31"/>
  <c r="O491" i="31"/>
  <c r="O507" i="31"/>
  <c r="O523" i="31"/>
  <c r="O363" i="31"/>
  <c r="O380" i="31"/>
  <c r="O396" i="31"/>
  <c r="O412" i="31"/>
  <c r="O428" i="31"/>
  <c r="O444" i="31"/>
  <c r="O460" i="31"/>
  <c r="O480" i="31"/>
  <c r="O500" i="31"/>
  <c r="O520" i="31"/>
  <c r="O369" i="31"/>
  <c r="O389" i="31"/>
  <c r="O409" i="31"/>
  <c r="O433" i="31"/>
  <c r="O465" i="31"/>
  <c r="O497" i="31"/>
  <c r="O346" i="31"/>
  <c r="O406" i="31"/>
  <c r="O470" i="31"/>
  <c r="O221" i="31"/>
  <c r="O285" i="31"/>
  <c r="O317" i="31"/>
  <c r="O333" i="31"/>
  <c r="O349" i="31"/>
  <c r="O365" i="31"/>
  <c r="O194" i="31"/>
  <c r="O210" i="31"/>
  <c r="O226" i="31"/>
  <c r="O242" i="31"/>
  <c r="O258" i="31"/>
  <c r="O274" i="31"/>
  <c r="O290" i="31"/>
  <c r="O306" i="31"/>
  <c r="O187" i="31"/>
  <c r="O203" i="31"/>
  <c r="O219" i="31"/>
  <c r="O235" i="31"/>
  <c r="O251" i="31"/>
  <c r="O267" i="31"/>
  <c r="O283" i="31"/>
  <c r="O299" i="31"/>
  <c r="O315" i="31"/>
  <c r="O331" i="31"/>
  <c r="O347" i="31"/>
  <c r="O184" i="31"/>
  <c r="O200" i="31"/>
  <c r="O216" i="31"/>
  <c r="O232" i="31"/>
  <c r="O248" i="31"/>
  <c r="O264" i="31"/>
  <c r="O280" i="31"/>
  <c r="O296" i="31"/>
  <c r="O312" i="31"/>
  <c r="O328" i="31"/>
  <c r="O344" i="31"/>
  <c r="O318" i="31"/>
  <c r="O367" i="31"/>
  <c r="O383" i="31"/>
  <c r="O399" i="31"/>
  <c r="O415" i="31"/>
  <c r="O431" i="31"/>
  <c r="O447" i="31"/>
  <c r="O463" i="31"/>
  <c r="O479" i="31"/>
  <c r="O495" i="31"/>
  <c r="O511" i="31"/>
  <c r="O322" i="31"/>
  <c r="O368" i="31"/>
  <c r="O384" i="31"/>
  <c r="O400" i="31"/>
  <c r="O416" i="31"/>
  <c r="O432" i="31"/>
  <c r="O448" i="31"/>
  <c r="O464" i="31"/>
  <c r="O484" i="31"/>
  <c r="O504" i="31"/>
  <c r="O326" i="31"/>
  <c r="O373" i="31"/>
  <c r="O393" i="31"/>
  <c r="O417" i="31"/>
  <c r="O437" i="31"/>
  <c r="O469" i="31"/>
  <c r="O501" i="31"/>
  <c r="O360" i="31"/>
  <c r="O422" i="31"/>
  <c r="O486" i="31"/>
  <c r="O217" i="31"/>
  <c r="O265" i="31"/>
  <c r="O313" i="31"/>
  <c r="O361" i="31"/>
  <c r="O222" i="31"/>
  <c r="O189" i="31"/>
  <c r="O237" i="31"/>
  <c r="O269" i="31"/>
  <c r="O209" i="31"/>
  <c r="O225" i="31"/>
  <c r="O241" i="31"/>
  <c r="O257" i="31"/>
  <c r="O273" i="31"/>
  <c r="O289" i="31"/>
  <c r="O305" i="31"/>
  <c r="O321" i="31"/>
  <c r="O337" i="31"/>
  <c r="O353" i="31"/>
  <c r="O182" i="31"/>
  <c r="O198" i="31"/>
  <c r="O214" i="31"/>
  <c r="O230" i="31"/>
  <c r="O246" i="31"/>
  <c r="O262" i="31"/>
  <c r="O278" i="31"/>
  <c r="O294" i="31"/>
  <c r="O310" i="31"/>
  <c r="O191" i="31"/>
  <c r="O207" i="31"/>
  <c r="O223" i="31"/>
  <c r="O239" i="31"/>
  <c r="O255" i="31"/>
  <c r="O271" i="31"/>
  <c r="O287" i="31"/>
  <c r="O303" i="31"/>
  <c r="O319" i="31"/>
  <c r="O335" i="31"/>
  <c r="O351" i="31"/>
  <c r="O188" i="31"/>
  <c r="O204" i="31"/>
  <c r="O220" i="31"/>
  <c r="O236" i="31"/>
  <c r="O252" i="31"/>
  <c r="O268" i="31"/>
  <c r="O284" i="31"/>
  <c r="O300" i="31"/>
  <c r="O316" i="31"/>
  <c r="O332" i="31"/>
  <c r="O348" i="31"/>
  <c r="O334" i="31"/>
  <c r="O371" i="31"/>
  <c r="O387" i="31"/>
  <c r="O403" i="31"/>
  <c r="O419" i="31"/>
  <c r="O435" i="31"/>
  <c r="O451" i="31"/>
  <c r="O467" i="31"/>
  <c r="O483" i="31"/>
  <c r="O499" i="31"/>
  <c r="O515" i="31"/>
  <c r="O338" i="31"/>
  <c r="O372" i="31"/>
  <c r="O388" i="31"/>
  <c r="O404" i="31"/>
  <c r="O420" i="31"/>
  <c r="O436" i="31"/>
  <c r="O452" i="31"/>
  <c r="O468" i="31"/>
  <c r="O488" i="31"/>
  <c r="O512" i="31"/>
  <c r="O342" i="31"/>
  <c r="O377" i="31"/>
  <c r="O401" i="31"/>
  <c r="O421" i="31"/>
  <c r="O449" i="31"/>
  <c r="O481" i="31"/>
  <c r="O513" i="31"/>
  <c r="O374" i="31"/>
  <c r="O438" i="31"/>
  <c r="O502" i="31"/>
  <c r="O201" i="31"/>
  <c r="O249" i="31"/>
  <c r="O297" i="31"/>
  <c r="O329" i="31"/>
  <c r="O190" i="31"/>
  <c r="O238" i="31"/>
  <c r="O205" i="31"/>
  <c r="O253" i="31"/>
  <c r="O301" i="31"/>
  <c r="O193" i="31"/>
  <c r="O181" i="31"/>
  <c r="O197" i="31"/>
  <c r="O213" i="31"/>
  <c r="O229" i="31"/>
  <c r="O245" i="31"/>
  <c r="O261" i="31"/>
  <c r="O277" i="31"/>
  <c r="O293" i="31"/>
  <c r="O309" i="31"/>
  <c r="O325" i="31"/>
  <c r="O341" i="31"/>
  <c r="O357" i="31"/>
  <c r="O186" i="31"/>
  <c r="O202" i="31"/>
  <c r="O218" i="31"/>
  <c r="O234" i="31"/>
  <c r="O250" i="31"/>
  <c r="O266" i="31"/>
  <c r="O282" i="31"/>
  <c r="O298" i="31"/>
  <c r="O314" i="31"/>
  <c r="O195" i="31"/>
  <c r="O211" i="31"/>
  <c r="O227" i="31"/>
  <c r="O243" i="31"/>
  <c r="O259" i="31"/>
  <c r="O275" i="31"/>
  <c r="O291" i="31"/>
  <c r="O307" i="31"/>
  <c r="O323" i="31"/>
  <c r="O339" i="31"/>
  <c r="O355" i="31"/>
  <c r="O192" i="31"/>
  <c r="O208" i="31"/>
  <c r="O224" i="31"/>
  <c r="O240" i="31"/>
  <c r="O256" i="31"/>
  <c r="O272" i="31"/>
  <c r="O288" i="31"/>
  <c r="O304" i="31"/>
  <c r="O320" i="31"/>
  <c r="O336" i="31"/>
  <c r="O352" i="31"/>
  <c r="O350" i="31"/>
  <c r="O375" i="31"/>
  <c r="O391" i="31"/>
  <c r="O407" i="31"/>
  <c r="O423" i="31"/>
  <c r="O439" i="31"/>
  <c r="O455" i="31"/>
  <c r="O471" i="31"/>
  <c r="O487" i="31"/>
  <c r="O503" i="31"/>
  <c r="O519" i="31"/>
  <c r="O354" i="31"/>
  <c r="O376" i="31"/>
  <c r="O392" i="31"/>
  <c r="O408" i="31"/>
  <c r="O424" i="31"/>
  <c r="O440" i="31"/>
  <c r="O456" i="31"/>
  <c r="O472" i="31"/>
  <c r="O496" i="31"/>
  <c r="O516" i="31"/>
  <c r="O358" i="31"/>
  <c r="O385" i="31"/>
  <c r="O405" i="31"/>
  <c r="O425" i="31"/>
  <c r="O453" i="31"/>
  <c r="O485" i="31"/>
  <c r="O517" i="31"/>
  <c r="O390" i="31"/>
  <c r="O454" i="31"/>
  <c r="O518" i="31"/>
  <c r="O378" i="31"/>
  <c r="O394" i="31"/>
  <c r="O410" i="31"/>
  <c r="O426" i="31"/>
  <c r="O442" i="31"/>
  <c r="O458" i="31"/>
  <c r="O474" i="31"/>
  <c r="O490" i="31"/>
  <c r="O506" i="31"/>
  <c r="O522" i="31"/>
  <c r="O441" i="31"/>
  <c r="O457" i="31"/>
  <c r="O473" i="31"/>
  <c r="O489" i="31"/>
  <c r="O505" i="31"/>
  <c r="O521" i="31"/>
  <c r="O366" i="31"/>
  <c r="O382" i="31"/>
  <c r="O398" i="31"/>
  <c r="O414" i="31"/>
  <c r="O430" i="31"/>
  <c r="O446" i="31"/>
  <c r="O462" i="31"/>
  <c r="O478" i="31"/>
  <c r="O494" i="31"/>
  <c r="O510" i="31"/>
  <c r="O27" i="31"/>
  <c r="O476" i="31"/>
  <c r="O492" i="31"/>
  <c r="O508" i="31"/>
  <c r="O524" i="31"/>
  <c r="O364" i="31"/>
  <c r="O381" i="31"/>
  <c r="O397" i="31"/>
  <c r="O413" i="31"/>
  <c r="O429" i="31"/>
  <c r="O445" i="31"/>
  <c r="O461" i="31"/>
  <c r="O477" i="31"/>
  <c r="O493" i="31"/>
  <c r="O509" i="31"/>
  <c r="O330" i="31"/>
  <c r="O370" i="31"/>
  <c r="O386" i="31"/>
  <c r="O402" i="31"/>
  <c r="O418" i="31"/>
  <c r="O434" i="31"/>
  <c r="O450" i="31"/>
  <c r="O466" i="31"/>
  <c r="O482" i="31"/>
  <c r="O498" i="31"/>
  <c r="O514" i="31"/>
  <c r="O25" i="31"/>
  <c r="R25" i="31" s="1"/>
  <c r="S25" i="31" s="1"/>
  <c r="L2" i="80" s="1"/>
  <c r="V169" i="31" l="1"/>
  <c r="O146" i="80" s="1"/>
  <c r="L146" i="80"/>
  <c r="U130" i="31"/>
  <c r="N107" i="80" s="1"/>
  <c r="L107" i="80"/>
  <c r="T122" i="31"/>
  <c r="M99" i="80" s="1"/>
  <c r="L99" i="80"/>
  <c r="U35" i="31"/>
  <c r="N12" i="80" s="1"/>
  <c r="L12" i="80"/>
  <c r="V93" i="31"/>
  <c r="O70" i="80" s="1"/>
  <c r="L70" i="80"/>
  <c r="U152" i="31"/>
  <c r="N129" i="80" s="1"/>
  <c r="L129" i="80"/>
  <c r="U98" i="31"/>
  <c r="N75" i="80" s="1"/>
  <c r="L75" i="80"/>
  <c r="U123" i="31"/>
  <c r="N100" i="80" s="1"/>
  <c r="L100" i="80"/>
  <c r="U125" i="31"/>
  <c r="N102" i="80" s="1"/>
  <c r="L102" i="80"/>
  <c r="V163" i="31"/>
  <c r="O140" i="80" s="1"/>
  <c r="L140" i="80"/>
  <c r="V69" i="31"/>
  <c r="O46" i="80" s="1"/>
  <c r="L46" i="80"/>
  <c r="V73" i="31"/>
  <c r="O50" i="80" s="1"/>
  <c r="L50" i="80"/>
  <c r="V57" i="31"/>
  <c r="O34" i="80" s="1"/>
  <c r="L34" i="80"/>
  <c r="V105" i="31"/>
  <c r="O82" i="80" s="1"/>
  <c r="L82" i="80"/>
  <c r="U87" i="31"/>
  <c r="N64" i="80" s="1"/>
  <c r="L64" i="80"/>
  <c r="T97" i="31"/>
  <c r="M74" i="80" s="1"/>
  <c r="L74" i="80"/>
  <c r="T151" i="31"/>
  <c r="M128" i="80" s="1"/>
  <c r="L128" i="80"/>
  <c r="V33" i="31"/>
  <c r="O10" i="80" s="1"/>
  <c r="L10" i="80"/>
  <c r="U138" i="31"/>
  <c r="N115" i="80" s="1"/>
  <c r="L115" i="80"/>
  <c r="V28" i="31"/>
  <c r="O5" i="80" s="1"/>
  <c r="L5" i="80"/>
  <c r="L158" i="80" s="1"/>
  <c r="U167" i="31"/>
  <c r="N144" i="80" s="1"/>
  <c r="L144" i="80"/>
  <c r="T46" i="31"/>
  <c r="M23" i="80" s="1"/>
  <c r="L23" i="80"/>
  <c r="T177" i="31"/>
  <c r="M154" i="80" s="1"/>
  <c r="L154" i="80"/>
  <c r="U157" i="31"/>
  <c r="N134" i="80" s="1"/>
  <c r="L134" i="80"/>
  <c r="U36" i="31"/>
  <c r="N13" i="80" s="1"/>
  <c r="V36" i="31"/>
  <c r="O13" i="80" s="1"/>
  <c r="V76" i="31"/>
  <c r="O53" i="80" s="1"/>
  <c r="U76" i="31"/>
  <c r="N53" i="80" s="1"/>
  <c r="T38" i="31"/>
  <c r="M15" i="80" s="1"/>
  <c r="U38" i="31"/>
  <c r="N15" i="80" s="1"/>
  <c r="V38" i="31"/>
  <c r="O15" i="80" s="1"/>
  <c r="V87" i="31"/>
  <c r="O64" i="80" s="1"/>
  <c r="V152" i="31"/>
  <c r="O129" i="80" s="1"/>
  <c r="U169" i="31"/>
  <c r="N146" i="80" s="1"/>
  <c r="T67" i="31"/>
  <c r="M44" i="80" s="1"/>
  <c r="U67" i="31"/>
  <c r="N44" i="80" s="1"/>
  <c r="V67" i="31"/>
  <c r="O44" i="80" s="1"/>
  <c r="T49" i="31"/>
  <c r="M26" i="80" s="1"/>
  <c r="V49" i="31"/>
  <c r="O26" i="80" s="1"/>
  <c r="U49" i="31"/>
  <c r="N26" i="80" s="1"/>
  <c r="T55" i="31"/>
  <c r="M32" i="80" s="1"/>
  <c r="U55" i="31"/>
  <c r="N32" i="80" s="1"/>
  <c r="V55" i="31"/>
  <c r="O32" i="80" s="1"/>
  <c r="T139" i="31"/>
  <c r="M116" i="80" s="1"/>
  <c r="V139" i="31"/>
  <c r="O116" i="80" s="1"/>
  <c r="U139" i="31"/>
  <c r="N116" i="80" s="1"/>
  <c r="T88" i="31"/>
  <c r="M65" i="80" s="1"/>
  <c r="U88" i="31"/>
  <c r="N65" i="80" s="1"/>
  <c r="V88" i="31"/>
  <c r="O65" i="80" s="1"/>
  <c r="T170" i="31"/>
  <c r="M147" i="80" s="1"/>
  <c r="V170" i="31"/>
  <c r="O147" i="80" s="1"/>
  <c r="U170" i="31"/>
  <c r="N147" i="80" s="1"/>
  <c r="T175" i="31"/>
  <c r="M152" i="80" s="1"/>
  <c r="U175" i="31"/>
  <c r="N152" i="80" s="1"/>
  <c r="V175" i="31"/>
  <c r="O152" i="80" s="1"/>
  <c r="T61" i="31"/>
  <c r="M38" i="80" s="1"/>
  <c r="U61" i="31"/>
  <c r="N38" i="80" s="1"/>
  <c r="V61" i="31"/>
  <c r="O38" i="80" s="1"/>
  <c r="T91" i="31"/>
  <c r="M68" i="80" s="1"/>
  <c r="U91" i="31"/>
  <c r="N68" i="80" s="1"/>
  <c r="V91" i="31"/>
  <c r="O68" i="80" s="1"/>
  <c r="T103" i="31"/>
  <c r="M80" i="80" s="1"/>
  <c r="V103" i="31"/>
  <c r="O80" i="80" s="1"/>
  <c r="U103" i="31"/>
  <c r="N80" i="80" s="1"/>
  <c r="T121" i="31"/>
  <c r="M98" i="80" s="1"/>
  <c r="U121" i="31"/>
  <c r="N98" i="80" s="1"/>
  <c r="V121" i="31"/>
  <c r="O98" i="80" s="1"/>
  <c r="T165" i="31"/>
  <c r="M142" i="80" s="1"/>
  <c r="U165" i="31"/>
  <c r="N142" i="80" s="1"/>
  <c r="V165" i="31"/>
  <c r="O142" i="80" s="1"/>
  <c r="T72" i="31"/>
  <c r="M49" i="80" s="1"/>
  <c r="V72" i="31"/>
  <c r="O49" i="80" s="1"/>
  <c r="U72" i="31"/>
  <c r="N49" i="80" s="1"/>
  <c r="T30" i="31"/>
  <c r="M7" i="80" s="1"/>
  <c r="U30" i="31"/>
  <c r="N7" i="80" s="1"/>
  <c r="V30" i="31"/>
  <c r="O7" i="80" s="1"/>
  <c r="T31" i="31"/>
  <c r="M8" i="80" s="1"/>
  <c r="V31" i="31"/>
  <c r="O8" i="80" s="1"/>
  <c r="U31" i="31"/>
  <c r="N8" i="80" s="1"/>
  <c r="T119" i="31"/>
  <c r="M96" i="80" s="1"/>
  <c r="V119" i="31"/>
  <c r="O96" i="80" s="1"/>
  <c r="U119" i="31"/>
  <c r="N96" i="80" s="1"/>
  <c r="T42" i="31"/>
  <c r="M19" i="80" s="1"/>
  <c r="V42" i="31"/>
  <c r="O19" i="80" s="1"/>
  <c r="U42" i="31"/>
  <c r="N19" i="80" s="1"/>
  <c r="T128" i="31"/>
  <c r="M105" i="80" s="1"/>
  <c r="V128" i="31"/>
  <c r="O105" i="80" s="1"/>
  <c r="U128" i="31"/>
  <c r="N105" i="80" s="1"/>
  <c r="T25" i="31"/>
  <c r="M2" i="80" s="1"/>
  <c r="U25" i="31"/>
  <c r="N2" i="80" s="1"/>
  <c r="S22" i="31"/>
  <c r="AD21" i="31" s="1"/>
  <c r="AJ21" i="31" s="1"/>
  <c r="V25" i="31"/>
  <c r="O2" i="80" s="1"/>
  <c r="T52" i="31"/>
  <c r="M29" i="80" s="1"/>
  <c r="U52" i="31"/>
  <c r="N29" i="80" s="1"/>
  <c r="V52" i="31"/>
  <c r="O29" i="80" s="1"/>
  <c r="T150" i="31"/>
  <c r="M127" i="80" s="1"/>
  <c r="V150" i="31"/>
  <c r="O127" i="80" s="1"/>
  <c r="U150" i="31"/>
  <c r="N127" i="80" s="1"/>
  <c r="T125" i="31"/>
  <c r="M102" i="80" s="1"/>
  <c r="T138" i="31"/>
  <c r="M115" i="80" s="1"/>
  <c r="T163" i="31"/>
  <c r="M140" i="80" s="1"/>
  <c r="T28" i="31"/>
  <c r="M5" i="80" s="1"/>
  <c r="T63" i="31"/>
  <c r="M40" i="80" s="1"/>
  <c r="V167" i="31"/>
  <c r="O144" i="80" s="1"/>
  <c r="V35" i="31"/>
  <c r="O12" i="80" s="1"/>
  <c r="V98" i="31"/>
  <c r="O75" i="80" s="1"/>
  <c r="U73" i="31"/>
  <c r="N50" i="80" s="1"/>
  <c r="V46" i="31"/>
  <c r="O23" i="80" s="1"/>
  <c r="T40" i="31"/>
  <c r="M17" i="80" s="1"/>
  <c r="V40" i="31"/>
  <c r="O17" i="80" s="1"/>
  <c r="U40" i="31"/>
  <c r="N17" i="80" s="1"/>
  <c r="U78" i="31"/>
  <c r="N55" i="80" s="1"/>
  <c r="T78" i="31"/>
  <c r="M55" i="80" s="1"/>
  <c r="T54" i="31"/>
  <c r="M31" i="80" s="1"/>
  <c r="V54" i="31"/>
  <c r="O31" i="80" s="1"/>
  <c r="U54" i="31"/>
  <c r="N31" i="80" s="1"/>
  <c r="T145" i="31"/>
  <c r="M122" i="80" s="1"/>
  <c r="V145" i="31"/>
  <c r="O122" i="80" s="1"/>
  <c r="T116" i="31"/>
  <c r="M93" i="80" s="1"/>
  <c r="V116" i="31"/>
  <c r="O93" i="80" s="1"/>
  <c r="U116" i="31"/>
  <c r="N93" i="80" s="1"/>
  <c r="T120" i="31"/>
  <c r="M97" i="80" s="1"/>
  <c r="V120" i="31"/>
  <c r="O97" i="80" s="1"/>
  <c r="U120" i="31"/>
  <c r="N97" i="80" s="1"/>
  <c r="T141" i="31"/>
  <c r="M118" i="80" s="1"/>
  <c r="V141" i="31"/>
  <c r="O118" i="80" s="1"/>
  <c r="U141" i="31"/>
  <c r="N118" i="80" s="1"/>
  <c r="T149" i="31"/>
  <c r="M126" i="80" s="1"/>
  <c r="V149" i="31"/>
  <c r="O126" i="80" s="1"/>
  <c r="U149" i="31"/>
  <c r="N126" i="80" s="1"/>
  <c r="T64" i="31"/>
  <c r="M41" i="80" s="1"/>
  <c r="V64" i="31"/>
  <c r="O41" i="80" s="1"/>
  <c r="U64" i="31"/>
  <c r="N41" i="80" s="1"/>
  <c r="T82" i="31"/>
  <c r="M59" i="80" s="1"/>
  <c r="U82" i="31"/>
  <c r="N59" i="80" s="1"/>
  <c r="V82" i="31"/>
  <c r="O59" i="80" s="1"/>
  <c r="T45" i="31"/>
  <c r="M22" i="80" s="1"/>
  <c r="U45" i="31"/>
  <c r="N22" i="80" s="1"/>
  <c r="V45" i="31"/>
  <c r="O22" i="80" s="1"/>
  <c r="U62" i="31"/>
  <c r="N39" i="80" s="1"/>
  <c r="T62" i="31"/>
  <c r="M39" i="80" s="1"/>
  <c r="V62" i="31"/>
  <c r="O39" i="80" s="1"/>
  <c r="T53" i="31"/>
  <c r="M30" i="80" s="1"/>
  <c r="V53" i="31"/>
  <c r="O30" i="80" s="1"/>
  <c r="U53" i="31"/>
  <c r="N30" i="80" s="1"/>
  <c r="V127" i="31"/>
  <c r="O104" i="80" s="1"/>
  <c r="T127" i="31"/>
  <c r="M104" i="80" s="1"/>
  <c r="U127" i="31"/>
  <c r="N104" i="80" s="1"/>
  <c r="T162" i="31"/>
  <c r="M139" i="80" s="1"/>
  <c r="V162" i="31"/>
  <c r="O139" i="80" s="1"/>
  <c r="U162" i="31"/>
  <c r="N139" i="80" s="1"/>
  <c r="T135" i="31"/>
  <c r="M112" i="80" s="1"/>
  <c r="U135" i="31"/>
  <c r="N112" i="80" s="1"/>
  <c r="V135" i="31"/>
  <c r="O112" i="80" s="1"/>
  <c r="U63" i="31"/>
  <c r="N40" i="80" s="1"/>
  <c r="U122" i="31"/>
  <c r="N99" i="80" s="1"/>
  <c r="U97" i="31"/>
  <c r="N74" i="80" s="1"/>
  <c r="V78" i="31"/>
  <c r="O55" i="80" s="1"/>
  <c r="U145" i="31"/>
  <c r="N122" i="80" s="1"/>
  <c r="T148" i="31"/>
  <c r="M125" i="80" s="1"/>
  <c r="U148" i="31"/>
  <c r="N125" i="80" s="1"/>
  <c r="V151" i="31"/>
  <c r="O128" i="80" s="1"/>
  <c r="U151" i="31"/>
  <c r="T57" i="31"/>
  <c r="M34" i="80" s="1"/>
  <c r="U37" i="31"/>
  <c r="N14" i="80" s="1"/>
  <c r="V37" i="31"/>
  <c r="O14" i="80" s="1"/>
  <c r="T37" i="31"/>
  <c r="M14" i="80" s="1"/>
  <c r="T110" i="31"/>
  <c r="M87" i="80" s="1"/>
  <c r="V110" i="31"/>
  <c r="O87" i="80" s="1"/>
  <c r="U110" i="31"/>
  <c r="N87" i="80" s="1"/>
  <c r="V75" i="31"/>
  <c r="O52" i="80" s="1"/>
  <c r="T75" i="31"/>
  <c r="M52" i="80" s="1"/>
  <c r="U75" i="31"/>
  <c r="N52" i="80" s="1"/>
  <c r="T48" i="31"/>
  <c r="M25" i="80" s="1"/>
  <c r="U48" i="31"/>
  <c r="N25" i="80" s="1"/>
  <c r="V48" i="31"/>
  <c r="O25" i="80" s="1"/>
  <c r="T174" i="31"/>
  <c r="M151" i="80" s="1"/>
  <c r="V174" i="31"/>
  <c r="O151" i="80" s="1"/>
  <c r="U174" i="31"/>
  <c r="N151" i="80" s="1"/>
  <c r="T115" i="31"/>
  <c r="M92" i="80" s="1"/>
  <c r="V115" i="31"/>
  <c r="O92" i="80" s="1"/>
  <c r="U115" i="31"/>
  <c r="N92" i="80" s="1"/>
  <c r="T101" i="31"/>
  <c r="M78" i="80" s="1"/>
  <c r="V101" i="31"/>
  <c r="O78" i="80" s="1"/>
  <c r="U101" i="31"/>
  <c r="N78" i="80" s="1"/>
  <c r="T176" i="31"/>
  <c r="M153" i="80" s="1"/>
  <c r="U176" i="31"/>
  <c r="N153" i="80" s="1"/>
  <c r="V176" i="31"/>
  <c r="O153" i="80" s="1"/>
  <c r="T92" i="31"/>
  <c r="M69" i="80" s="1"/>
  <c r="U92" i="31"/>
  <c r="N69" i="80" s="1"/>
  <c r="V92" i="31"/>
  <c r="O69" i="80" s="1"/>
  <c r="T143" i="31"/>
  <c r="M120" i="80" s="1"/>
  <c r="U143" i="31"/>
  <c r="N120" i="80" s="1"/>
  <c r="V143" i="31"/>
  <c r="O120" i="80" s="1"/>
  <c r="T154" i="31"/>
  <c r="M131" i="80" s="1"/>
  <c r="V154" i="31"/>
  <c r="O131" i="80" s="1"/>
  <c r="U154" i="31"/>
  <c r="N131" i="80" s="1"/>
  <c r="T137" i="31"/>
  <c r="M114" i="80" s="1"/>
  <c r="U137" i="31"/>
  <c r="N114" i="80" s="1"/>
  <c r="V137" i="31"/>
  <c r="O114" i="80" s="1"/>
  <c r="T134" i="31"/>
  <c r="M111" i="80" s="1"/>
  <c r="U134" i="31"/>
  <c r="N111" i="80" s="1"/>
  <c r="V134" i="31"/>
  <c r="O111" i="80" s="1"/>
  <c r="T111" i="31"/>
  <c r="M88" i="80" s="1"/>
  <c r="U111" i="31"/>
  <c r="N88" i="80" s="1"/>
  <c r="V111" i="31"/>
  <c r="O88" i="80" s="1"/>
  <c r="T69" i="31"/>
  <c r="M46" i="80" s="1"/>
  <c r="U46" i="31"/>
  <c r="U155" i="31"/>
  <c r="N132" i="80" s="1"/>
  <c r="T155" i="31"/>
  <c r="M132" i="80" s="1"/>
  <c r="T70" i="31"/>
  <c r="M47" i="80" s="1"/>
  <c r="U70" i="31"/>
  <c r="N47" i="80" s="1"/>
  <c r="T77" i="31"/>
  <c r="M54" i="80" s="1"/>
  <c r="U77" i="31"/>
  <c r="N54" i="80" s="1"/>
  <c r="V77" i="31"/>
  <c r="O54" i="80" s="1"/>
  <c r="T133" i="31"/>
  <c r="M110" i="80" s="1"/>
  <c r="V133" i="31"/>
  <c r="O110" i="80" s="1"/>
  <c r="U133" i="31"/>
  <c r="N110" i="80" s="1"/>
  <c r="T179" i="31"/>
  <c r="M156" i="80" s="1"/>
  <c r="U179" i="31"/>
  <c r="N156" i="80" s="1"/>
  <c r="V179" i="31"/>
  <c r="O156" i="80" s="1"/>
  <c r="T89" i="31"/>
  <c r="M66" i="80" s="1"/>
  <c r="U89" i="31"/>
  <c r="N66" i="80" s="1"/>
  <c r="V89" i="31"/>
  <c r="O66" i="80" s="1"/>
  <c r="T131" i="31"/>
  <c r="M108" i="80" s="1"/>
  <c r="U131" i="31"/>
  <c r="N108" i="80" s="1"/>
  <c r="V131" i="31"/>
  <c r="O108" i="80" s="1"/>
  <c r="T136" i="31"/>
  <c r="M113" i="80" s="1"/>
  <c r="U136" i="31"/>
  <c r="N113" i="80" s="1"/>
  <c r="V136" i="31"/>
  <c r="O113" i="80" s="1"/>
  <c r="T166" i="31"/>
  <c r="M143" i="80" s="1"/>
  <c r="V166" i="31"/>
  <c r="O143" i="80" s="1"/>
  <c r="T106" i="31"/>
  <c r="M83" i="80" s="1"/>
  <c r="V106" i="31"/>
  <c r="O83" i="80" s="1"/>
  <c r="U106" i="31"/>
  <c r="N83" i="80" s="1"/>
  <c r="T114" i="31"/>
  <c r="M91" i="80" s="1"/>
  <c r="U114" i="31"/>
  <c r="N91" i="80" s="1"/>
  <c r="V114" i="31"/>
  <c r="O91" i="80" s="1"/>
  <c r="T160" i="31"/>
  <c r="M137" i="80" s="1"/>
  <c r="U160" i="31"/>
  <c r="N137" i="80" s="1"/>
  <c r="V160" i="31"/>
  <c r="O137" i="80" s="1"/>
  <c r="T99" i="31"/>
  <c r="M76" i="80" s="1"/>
  <c r="V99" i="31"/>
  <c r="O76" i="80" s="1"/>
  <c r="U99" i="31"/>
  <c r="N76" i="80" s="1"/>
  <c r="T74" i="31"/>
  <c r="M51" i="80" s="1"/>
  <c r="V74" i="31"/>
  <c r="O51" i="80" s="1"/>
  <c r="U74" i="31"/>
  <c r="N51" i="80" s="1"/>
  <c r="U140" i="31"/>
  <c r="N117" i="80" s="1"/>
  <c r="T140" i="31"/>
  <c r="M117" i="80" s="1"/>
  <c r="V140" i="31"/>
  <c r="O117" i="80" s="1"/>
  <c r="T142" i="31"/>
  <c r="M119" i="80" s="1"/>
  <c r="V142" i="31"/>
  <c r="O119" i="80" s="1"/>
  <c r="U142" i="31"/>
  <c r="N119" i="80" s="1"/>
  <c r="T26" i="31"/>
  <c r="M3" i="80" s="1"/>
  <c r="U26" i="31"/>
  <c r="N3" i="80" s="1"/>
  <c r="V26" i="31"/>
  <c r="O3" i="80" s="1"/>
  <c r="T161" i="31"/>
  <c r="M138" i="80" s="1"/>
  <c r="U161" i="31"/>
  <c r="N138" i="80" s="1"/>
  <c r="V161" i="31"/>
  <c r="O138" i="80" s="1"/>
  <c r="V125" i="31"/>
  <c r="O102" i="80" s="1"/>
  <c r="V138" i="31"/>
  <c r="O115" i="80" s="1"/>
  <c r="U163" i="31"/>
  <c r="N140" i="80" s="1"/>
  <c r="U28" i="31"/>
  <c r="N5" i="80" s="1"/>
  <c r="T169" i="31"/>
  <c r="V63" i="31"/>
  <c r="O40" i="80" s="1"/>
  <c r="V122" i="31"/>
  <c r="O99" i="80" s="1"/>
  <c r="V97" i="31"/>
  <c r="O74" i="80" s="1"/>
  <c r="U69" i="31"/>
  <c r="N46" i="80" s="1"/>
  <c r="T167" i="31"/>
  <c r="M144" i="80" s="1"/>
  <c r="T35" i="31"/>
  <c r="M12" i="80" s="1"/>
  <c r="T98" i="31"/>
  <c r="T73" i="31"/>
  <c r="M50" i="80" s="1"/>
  <c r="V155" i="31"/>
  <c r="O132" i="80" s="1"/>
  <c r="V70" i="31"/>
  <c r="O47" i="80" s="1"/>
  <c r="V177" i="31"/>
  <c r="O154" i="80" s="1"/>
  <c r="U177" i="31"/>
  <c r="N154" i="80" s="1"/>
  <c r="V148" i="31"/>
  <c r="O125" i="80" s="1"/>
  <c r="U57" i="31"/>
  <c r="N34" i="80" s="1"/>
  <c r="U166" i="31"/>
  <c r="N143" i="80" s="1"/>
  <c r="T132" i="31"/>
  <c r="M109" i="80" s="1"/>
  <c r="U132" i="31"/>
  <c r="N109" i="80" s="1"/>
  <c r="V132" i="31"/>
  <c r="O109" i="80" s="1"/>
  <c r="V85" i="31"/>
  <c r="O62" i="80" s="1"/>
  <c r="T85" i="31"/>
  <c r="M62" i="80" s="1"/>
  <c r="U85" i="31"/>
  <c r="N62" i="80" s="1"/>
  <c r="T47" i="31"/>
  <c r="M24" i="80" s="1"/>
  <c r="V47" i="31"/>
  <c r="O24" i="80" s="1"/>
  <c r="U47" i="31"/>
  <c r="N24" i="80" s="1"/>
  <c r="T86" i="31"/>
  <c r="M63" i="80" s="1"/>
  <c r="V86" i="31"/>
  <c r="O63" i="80" s="1"/>
  <c r="U86" i="31"/>
  <c r="N63" i="80" s="1"/>
  <c r="T29" i="31"/>
  <c r="M6" i="80" s="1"/>
  <c r="V29" i="31"/>
  <c r="O6" i="80" s="1"/>
  <c r="U29" i="31"/>
  <c r="N6" i="80" s="1"/>
  <c r="T108" i="31"/>
  <c r="M85" i="80" s="1"/>
  <c r="V108" i="31"/>
  <c r="O85" i="80" s="1"/>
  <c r="U108" i="31"/>
  <c r="N85" i="80" s="1"/>
  <c r="T171" i="31"/>
  <c r="M148" i="80" s="1"/>
  <c r="V171" i="31"/>
  <c r="O148" i="80" s="1"/>
  <c r="U171" i="31"/>
  <c r="N148" i="80" s="1"/>
  <c r="T71" i="31"/>
  <c r="M48" i="80" s="1"/>
  <c r="V71" i="31"/>
  <c r="O48" i="80" s="1"/>
  <c r="U71" i="31"/>
  <c r="N48" i="80" s="1"/>
  <c r="U164" i="31"/>
  <c r="N141" i="80" s="1"/>
  <c r="V164" i="31"/>
  <c r="O141" i="80" s="1"/>
  <c r="T164" i="31"/>
  <c r="M141" i="80" s="1"/>
  <c r="T84" i="31"/>
  <c r="M61" i="80" s="1"/>
  <c r="U84" i="31"/>
  <c r="N61" i="80" s="1"/>
  <c r="V84" i="31"/>
  <c r="O61" i="80" s="1"/>
  <c r="T126" i="31"/>
  <c r="M103" i="80" s="1"/>
  <c r="U126" i="31"/>
  <c r="N103" i="80" s="1"/>
  <c r="V126" i="31"/>
  <c r="O103" i="80" s="1"/>
  <c r="T44" i="31"/>
  <c r="M21" i="80" s="1"/>
  <c r="V44" i="31"/>
  <c r="O21" i="80" s="1"/>
  <c r="U44" i="31"/>
  <c r="N21" i="80" s="1"/>
  <c r="U107" i="31"/>
  <c r="N84" i="80" s="1"/>
  <c r="T107" i="31"/>
  <c r="M84" i="80" s="1"/>
  <c r="V107" i="31"/>
  <c r="O84" i="80" s="1"/>
  <c r="T146" i="31"/>
  <c r="M123" i="80" s="1"/>
  <c r="V146" i="31"/>
  <c r="O123" i="80" s="1"/>
  <c r="U146" i="31"/>
  <c r="N123" i="80" s="1"/>
  <c r="T41" i="31"/>
  <c r="M18" i="80" s="1"/>
  <c r="V41" i="31"/>
  <c r="O18" i="80" s="1"/>
  <c r="U41" i="31"/>
  <c r="N18" i="80" s="1"/>
  <c r="T173" i="31"/>
  <c r="M150" i="80" s="1"/>
  <c r="U173" i="31"/>
  <c r="N150" i="80" s="1"/>
  <c r="V173" i="31"/>
  <c r="O150" i="80" s="1"/>
  <c r="T117" i="31"/>
  <c r="M94" i="80" s="1"/>
  <c r="U117" i="31"/>
  <c r="N94" i="80" s="1"/>
  <c r="V117" i="31"/>
  <c r="O94" i="80" s="1"/>
  <c r="U93" i="31"/>
  <c r="N70" i="80" s="1"/>
  <c r="T105" i="31"/>
  <c r="M82" i="80" s="1"/>
  <c r="T157" i="31"/>
  <c r="M134" i="80" s="1"/>
  <c r="U112" i="31"/>
  <c r="N89" i="80" s="1"/>
  <c r="T112" i="31"/>
  <c r="M89" i="80" s="1"/>
  <c r="T113" i="31"/>
  <c r="M90" i="80" s="1"/>
  <c r="V113" i="31"/>
  <c r="O90" i="80" s="1"/>
  <c r="U113" i="31"/>
  <c r="N90" i="80" s="1"/>
  <c r="U32" i="31"/>
  <c r="N9" i="80" s="1"/>
  <c r="T32" i="31"/>
  <c r="M9" i="80" s="1"/>
  <c r="V32" i="31"/>
  <c r="O9" i="80" s="1"/>
  <c r="T43" i="31"/>
  <c r="M20" i="80" s="1"/>
  <c r="U43" i="31"/>
  <c r="N20" i="80" s="1"/>
  <c r="V43" i="31"/>
  <c r="O20" i="80" s="1"/>
  <c r="T95" i="31"/>
  <c r="M72" i="80" s="1"/>
  <c r="V95" i="31"/>
  <c r="O72" i="80" s="1"/>
  <c r="U95" i="31"/>
  <c r="N72" i="80" s="1"/>
  <c r="T90" i="31"/>
  <c r="M67" i="80" s="1"/>
  <c r="U90" i="31"/>
  <c r="N67" i="80" s="1"/>
  <c r="V90" i="31"/>
  <c r="O67" i="80" s="1"/>
  <c r="T65" i="31"/>
  <c r="M42" i="80" s="1"/>
  <c r="V65" i="31"/>
  <c r="O42" i="80" s="1"/>
  <c r="U65" i="31"/>
  <c r="N42" i="80" s="1"/>
  <c r="T158" i="31"/>
  <c r="M135" i="80" s="1"/>
  <c r="U158" i="31"/>
  <c r="N135" i="80" s="1"/>
  <c r="V158" i="31"/>
  <c r="O135" i="80" s="1"/>
  <c r="V118" i="31"/>
  <c r="O95" i="80" s="1"/>
  <c r="U118" i="31"/>
  <c r="N95" i="80" s="1"/>
  <c r="T118" i="31"/>
  <c r="M95" i="80" s="1"/>
  <c r="T129" i="31"/>
  <c r="M106" i="80" s="1"/>
  <c r="U129" i="31"/>
  <c r="N106" i="80" s="1"/>
  <c r="V129" i="31"/>
  <c r="O106" i="80" s="1"/>
  <c r="T79" i="31"/>
  <c r="M56" i="80" s="1"/>
  <c r="V79" i="31"/>
  <c r="O56" i="80" s="1"/>
  <c r="U79" i="31"/>
  <c r="N56" i="80" s="1"/>
  <c r="T93" i="31"/>
  <c r="M70" i="80" s="1"/>
  <c r="T100" i="31"/>
  <c r="M77" i="80" s="1"/>
  <c r="U100" i="31"/>
  <c r="N77" i="80" s="1"/>
  <c r="V100" i="31"/>
  <c r="O77" i="80" s="1"/>
  <c r="T66" i="31"/>
  <c r="M43" i="80" s="1"/>
  <c r="U66" i="31"/>
  <c r="N43" i="80" s="1"/>
  <c r="V66" i="31"/>
  <c r="O43" i="80" s="1"/>
  <c r="U50" i="31"/>
  <c r="N27" i="80" s="1"/>
  <c r="V50" i="31"/>
  <c r="O27" i="80" s="1"/>
  <c r="V112" i="31"/>
  <c r="O89" i="80" s="1"/>
  <c r="T104" i="31"/>
  <c r="M81" i="80" s="1"/>
  <c r="U104" i="31"/>
  <c r="N81" i="80" s="1"/>
  <c r="V104" i="31"/>
  <c r="O81" i="80" s="1"/>
  <c r="T109" i="31"/>
  <c r="M86" i="80" s="1"/>
  <c r="V109" i="31"/>
  <c r="O86" i="80" s="1"/>
  <c r="U109" i="31"/>
  <c r="N86" i="80" s="1"/>
  <c r="U58" i="31"/>
  <c r="N35" i="80" s="1"/>
  <c r="T58" i="31"/>
  <c r="M35" i="80" s="1"/>
  <c r="V58" i="31"/>
  <c r="O35" i="80" s="1"/>
  <c r="U51" i="31"/>
  <c r="N28" i="80" s="1"/>
  <c r="V51" i="31"/>
  <c r="O28" i="80" s="1"/>
  <c r="T51" i="31"/>
  <c r="M28" i="80" s="1"/>
  <c r="T144" i="31"/>
  <c r="M121" i="80" s="1"/>
  <c r="V144" i="31"/>
  <c r="O121" i="80" s="1"/>
  <c r="U144" i="31"/>
  <c r="N121" i="80" s="1"/>
  <c r="T147" i="31"/>
  <c r="M124" i="80" s="1"/>
  <c r="V147" i="31"/>
  <c r="O124" i="80" s="1"/>
  <c r="U147" i="31"/>
  <c r="N124" i="80" s="1"/>
  <c r="T168" i="31"/>
  <c r="M145" i="80" s="1"/>
  <c r="V168" i="31"/>
  <c r="O145" i="80" s="1"/>
  <c r="U168" i="31"/>
  <c r="N145" i="80" s="1"/>
  <c r="T180" i="31"/>
  <c r="M157" i="80" s="1"/>
  <c r="U180" i="31"/>
  <c r="N157" i="80" s="1"/>
  <c r="V180" i="31"/>
  <c r="O157" i="80" s="1"/>
  <c r="T56" i="31"/>
  <c r="M33" i="80" s="1"/>
  <c r="V56" i="31"/>
  <c r="O33" i="80" s="1"/>
  <c r="U56" i="31"/>
  <c r="N33" i="80" s="1"/>
  <c r="U172" i="31"/>
  <c r="N149" i="80" s="1"/>
  <c r="V172" i="31"/>
  <c r="O149" i="80" s="1"/>
  <c r="T172" i="31"/>
  <c r="M149" i="80" s="1"/>
  <c r="U105" i="31"/>
  <c r="N82" i="80" s="1"/>
  <c r="V157" i="31"/>
  <c r="O134" i="80" s="1"/>
  <c r="T50" i="31"/>
  <c r="M27" i="80" s="1"/>
  <c r="T124" i="31"/>
  <c r="M101" i="80" s="1"/>
  <c r="U124" i="31"/>
  <c r="N101" i="80" s="1"/>
  <c r="V124" i="31"/>
  <c r="O101" i="80" s="1"/>
  <c r="T39" i="31"/>
  <c r="M16" i="80" s="1"/>
  <c r="V39" i="31"/>
  <c r="O16" i="80" s="1"/>
  <c r="U39" i="31"/>
  <c r="N16" i="80" s="1"/>
  <c r="T59" i="31"/>
  <c r="M36" i="80" s="1"/>
  <c r="V59" i="31"/>
  <c r="O36" i="80" s="1"/>
  <c r="U59" i="31"/>
  <c r="N36" i="80" s="1"/>
  <c r="U156" i="31"/>
  <c r="N133" i="80" s="1"/>
  <c r="T156" i="31"/>
  <c r="M133" i="80" s="1"/>
  <c r="V156" i="31"/>
  <c r="O133" i="80" s="1"/>
  <c r="T94" i="31"/>
  <c r="M71" i="80" s="1"/>
  <c r="U94" i="31"/>
  <c r="N71" i="80" s="1"/>
  <c r="V94" i="31"/>
  <c r="O71" i="80" s="1"/>
  <c r="T60" i="31"/>
  <c r="M37" i="80" s="1"/>
  <c r="V60" i="31"/>
  <c r="O37" i="80" s="1"/>
  <c r="U60" i="31"/>
  <c r="N37" i="80" s="1"/>
  <c r="T96" i="31"/>
  <c r="M73" i="80" s="1"/>
  <c r="V96" i="31"/>
  <c r="O73" i="80" s="1"/>
  <c r="U96" i="31"/>
  <c r="N73" i="80" s="1"/>
  <c r="T102" i="31"/>
  <c r="M79" i="80" s="1"/>
  <c r="U102" i="31"/>
  <c r="N79" i="80" s="1"/>
  <c r="V102" i="31"/>
  <c r="O79" i="80" s="1"/>
  <c r="T34" i="31"/>
  <c r="M11" i="80" s="1"/>
  <c r="V34" i="31"/>
  <c r="O11" i="80" s="1"/>
  <c r="U34" i="31"/>
  <c r="N11" i="80" s="1"/>
  <c r="T159" i="31"/>
  <c r="M136" i="80" s="1"/>
  <c r="V159" i="31"/>
  <c r="O136" i="80" s="1"/>
  <c r="U159" i="31"/>
  <c r="N136" i="80" s="1"/>
  <c r="T36" i="31"/>
  <c r="T76" i="31"/>
  <c r="T87" i="31"/>
  <c r="M64" i="80" s="1"/>
  <c r="T152" i="31"/>
  <c r="M129" i="80" s="1"/>
  <c r="T178" i="31"/>
  <c r="M155" i="80" s="1"/>
  <c r="U80" i="31"/>
  <c r="N57" i="80" s="1"/>
  <c r="V80" i="31"/>
  <c r="O57" i="80" s="1"/>
  <c r="T80" i="31"/>
  <c r="M57" i="80" s="1"/>
  <c r="T81" i="31"/>
  <c r="M58" i="80" s="1"/>
  <c r="T68" i="31"/>
  <c r="M45" i="80" s="1"/>
  <c r="U68" i="31"/>
  <c r="N45" i="80" s="1"/>
  <c r="V130" i="31"/>
  <c r="O107" i="80" s="1"/>
  <c r="U33" i="31"/>
  <c r="N10" i="80" s="1"/>
  <c r="V123" i="31"/>
  <c r="O100" i="80" s="1"/>
  <c r="V81" i="31"/>
  <c r="O58" i="80" s="1"/>
  <c r="T153" i="31"/>
  <c r="M130" i="80" s="1"/>
  <c r="U153" i="31"/>
  <c r="N130" i="80" s="1"/>
  <c r="V153" i="31"/>
  <c r="O130" i="80" s="1"/>
  <c r="T130" i="31"/>
  <c r="M107" i="80" s="1"/>
  <c r="T33" i="31"/>
  <c r="M10" i="80" s="1"/>
  <c r="T123" i="31"/>
  <c r="M100" i="80" s="1"/>
  <c r="V178" i="31"/>
  <c r="O155" i="80" s="1"/>
  <c r="U178" i="31"/>
  <c r="N155" i="80" s="1"/>
  <c r="U81" i="31"/>
  <c r="N58" i="80" s="1"/>
  <c r="V68" i="31"/>
  <c r="O45" i="80" s="1"/>
  <c r="V83" i="31"/>
  <c r="O60" i="80" s="1"/>
  <c r="U83" i="31"/>
  <c r="N60" i="80" s="1"/>
  <c r="T83" i="31"/>
  <c r="M60" i="80" s="1"/>
  <c r="O158" i="80" l="1"/>
  <c r="W76" i="31"/>
  <c r="M53" i="80"/>
  <c r="W169" i="31"/>
  <c r="M146" i="80"/>
  <c r="W46" i="31"/>
  <c r="N23" i="80"/>
  <c r="N158" i="80" s="1"/>
  <c r="W36" i="31"/>
  <c r="M13" i="80"/>
  <c r="M158" i="80" s="1"/>
  <c r="W98" i="31"/>
  <c r="M75" i="80"/>
  <c r="W151" i="31"/>
  <c r="N128" i="80"/>
  <c r="W87" i="31"/>
  <c r="W73" i="31"/>
  <c r="W97" i="31"/>
  <c r="W152" i="31"/>
  <c r="W35" i="31"/>
  <c r="W53" i="31"/>
  <c r="W116" i="31"/>
  <c r="W122" i="31"/>
  <c r="W167" i="31"/>
  <c r="W85" i="31"/>
  <c r="W177" i="31"/>
  <c r="W58" i="31"/>
  <c r="W93" i="31"/>
  <c r="W26" i="31"/>
  <c r="W56" i="31"/>
  <c r="W104" i="31"/>
  <c r="W161" i="31"/>
  <c r="W48" i="31"/>
  <c r="W120" i="31"/>
  <c r="W80" i="31"/>
  <c r="W109" i="31"/>
  <c r="W106" i="31"/>
  <c r="W72" i="31"/>
  <c r="W130" i="31"/>
  <c r="W142" i="31"/>
  <c r="W119" i="31"/>
  <c r="W31" i="31"/>
  <c r="W30" i="31"/>
  <c r="W42" i="31"/>
  <c r="W165" i="31"/>
  <c r="W68" i="31"/>
  <c r="W156" i="31"/>
  <c r="W100" i="31"/>
  <c r="W114" i="31"/>
  <c r="W131" i="31"/>
  <c r="W64" i="31"/>
  <c r="W149" i="31"/>
  <c r="W141" i="31"/>
  <c r="W83" i="31"/>
  <c r="W118" i="31"/>
  <c r="W32" i="31"/>
  <c r="W107" i="31"/>
  <c r="W140" i="31"/>
  <c r="W74" i="31"/>
  <c r="W99" i="31"/>
  <c r="W160" i="31"/>
  <c r="W136" i="31"/>
  <c r="W75" i="31"/>
  <c r="W162" i="31"/>
  <c r="W82" i="31"/>
  <c r="W128" i="31"/>
  <c r="W33" i="31"/>
  <c r="W180" i="31"/>
  <c r="W168" i="31"/>
  <c r="W147" i="31"/>
  <c r="W144" i="31"/>
  <c r="W166" i="31"/>
  <c r="W179" i="31"/>
  <c r="W135" i="31"/>
  <c r="W45" i="31"/>
  <c r="W121" i="31"/>
  <c r="W38" i="31"/>
  <c r="W112" i="31"/>
  <c r="W105" i="31"/>
  <c r="W69" i="31"/>
  <c r="W57" i="31"/>
  <c r="W62" i="31"/>
  <c r="W145" i="31"/>
  <c r="W138" i="31"/>
  <c r="W25" i="31"/>
  <c r="W34" i="31"/>
  <c r="W102" i="31"/>
  <c r="W96" i="31"/>
  <c r="W124" i="31"/>
  <c r="W129" i="31"/>
  <c r="W95" i="31"/>
  <c r="W113" i="31"/>
  <c r="W117" i="31"/>
  <c r="W146" i="31"/>
  <c r="W44" i="31"/>
  <c r="W171" i="31"/>
  <c r="W47" i="31"/>
  <c r="W132" i="31"/>
  <c r="W111" i="31"/>
  <c r="W154" i="31"/>
  <c r="W143" i="31"/>
  <c r="W78" i="31"/>
  <c r="W28" i="31"/>
  <c r="R22" i="31"/>
  <c r="AD22" i="31" s="1"/>
  <c r="D14" i="74"/>
  <c r="B20" i="31"/>
  <c r="B21" i="31" s="1"/>
  <c r="W61" i="31"/>
  <c r="W123" i="31"/>
  <c r="W159" i="31"/>
  <c r="W60" i="31"/>
  <c r="W94" i="31"/>
  <c r="W59" i="31"/>
  <c r="W39" i="31"/>
  <c r="W51" i="31"/>
  <c r="W79" i="31"/>
  <c r="W158" i="31"/>
  <c r="W65" i="31"/>
  <c r="W90" i="31"/>
  <c r="W43" i="31"/>
  <c r="W157" i="31"/>
  <c r="W173" i="31"/>
  <c r="W41" i="31"/>
  <c r="W126" i="31"/>
  <c r="W84" i="31"/>
  <c r="W71" i="31"/>
  <c r="W108" i="31"/>
  <c r="W29" i="31"/>
  <c r="W86" i="31"/>
  <c r="W70" i="31"/>
  <c r="W134" i="31"/>
  <c r="W137" i="31"/>
  <c r="W92" i="31"/>
  <c r="W176" i="31"/>
  <c r="W101" i="31"/>
  <c r="W115" i="31"/>
  <c r="W174" i="31"/>
  <c r="W110" i="31"/>
  <c r="W148" i="31"/>
  <c r="W40" i="31"/>
  <c r="W63" i="31"/>
  <c r="W163" i="31"/>
  <c r="W125" i="31"/>
  <c r="W103" i="31"/>
  <c r="W91" i="31"/>
  <c r="W175" i="31"/>
  <c r="W88" i="31"/>
  <c r="W55" i="31"/>
  <c r="W178" i="31"/>
  <c r="W153" i="31"/>
  <c r="W81" i="31"/>
  <c r="W50" i="31"/>
  <c r="W172" i="31"/>
  <c r="W66" i="31"/>
  <c r="W164" i="31"/>
  <c r="W89" i="31"/>
  <c r="W133" i="31"/>
  <c r="W77" i="31"/>
  <c r="W155" i="31"/>
  <c r="W37" i="31"/>
  <c r="W127" i="31"/>
  <c r="W54" i="31"/>
  <c r="W150" i="31"/>
  <c r="W52" i="31"/>
  <c r="W170" i="31"/>
  <c r="W139" i="31"/>
  <c r="W49" i="31"/>
  <c r="W67" i="31"/>
  <c r="X103" i="31" l="1"/>
  <c r="Q80" i="80" s="1"/>
  <c r="P80" i="80"/>
  <c r="X137" i="31"/>
  <c r="Q114" i="80" s="1"/>
  <c r="P114" i="80"/>
  <c r="X29" i="31"/>
  <c r="Q6" i="80" s="1"/>
  <c r="P6" i="80"/>
  <c r="X126" i="31"/>
  <c r="Q103" i="80" s="1"/>
  <c r="P103" i="80"/>
  <c r="X43" i="31"/>
  <c r="Q20" i="80" s="1"/>
  <c r="P20" i="80"/>
  <c r="X79" i="31"/>
  <c r="Q56" i="80" s="1"/>
  <c r="P56" i="80"/>
  <c r="X94" i="31"/>
  <c r="Q71" i="80" s="1"/>
  <c r="P71" i="80"/>
  <c r="X61" i="31"/>
  <c r="Q38" i="80" s="1"/>
  <c r="P38" i="80"/>
  <c r="X28" i="31"/>
  <c r="Q5" i="80" s="1"/>
  <c r="P5" i="80"/>
  <c r="X111" i="31"/>
  <c r="Q88" i="80" s="1"/>
  <c r="P88" i="80"/>
  <c r="X44" i="31"/>
  <c r="Q21" i="80" s="1"/>
  <c r="P21" i="80"/>
  <c r="X95" i="31"/>
  <c r="Q72" i="80" s="1"/>
  <c r="P72" i="80"/>
  <c r="X102" i="31"/>
  <c r="Q79" i="80" s="1"/>
  <c r="P79" i="80"/>
  <c r="X145" i="31"/>
  <c r="Q122" i="80" s="1"/>
  <c r="P122" i="80"/>
  <c r="X105" i="31"/>
  <c r="Q82" i="80" s="1"/>
  <c r="P82" i="80"/>
  <c r="X45" i="31"/>
  <c r="Q22" i="80" s="1"/>
  <c r="P22" i="80"/>
  <c r="X144" i="31"/>
  <c r="Q121" i="80" s="1"/>
  <c r="P121" i="80"/>
  <c r="X33" i="31"/>
  <c r="Q10" i="80" s="1"/>
  <c r="P10" i="80"/>
  <c r="X75" i="31"/>
  <c r="Q52" i="80" s="1"/>
  <c r="P52" i="80"/>
  <c r="X74" i="31"/>
  <c r="Q51" i="80" s="1"/>
  <c r="P51" i="80"/>
  <c r="X118" i="31"/>
  <c r="Q95" i="80" s="1"/>
  <c r="P95" i="80"/>
  <c r="X64" i="31"/>
  <c r="Q41" i="80" s="1"/>
  <c r="P41" i="80"/>
  <c r="X156" i="31"/>
  <c r="Q133" i="80" s="1"/>
  <c r="P133" i="80"/>
  <c r="X30" i="31"/>
  <c r="Q7" i="80" s="1"/>
  <c r="P7" i="80"/>
  <c r="X130" i="31"/>
  <c r="Q107" i="80" s="1"/>
  <c r="P107" i="80"/>
  <c r="X80" i="31"/>
  <c r="Q57" i="80" s="1"/>
  <c r="P57" i="80"/>
  <c r="X104" i="31"/>
  <c r="Q81" i="80" s="1"/>
  <c r="P81" i="80"/>
  <c r="X58" i="31"/>
  <c r="Q35" i="80" s="1"/>
  <c r="P35" i="80"/>
  <c r="X122" i="31"/>
  <c r="Q99" i="80" s="1"/>
  <c r="P99" i="80"/>
  <c r="X152" i="31"/>
  <c r="Q129" i="80" s="1"/>
  <c r="P129" i="80"/>
  <c r="X67" i="31"/>
  <c r="Q44" i="80" s="1"/>
  <c r="P44" i="80"/>
  <c r="X55" i="31"/>
  <c r="Q32" i="80" s="1"/>
  <c r="P32" i="80"/>
  <c r="X148" i="31"/>
  <c r="Q125" i="80" s="1"/>
  <c r="P125" i="80"/>
  <c r="X78" i="31"/>
  <c r="Q55" i="80" s="1"/>
  <c r="P55" i="80"/>
  <c r="X132" i="31"/>
  <c r="Q109" i="80" s="1"/>
  <c r="P109" i="80"/>
  <c r="X146" i="31"/>
  <c r="Q123" i="80" s="1"/>
  <c r="P123" i="80"/>
  <c r="X129" i="31"/>
  <c r="Q106" i="80" s="1"/>
  <c r="P106" i="80"/>
  <c r="X34" i="31"/>
  <c r="Q11" i="80" s="1"/>
  <c r="P11" i="80"/>
  <c r="X62" i="31"/>
  <c r="Q39" i="80" s="1"/>
  <c r="P39" i="80"/>
  <c r="X112" i="31"/>
  <c r="Q89" i="80" s="1"/>
  <c r="P89" i="80"/>
  <c r="X135" i="31"/>
  <c r="Q112" i="80" s="1"/>
  <c r="P112" i="80"/>
  <c r="X147" i="31"/>
  <c r="Q124" i="80" s="1"/>
  <c r="P124" i="80"/>
  <c r="X128" i="31"/>
  <c r="Q105" i="80" s="1"/>
  <c r="P105" i="80"/>
  <c r="X136" i="31"/>
  <c r="Q113" i="80" s="1"/>
  <c r="P113" i="80"/>
  <c r="X140" i="31"/>
  <c r="Q117" i="80" s="1"/>
  <c r="P117" i="80"/>
  <c r="X83" i="31"/>
  <c r="Q60" i="80" s="1"/>
  <c r="P60" i="80"/>
  <c r="X131" i="31"/>
  <c r="Q108" i="80" s="1"/>
  <c r="P108" i="80"/>
  <c r="X68" i="31"/>
  <c r="Q45" i="80" s="1"/>
  <c r="P45" i="80"/>
  <c r="X31" i="31"/>
  <c r="Q8" i="80" s="1"/>
  <c r="P8" i="80"/>
  <c r="X72" i="31"/>
  <c r="Q49" i="80" s="1"/>
  <c r="P49" i="80"/>
  <c r="X120" i="31"/>
  <c r="Q97" i="80" s="1"/>
  <c r="P97" i="80"/>
  <c r="X56" i="31"/>
  <c r="Q33" i="80" s="1"/>
  <c r="P33" i="80"/>
  <c r="X177" i="31"/>
  <c r="Q154" i="80" s="1"/>
  <c r="P154" i="80"/>
  <c r="X116" i="31"/>
  <c r="Q93" i="80" s="1"/>
  <c r="P93" i="80"/>
  <c r="X97" i="31"/>
  <c r="Q74" i="80" s="1"/>
  <c r="P74" i="80"/>
  <c r="X151" i="31"/>
  <c r="Q128" i="80" s="1"/>
  <c r="P128" i="80"/>
  <c r="X36" i="31"/>
  <c r="Q13" i="80" s="1"/>
  <c r="P13" i="80"/>
  <c r="X169" i="31"/>
  <c r="Q146" i="80" s="1"/>
  <c r="P146" i="80"/>
  <c r="X37" i="31"/>
  <c r="Q14" i="80" s="1"/>
  <c r="P14" i="80"/>
  <c r="X50" i="31"/>
  <c r="Q27" i="80" s="1"/>
  <c r="P27" i="80"/>
  <c r="X40" i="31"/>
  <c r="Q17" i="80" s="1"/>
  <c r="P17" i="80"/>
  <c r="X49" i="31"/>
  <c r="Q26" i="80" s="1"/>
  <c r="P26" i="80"/>
  <c r="X155" i="31"/>
  <c r="Q132" i="80" s="1"/>
  <c r="P132" i="80"/>
  <c r="X81" i="31"/>
  <c r="Q58" i="80" s="1"/>
  <c r="P58" i="80"/>
  <c r="X125" i="31"/>
  <c r="Q102" i="80" s="1"/>
  <c r="P102" i="80"/>
  <c r="X134" i="31"/>
  <c r="Q111" i="80" s="1"/>
  <c r="P111" i="80"/>
  <c r="X41" i="31"/>
  <c r="Q18" i="80" s="1"/>
  <c r="P18" i="80"/>
  <c r="X51" i="31"/>
  <c r="Q28" i="80" s="1"/>
  <c r="P28" i="80"/>
  <c r="X54" i="31"/>
  <c r="Q31" i="80" s="1"/>
  <c r="P31" i="80"/>
  <c r="X153" i="31"/>
  <c r="Q130" i="80" s="1"/>
  <c r="P130" i="80"/>
  <c r="X163" i="31"/>
  <c r="Q140" i="80" s="1"/>
  <c r="P140" i="80"/>
  <c r="X110" i="31"/>
  <c r="Q87" i="80" s="1"/>
  <c r="P87" i="80"/>
  <c r="X176" i="31"/>
  <c r="Q153" i="80" s="1"/>
  <c r="P153" i="80"/>
  <c r="X70" i="31"/>
  <c r="Q47" i="80" s="1"/>
  <c r="P47" i="80"/>
  <c r="X71" i="31"/>
  <c r="Q48" i="80" s="1"/>
  <c r="P48" i="80"/>
  <c r="X173" i="31"/>
  <c r="Q150" i="80" s="1"/>
  <c r="P150" i="80"/>
  <c r="X65" i="31"/>
  <c r="Q42" i="80" s="1"/>
  <c r="P42" i="80"/>
  <c r="X39" i="31"/>
  <c r="Q16" i="80" s="1"/>
  <c r="P16" i="80"/>
  <c r="X159" i="31"/>
  <c r="Q136" i="80" s="1"/>
  <c r="P136" i="80"/>
  <c r="X143" i="31"/>
  <c r="Q120" i="80" s="1"/>
  <c r="P120" i="80"/>
  <c r="X47" i="31"/>
  <c r="Q24" i="80" s="1"/>
  <c r="P24" i="80"/>
  <c r="X117" i="31"/>
  <c r="Q94" i="80" s="1"/>
  <c r="P94" i="80"/>
  <c r="X124" i="31"/>
  <c r="Q101" i="80" s="1"/>
  <c r="P101" i="80"/>
  <c r="X57" i="31"/>
  <c r="Q34" i="80" s="1"/>
  <c r="P34" i="80"/>
  <c r="X38" i="31"/>
  <c r="Q15" i="80" s="1"/>
  <c r="P15" i="80"/>
  <c r="X179" i="31"/>
  <c r="Q156" i="80" s="1"/>
  <c r="P156" i="80"/>
  <c r="X168" i="31"/>
  <c r="Q145" i="80" s="1"/>
  <c r="P145" i="80"/>
  <c r="X82" i="31"/>
  <c r="Q59" i="80" s="1"/>
  <c r="P59" i="80"/>
  <c r="X160" i="31"/>
  <c r="Q137" i="80" s="1"/>
  <c r="P137" i="80"/>
  <c r="X107" i="31"/>
  <c r="Q84" i="80" s="1"/>
  <c r="P84" i="80"/>
  <c r="X141" i="31"/>
  <c r="Q118" i="80" s="1"/>
  <c r="P118" i="80"/>
  <c r="X114" i="31"/>
  <c r="Q91" i="80" s="1"/>
  <c r="P91" i="80"/>
  <c r="X165" i="31"/>
  <c r="Q142" i="80" s="1"/>
  <c r="P142" i="80"/>
  <c r="X119" i="31"/>
  <c r="Q96" i="80" s="1"/>
  <c r="P96" i="80"/>
  <c r="X106" i="31"/>
  <c r="Q83" i="80" s="1"/>
  <c r="P83" i="80"/>
  <c r="X48" i="31"/>
  <c r="Q25" i="80" s="1"/>
  <c r="P25" i="80"/>
  <c r="X26" i="31"/>
  <c r="Q3" i="80" s="1"/>
  <c r="P3" i="80"/>
  <c r="X85" i="31"/>
  <c r="Q62" i="80" s="1"/>
  <c r="P62" i="80"/>
  <c r="X53" i="31"/>
  <c r="Q30" i="80" s="1"/>
  <c r="P30" i="80"/>
  <c r="X73" i="31"/>
  <c r="Q50" i="80" s="1"/>
  <c r="P50" i="80"/>
  <c r="X52" i="31"/>
  <c r="Q29" i="80" s="1"/>
  <c r="P29" i="80"/>
  <c r="X89" i="31"/>
  <c r="Q66" i="80" s="1"/>
  <c r="P66" i="80"/>
  <c r="X115" i="31"/>
  <c r="Q92" i="80" s="1"/>
  <c r="P92" i="80"/>
  <c r="X150" i="31"/>
  <c r="Q127" i="80" s="1"/>
  <c r="P127" i="80"/>
  <c r="X164" i="31"/>
  <c r="Q141" i="80" s="1"/>
  <c r="P141" i="80"/>
  <c r="X88" i="31"/>
  <c r="Q65" i="80" s="1"/>
  <c r="P65" i="80"/>
  <c r="X101" i="31"/>
  <c r="Q78" i="80" s="1"/>
  <c r="P78" i="80"/>
  <c r="X108" i="31"/>
  <c r="Q85" i="80" s="1"/>
  <c r="P85" i="80"/>
  <c r="X90" i="31"/>
  <c r="Q67" i="80" s="1"/>
  <c r="P67" i="80"/>
  <c r="X60" i="31"/>
  <c r="Q37" i="80" s="1"/>
  <c r="P37" i="80"/>
  <c r="X139" i="31"/>
  <c r="Q116" i="80" s="1"/>
  <c r="P116" i="80"/>
  <c r="X77" i="31"/>
  <c r="Q54" i="80" s="1"/>
  <c r="P54" i="80"/>
  <c r="X66" i="31"/>
  <c r="Q43" i="80" s="1"/>
  <c r="P43" i="80"/>
  <c r="X175" i="31"/>
  <c r="Q152" i="80" s="1"/>
  <c r="P152" i="80"/>
  <c r="X170" i="31"/>
  <c r="Q147" i="80" s="1"/>
  <c r="P147" i="80"/>
  <c r="X127" i="31"/>
  <c r="Q104" i="80" s="1"/>
  <c r="P104" i="80"/>
  <c r="X133" i="31"/>
  <c r="Q110" i="80" s="1"/>
  <c r="P110" i="80"/>
  <c r="X172" i="31"/>
  <c r="Q149" i="80" s="1"/>
  <c r="P149" i="80"/>
  <c r="X178" i="31"/>
  <c r="Q155" i="80" s="1"/>
  <c r="P155" i="80"/>
  <c r="X91" i="31"/>
  <c r="Q68" i="80" s="1"/>
  <c r="P68" i="80"/>
  <c r="X63" i="31"/>
  <c r="Q40" i="80" s="1"/>
  <c r="P40" i="80"/>
  <c r="X174" i="31"/>
  <c r="Q151" i="80" s="1"/>
  <c r="P151" i="80"/>
  <c r="X92" i="31"/>
  <c r="Q69" i="80" s="1"/>
  <c r="P69" i="80"/>
  <c r="X86" i="31"/>
  <c r="Q63" i="80" s="1"/>
  <c r="P63" i="80"/>
  <c r="X84" i="31"/>
  <c r="Q61" i="80" s="1"/>
  <c r="P61" i="80"/>
  <c r="X157" i="31"/>
  <c r="Q134" i="80" s="1"/>
  <c r="P134" i="80"/>
  <c r="X158" i="31"/>
  <c r="Q135" i="80" s="1"/>
  <c r="P135" i="80"/>
  <c r="X59" i="31"/>
  <c r="Q36" i="80" s="1"/>
  <c r="P36" i="80"/>
  <c r="X123" i="31"/>
  <c r="Q100" i="80" s="1"/>
  <c r="P100" i="80"/>
  <c r="X154" i="31"/>
  <c r="Q131" i="80" s="1"/>
  <c r="P131" i="80"/>
  <c r="X171" i="31"/>
  <c r="Q148" i="80" s="1"/>
  <c r="P148" i="80"/>
  <c r="X113" i="31"/>
  <c r="Q90" i="80" s="1"/>
  <c r="P90" i="80"/>
  <c r="X96" i="31"/>
  <c r="Q73" i="80" s="1"/>
  <c r="P73" i="80"/>
  <c r="X138" i="31"/>
  <c r="Q115" i="80" s="1"/>
  <c r="P115" i="80"/>
  <c r="X69" i="31"/>
  <c r="Q46" i="80" s="1"/>
  <c r="P46" i="80"/>
  <c r="X121" i="31"/>
  <c r="Q98" i="80" s="1"/>
  <c r="P98" i="80"/>
  <c r="X166" i="31"/>
  <c r="Q143" i="80" s="1"/>
  <c r="P143" i="80"/>
  <c r="X180" i="31"/>
  <c r="Q157" i="80" s="1"/>
  <c r="P157" i="80"/>
  <c r="X162" i="31"/>
  <c r="Q139" i="80" s="1"/>
  <c r="P139" i="80"/>
  <c r="X99" i="31"/>
  <c r="Q76" i="80" s="1"/>
  <c r="P76" i="80"/>
  <c r="X32" i="31"/>
  <c r="Q9" i="80" s="1"/>
  <c r="P9" i="80"/>
  <c r="X149" i="31"/>
  <c r="Q126" i="80" s="1"/>
  <c r="P126" i="80"/>
  <c r="X100" i="31"/>
  <c r="Q77" i="80" s="1"/>
  <c r="P77" i="80"/>
  <c r="X42" i="31"/>
  <c r="Q19" i="80" s="1"/>
  <c r="P19" i="80"/>
  <c r="X142" i="31"/>
  <c r="Q119" i="80" s="1"/>
  <c r="P119" i="80"/>
  <c r="X109" i="31"/>
  <c r="Q86" i="80" s="1"/>
  <c r="P86" i="80"/>
  <c r="X161" i="31"/>
  <c r="Q138" i="80" s="1"/>
  <c r="P138" i="80"/>
  <c r="X93" i="31"/>
  <c r="Q70" i="80" s="1"/>
  <c r="P70" i="80"/>
  <c r="X167" i="31"/>
  <c r="Q144" i="80" s="1"/>
  <c r="P144" i="80"/>
  <c r="X35" i="31"/>
  <c r="Q12" i="80" s="1"/>
  <c r="P12" i="80"/>
  <c r="X87" i="31"/>
  <c r="Q64" i="80" s="1"/>
  <c r="P64" i="80"/>
  <c r="X98" i="31"/>
  <c r="Q75" i="80" s="1"/>
  <c r="P75" i="80"/>
  <c r="X46" i="31"/>
  <c r="Q23" i="80" s="1"/>
  <c r="P23" i="80"/>
  <c r="X76" i="31"/>
  <c r="Q53" i="80" s="1"/>
  <c r="P53" i="80"/>
  <c r="X25" i="31"/>
  <c r="Q2" i="80" s="1"/>
  <c r="Q158" i="80" s="1"/>
  <c r="P2" i="80"/>
  <c r="B5" i="74"/>
  <c r="G14" i="74"/>
  <c r="B6" i="74" s="1"/>
  <c r="F14" i="74"/>
  <c r="E14" i="74"/>
  <c r="P158" i="80" l="1"/>
  <c r="X181" i="31"/>
  <c r="I14" i="74" s="1"/>
  <c r="B8" i="74" s="1"/>
  <c r="C6" i="74"/>
  <c r="D6" i="74"/>
  <c r="D5" i="74"/>
  <c r="C5" i="74"/>
  <c r="Y181" i="31" l="1"/>
  <c r="D8" i="74"/>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<sst xmlns="http://schemas.openxmlformats.org/spreadsheetml/2006/main" count="9600" uniqueCount="4001">
  <si>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</si>
  <si>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</si>
  <si>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</si>
  <si>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</si>
  <si>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</si>
  <si>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</si>
  <si>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</si>
  <si>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</si>
  <si>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</si>
  <si>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</si>
  <si>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</si>
  <si>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</si>
  <si>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</si>
  <si>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</si>
  <si>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</si>
  <si>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</si>
  <si>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</si>
  <si>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</si>
  <si>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</si>
  <si>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</si>
  <si>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</si>
  <si>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</si>
  <si>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</si>
  <si>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</si>
  <si>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</si>
  <si>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</si>
  <si>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</si>
  <si>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</si>
  <si>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</si>
  <si>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</si>
  <si>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</si>
  <si>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</si>
  <si>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</si>
  <si>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</si>
  <si>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</si>
  <si>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</si>
  <si>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</si>
  <si>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</si>
  <si>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</si>
  <si>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</si>
  <si>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</si>
  <si>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</si>
  <si>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</si>
  <si>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</si>
  <si>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</si>
  <si>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</si>
  <si>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</si>
  <si>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</si>
  <si>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</si>
  <si>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</si>
  <si>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</si>
  <si>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</si>
  <si>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</si>
  <si>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</si>
  <si>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</si>
  <si>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</si>
  <si>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</si>
  <si>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</si>
  <si>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</si>
  <si>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</si>
  <si>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</si>
  <si>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</si>
  <si>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</si>
  <si>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</si>
  <si>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</si>
  <si>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</si>
  <si>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</si>
  <si>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</si>
  <si>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</si>
  <si>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</si>
  <si>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</si>
  <si>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</si>
  <si>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</si>
  <si>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</si>
  <si>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</si>
  <si>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</si>
  <si>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</si>
  <si>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</si>
  <si>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</si>
  <si>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</si>
  <si>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</si>
  <si>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</si>
  <si>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</si>
  <si>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</si>
  <si>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</si>
  <si>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</si>
  <si>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</si>
  <si>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</si>
  <si>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</si>
  <si>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</si>
  <si>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</si>
  <si>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</si>
  <si>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</si>
  <si>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</si>
  <si>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</si>
  <si>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</si>
  <si>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</si>
  <si>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</si>
  <si>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</si>
  <si>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</si>
  <si>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</si>
  <si>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</si>
  <si>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</si>
  <si>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</si>
  <si>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</si>
  <si>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</si>
  <si>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</si>
  <si>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</si>
  <si>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</si>
  <si>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</si>
  <si>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</si>
  <si>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</si>
  <si>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</si>
  <si>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</si>
  <si>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</si>
  <si>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</si>
  <si>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</si>
  <si>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</si>
  <si>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</si>
  <si>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</si>
  <si>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</si>
  <si>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</si>
  <si>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</si>
  <si>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</si>
  <si>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</si>
  <si>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</si>
  <si>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</si>
  <si>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</si>
  <si>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</si>
  <si>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</si>
  <si>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</si>
  <si>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</si>
  <si>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</si>
  <si>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</si>
  <si>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</si>
  <si>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</si>
  <si>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</si>
  <si>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</si>
  <si>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</si>
  <si>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</si>
  <si>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</si>
  <si>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</si>
  <si>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</si>
  <si>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</si>
  <si>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</si>
  <si>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</si>
  <si>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</si>
  <si>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</si>
  <si>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</si>
  <si>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</si>
  <si>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</si>
  <si>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</si>
  <si>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</si>
  <si>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</si>
  <si>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</si>
  <si>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</si>
  <si>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</si>
  <si>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</si>
  <si>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</si>
  <si>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</si>
  <si>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</si>
  <si>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</si>
  <si>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</si>
  <si>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</si>
  <si>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</si>
  <si>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</si>
  <si>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</si>
  <si>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</si>
  <si>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</si>
  <si>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</si>
  <si>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</si>
  <si>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</si>
  <si>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</si>
  <si>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</si>
  <si>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</si>
  <si>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</si>
  <si>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</si>
  <si>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</si>
  <si>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</si>
  <si>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</si>
  <si>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</si>
  <si>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</si>
  <si>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</si>
  <si>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</si>
  <si>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</si>
  <si>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</si>
  <si>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</si>
  <si>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</si>
  <si>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</si>
  <si>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</si>
  <si>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</si>
  <si>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</si>
  <si>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</si>
  <si>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</si>
  <si>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</si>
  <si>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</si>
  <si>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</si>
  <si>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</si>
  <si>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</si>
  <si>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</si>
  <si>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</si>
  <si>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</si>
  <si>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</si>
  <si>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</si>
  <si>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</si>
  <si>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</si>
  <si>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</si>
  <si>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</si>
  <si>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</si>
  <si>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</si>
  <si>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</si>
  <si>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</si>
  <si>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</si>
  <si>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</si>
  <si>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</si>
  <si>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</si>
  <si>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</si>
  <si>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</si>
  <si>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</si>
  <si>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</si>
  <si>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</si>
  <si>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</si>
  <si>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</si>
  <si>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</si>
  <si>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</si>
  <si>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</si>
  <si>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</si>
  <si>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</si>
  <si>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</si>
  <si>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</si>
  <si>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</si>
  <si>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</si>
  <si>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</si>
  <si>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</si>
  <si>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</si>
  <si>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</si>
  <si>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</si>
  <si>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</si>
  <si>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</si>
  <si>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</si>
  <si>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</si>
  <si>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</si>
  <si>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</si>
  <si>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</si>
  <si>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</si>
  <si>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</si>
  <si>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</si>
  <si>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</si>
  <si>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</si>
  <si>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</si>
  <si>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</si>
  <si>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</si>
  <si>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</si>
  <si>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</si>
  <si>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</si>
  <si>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</si>
  <si>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</si>
  <si>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</si>
  <si>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</si>
  <si>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</si>
  <si>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</si>
  <si>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</si>
  <si>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</si>
  <si>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</si>
  <si>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</si>
  <si>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</si>
  <si>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</si>
  <si>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</si>
  <si>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</si>
  <si>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</si>
  <si>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</si>
  <si>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</si>
  <si>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</si>
  <si>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</si>
  <si>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</si>
  <si>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</si>
  <si>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</si>
  <si>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</si>
  <si>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</si>
  <si>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</si>
  <si>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</si>
  <si>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</si>
  <si>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</si>
  <si>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</si>
  <si>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</si>
  <si>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</si>
  <si>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</si>
  <si>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</si>
  <si>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</si>
  <si>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</si>
  <si>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</si>
  <si>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</si>
  <si>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</si>
  <si>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</si>
  <si>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</si>
  <si>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</si>
  <si>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</si>
  <si>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</si>
  <si>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</si>
  <si>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</si>
  <si>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</si>
  <si>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</si>
  <si>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</si>
  <si>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</si>
  <si>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</si>
  <si>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</si>
  <si>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</si>
  <si>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</si>
  <si>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</si>
  <si>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</si>
  <si>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</si>
  <si>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</si>
  <si>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</si>
  <si>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</si>
  <si>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</si>
  <si>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</si>
  <si>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</si>
  <si>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</si>
  <si>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</si>
  <si>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</si>
  <si>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</si>
  <si>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</si>
  <si>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</si>
  <si>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</si>
  <si>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</si>
  <si>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</si>
  <si>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</si>
  <si>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</si>
  <si>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</si>
  <si>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</si>
  <si>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</si>
  <si>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</si>
  <si>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</si>
  <si>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</si>
  <si>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</si>
  <si>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</si>
  <si>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</si>
  <si>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</si>
  <si>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</si>
  <si>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</si>
  <si>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</si>
  <si>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</si>
  <si>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</si>
  <si>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</si>
  <si>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</si>
  <si>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</si>
  <si>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</si>
  <si>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</si>
  <si>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</si>
  <si>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</si>
  <si>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</si>
  <si>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</si>
  <si>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</si>
  <si>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</si>
  <si>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</si>
  <si>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</si>
  <si>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</si>
  <si>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</si>
  <si>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</si>
  <si>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</si>
  <si>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</si>
  <si>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</si>
  <si>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</si>
  <si>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</si>
  <si>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</si>
  <si>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</si>
  <si>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</si>
  <si>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</si>
  <si>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</si>
  <si>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</si>
  <si>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</si>
  <si>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</si>
  <si>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</si>
  <si>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</si>
  <si>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</si>
  <si>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</si>
  <si>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</si>
  <si>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</si>
  <si>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</si>
  <si>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</si>
  <si>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</si>
  <si>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</si>
  <si>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</si>
  <si>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</si>
  <si>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</si>
  <si>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</si>
  <si>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</si>
  <si>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</si>
  <si>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</si>
  <si>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</si>
  <si>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</si>
  <si>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</si>
  <si>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</si>
  <si>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</si>
  <si>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</si>
  <si>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</si>
  <si>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</si>
  <si>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</si>
  <si>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</si>
  <si>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</si>
  <si>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</si>
  <si>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</si>
  <si>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</si>
  <si>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</si>
  <si>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</si>
  <si>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</si>
  <si>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</si>
  <si>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</si>
  <si>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</si>
  <si>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</si>
  <si>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</si>
  <si>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</si>
  <si>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</si>
  <si>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</si>
  <si>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</si>
  <si>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</si>
  <si>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</si>
  <si>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</si>
  <si>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</si>
  <si>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</si>
  <si>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</si>
  <si>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</si>
  <si>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</si>
  <si>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</si>
  <si>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</si>
  <si>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</si>
  <si>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</si>
  <si>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</si>
  <si>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</si>
  <si>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</si>
  <si>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</si>
  <si>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</si>
  <si>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</si>
  <si>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</si>
  <si>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</si>
  <si>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</si>
  <si>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</si>
  <si>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</si>
  <si>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</si>
  <si>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</si>
  <si>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</si>
  <si>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</si>
  <si>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</si>
  <si>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</si>
  <si>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</si>
  <si>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</si>
  <si>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</si>
  <si>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</si>
  <si>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</si>
  <si>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</si>
  <si>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</si>
  <si>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</si>
  <si>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</si>
  <si>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</si>
  <si>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</si>
  <si>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</si>
  <si>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</si>
  <si>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</si>
  <si>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</si>
  <si>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</si>
  <si>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</si>
  <si>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</si>
  <si>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</si>
  <si>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</si>
  <si>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</si>
  <si>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</si>
  <si>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</si>
  <si>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</si>
  <si>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</si>
  <si>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</si>
  <si>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</si>
  <si>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</si>
  <si>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</si>
  <si>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</si>
  <si>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</si>
  <si>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</si>
  <si>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</si>
  <si>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</si>
  <si>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</si>
  <si>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</si>
  <si>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</si>
  <si>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</si>
  <si>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</si>
  <si>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</si>
  <si>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</si>
  <si>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</si>
  <si>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</si>
  <si>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</si>
  <si>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</si>
  <si>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</si>
  <si>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</si>
  <si>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</si>
  <si>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</si>
  <si>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</si>
  <si>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</si>
  <si>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</si>
  <si>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</si>
  <si>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</si>
  <si>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</si>
  <si>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</si>
  <si>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</si>
  <si>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</si>
  <si>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</si>
  <si>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</si>
  <si>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</si>
  <si>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</si>
  <si>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</si>
  <si>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</si>
  <si>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</si>
  <si>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</si>
  <si>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</si>
  <si>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</si>
  <si>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</si>
  <si>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</si>
  <si>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</si>
  <si>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</si>
  <si>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</si>
  <si>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</si>
  <si>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</si>
  <si>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</si>
  <si>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</si>
  <si>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</si>
  <si>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</si>
  <si>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</si>
  <si>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</si>
  <si>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</si>
  <si>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</si>
  <si>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</si>
  <si>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</si>
  <si>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</si>
  <si>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</si>
  <si>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</si>
  <si>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</si>
  <si>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</si>
  <si>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</si>
  <si>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</si>
  <si>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</si>
  <si>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</si>
  <si>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</si>
  <si>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</si>
  <si>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</si>
  <si>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</si>
  <si>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</si>
  <si>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</si>
  <si>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</si>
  <si>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</si>
  <si>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</si>
  <si>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</si>
  <si>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</si>
  <si>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</si>
  <si>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</si>
  <si>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</si>
  <si>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</si>
  <si>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</si>
  <si>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</si>
  <si>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</si>
  <si>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</si>
  <si>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</si>
  <si>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</si>
  <si>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</si>
  <si>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</si>
  <si>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</si>
  <si>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</si>
  <si>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</si>
  <si>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</si>
  <si>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</si>
  <si>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</si>
  <si>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</si>
  <si>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</si>
  <si>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</si>
  <si>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</si>
  <si>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</si>
  <si>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</si>
  <si>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</si>
  <si>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</si>
  <si>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</si>
  <si>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</si>
  <si>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</si>
  <si>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</si>
  <si>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</si>
  <si>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</si>
  <si>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</si>
  <si>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</si>
  <si>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</si>
  <si>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</si>
  <si>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</si>
  <si>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</si>
  <si>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</si>
  <si>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</si>
  <si>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</si>
  <si>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</si>
  <si>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</si>
  <si>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</si>
  <si>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</si>
  <si>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</si>
  <si>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</si>
  <si>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</si>
  <si>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</si>
  <si>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</si>
  <si>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</si>
  <si>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</si>
  <si>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</si>
  <si>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</si>
  <si>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</si>
  <si>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</si>
  <si>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</si>
  <si>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</si>
  <si>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</si>
  <si>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</si>
  <si>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</si>
  <si>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</si>
  <si>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</si>
  <si>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</si>
  <si>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</si>
  <si>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</si>
  <si>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</si>
  <si>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</si>
  <si>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</si>
  <si>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</si>
  <si>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</si>
  <si>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</si>
  <si>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</si>
  <si>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</si>
  <si>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</si>
  <si>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</si>
  <si>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</si>
  <si>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</si>
  <si>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</si>
  <si>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</si>
  <si>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</si>
  <si>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</si>
  <si>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</si>
  <si>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</si>
  <si>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</si>
  <si>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</si>
  <si>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</si>
  <si>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</si>
  <si>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</si>
  <si>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</si>
  <si>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</si>
  <si>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</si>
  <si>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</si>
  <si>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</si>
  <si>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</si>
  <si>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</si>
  <si>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</si>
  <si>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</si>
  <si>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</si>
  <si>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</si>
  <si>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</si>
  <si>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</si>
  <si>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</si>
  <si>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</si>
  <si>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</si>
  <si>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</si>
  <si>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</si>
  <si>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</si>
  <si>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</si>
  <si>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</si>
  <si>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</si>
  <si>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</si>
  <si>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</si>
  <si>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</si>
  <si>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</si>
  <si>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</si>
  <si>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</si>
  <si>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</si>
  <si>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</si>
  <si>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</si>
  <si>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</si>
  <si>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</si>
  <si>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</si>
  <si>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</si>
  <si>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</si>
  <si>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</si>
  <si>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</si>
  <si>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</si>
  <si>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</si>
  <si>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</si>
  <si>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</si>
  <si>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</si>
  <si>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</si>
  <si>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</si>
  <si>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</si>
  <si>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</si>
  <si>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</si>
  <si>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</si>
  <si>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</si>
  <si>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</si>
  <si>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</si>
  <si>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</si>
  <si>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</si>
  <si>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</si>
  <si>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</si>
  <si>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</si>
  <si>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</si>
  <si>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</si>
  <si>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</si>
  <si>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</si>
  <si>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</si>
  <si>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</si>
  <si>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</si>
  <si>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</si>
  <si>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</si>
  <si>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</si>
  <si>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</si>
  <si>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</si>
  <si>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</si>
  <si>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</si>
  <si>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</si>
  <si>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</si>
  <si>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</si>
  <si>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</si>
  <si>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</si>
  <si>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</si>
  <si>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</si>
  <si>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</si>
  <si>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</si>
  <si>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</si>
  <si>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</si>
  <si>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</si>
  <si>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</si>
  <si>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</si>
  <si>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</si>
  <si>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</si>
  <si>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</si>
  <si>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</si>
  <si>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</si>
  <si>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</si>
  <si>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</si>
  <si>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</si>
  <si>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</si>
  <si>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</si>
  <si>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</si>
  <si>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</si>
  <si>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</si>
  <si>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</si>
  <si>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</si>
  <si>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</si>
  <si>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</si>
  <si>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</si>
  <si>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</si>
  <si>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</si>
  <si>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</si>
  <si>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</si>
  <si>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</si>
  <si>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</si>
  <si>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</si>
  <si>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</si>
  <si>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</si>
  <si>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</si>
  <si>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</si>
  <si>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</si>
  <si>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</si>
  <si>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</si>
  <si>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</si>
  <si>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</si>
  <si>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</si>
  <si>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</si>
  <si>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</si>
  <si>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</si>
  <si>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</si>
  <si>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</si>
  <si>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</si>
  <si>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</si>
  <si>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</si>
  <si>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</si>
  <si>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</si>
  <si>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</si>
  <si>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</si>
  <si>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</si>
  <si>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</si>
  <si>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</si>
  <si>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</si>
  <si>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</si>
  <si>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</si>
  <si>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</si>
  <si>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</si>
  <si>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</si>
  <si>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</si>
  <si>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</si>
  <si>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</si>
  <si>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</si>
  <si>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</si>
  <si>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</si>
  <si>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</si>
  <si>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</si>
  <si>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</si>
  <si>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</si>
  <si>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</si>
  <si>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</si>
  <si>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</si>
  <si>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</si>
  <si>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</si>
  <si>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</si>
  <si>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</si>
  <si>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</si>
  <si>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</si>
  <si>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</si>
  <si>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</si>
  <si>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</si>
  <si>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</si>
  <si>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</si>
  <si>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</si>
  <si>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</si>
  <si>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</si>
  <si>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</si>
  <si>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</si>
  <si>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</si>
  <si>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</si>
  <si>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</si>
  <si>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</si>
  <si>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</si>
  <si>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</si>
  <si>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</si>
  <si>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</si>
  <si>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</si>
  <si>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</si>
  <si>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</si>
  <si>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</si>
  <si>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</si>
  <si>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</si>
  <si>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</si>
  <si>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</si>
  <si>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</si>
  <si>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</si>
  <si>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</si>
  <si>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</si>
  <si>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</si>
  <si>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</si>
  <si>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</si>
  <si>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</si>
  <si>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</si>
  <si>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</si>
  <si>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</si>
  <si>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</si>
  <si>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</si>
  <si>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</si>
  <si>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</si>
  <si>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</si>
  <si>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</si>
  <si>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</si>
  <si>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</si>
  <si>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</si>
  <si>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</si>
  <si>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</si>
  <si>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</si>
  <si>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</si>
  <si>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</si>
  <si>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</si>
  <si>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</si>
  <si>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</si>
  <si>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</si>
  <si>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</si>
  <si>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</si>
  <si>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</si>
  <si>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</si>
  <si>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</si>
  <si>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</si>
  <si>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</si>
  <si>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</si>
  <si>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</si>
  <si>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</si>
  <si>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</si>
  <si>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</si>
  <si>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</si>
  <si>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</si>
  <si>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</si>
  <si>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</si>
  <si>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</si>
  <si>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</si>
  <si>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</si>
  <si>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</si>
  <si>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</si>
  <si>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</si>
  <si>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</si>
  <si>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</si>
  <si>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</si>
  <si>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</si>
  <si>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</si>
  <si>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</si>
  <si>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</si>
  <si>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</si>
  <si>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</si>
  <si>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</si>
  <si>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</si>
  <si>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</si>
  <si>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</si>
  <si>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</si>
  <si>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</si>
  <si>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</si>
  <si>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</si>
  <si>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</si>
  <si>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</si>
  <si>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</si>
  <si>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</si>
  <si>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</si>
  <si>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</si>
  <si>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</si>
  <si>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</si>
  <si>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</si>
  <si>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</si>
  <si>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</si>
  <si>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</si>
  <si>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</si>
  <si>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</si>
  <si>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</si>
  <si>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</si>
  <si>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</si>
  <si>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</si>
  <si>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</si>
  <si>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</si>
  <si>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</si>
  <si>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</si>
  <si>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</si>
  <si>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</si>
  <si>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</si>
  <si>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</si>
  <si>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</si>
  <si>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</si>
  <si>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</si>
  <si>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</si>
  <si>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</si>
  <si>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</si>
  <si>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</si>
  <si>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</si>
  <si>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</si>
  <si>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</si>
  <si>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</si>
  <si>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</si>
  <si>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</si>
  <si>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</si>
  <si>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</si>
  <si>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</si>
  <si>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</si>
  <si>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</si>
  <si>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</si>
  <si>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</si>
  <si>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</si>
  <si>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</si>
  <si>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</si>
  <si>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</si>
  <si>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</si>
  <si>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</si>
  <si>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</si>
  <si>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</si>
  <si>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</si>
  <si>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</si>
  <si>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</si>
  <si>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</si>
  <si>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</si>
  <si>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</si>
  <si>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</si>
  <si>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</si>
  <si>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</si>
  <si>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</si>
  <si>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</si>
  <si>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</si>
  <si>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</si>
  <si>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</si>
  <si>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</si>
  <si>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</si>
  <si>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</si>
  <si>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</si>
  <si>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</si>
  <si>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</si>
  <si>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</si>
  <si>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</si>
  <si>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</si>
  <si>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</si>
  <si>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</si>
  <si>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</si>
  <si>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</si>
  <si>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</si>
  <si>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</si>
  <si>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</si>
  <si>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</si>
  <si>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</si>
  <si>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</si>
  <si>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</si>
  <si>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</si>
  <si>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</si>
  <si>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</si>
  <si>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</si>
  <si>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</si>
  <si>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</si>
  <si>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</si>
  <si>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</si>
  <si>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</si>
  <si>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</si>
  <si>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</si>
  <si>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</si>
  <si>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</si>
  <si>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</si>
  <si>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</si>
  <si>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</si>
  <si>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</si>
  <si>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</si>
  <si>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</si>
  <si>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</si>
  <si>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</si>
  <si>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</si>
  <si>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</si>
  <si>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</si>
  <si>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</si>
  <si>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</si>
  <si>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</si>
  <si>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</si>
  <si>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</si>
  <si>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</si>
  <si>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</si>
  <si>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</si>
  <si>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</si>
  <si>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</si>
  <si>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</si>
  <si>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</si>
  <si>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</si>
  <si>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</si>
  <si>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</si>
  <si>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</si>
  <si>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</si>
  <si>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</si>
  <si>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</si>
  <si>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</si>
  <si>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</si>
  <si>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</si>
  <si>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</si>
  <si>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</si>
  <si>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</si>
  <si>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</si>
  <si>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</si>
  <si>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</si>
  <si>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</si>
  <si>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</si>
  <si>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</si>
  <si>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</si>
  <si>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</si>
  <si>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</si>
  <si>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</si>
  <si>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</si>
  <si>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</si>
  <si>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</si>
  <si>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</si>
  <si>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</si>
  <si>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</si>
  <si>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</si>
  <si>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</si>
  <si>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</si>
  <si>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</si>
  <si>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</si>
  <si>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</si>
  <si>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</si>
  <si>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</si>
  <si>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</si>
  <si>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</si>
  <si>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</si>
  <si>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</si>
  <si>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</si>
  <si>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</si>
  <si>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</si>
  <si>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</si>
  <si>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</si>
  <si>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</si>
  <si>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</si>
  <si>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</si>
  <si>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</si>
  <si>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</si>
  <si>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</si>
  <si>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</si>
  <si>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</si>
  <si>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</si>
  <si>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</si>
  <si>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</si>
  <si>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</si>
  <si>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</si>
  <si>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</si>
  <si>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</si>
  <si>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</si>
  <si>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</si>
  <si>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</si>
  <si>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</si>
  <si>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</si>
  <si>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</si>
  <si>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</si>
  <si>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</si>
  <si>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</si>
  <si>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</si>
  <si>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</si>
  <si>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</si>
  <si>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</si>
  <si>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</si>
  <si>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</si>
  <si>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</si>
  <si>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</si>
  <si>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</si>
  <si>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</si>
  <si>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</si>
  <si>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</si>
  <si>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</si>
  <si>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</si>
  <si>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</si>
  <si>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</si>
  <si>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</si>
  <si>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</si>
  <si>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</si>
  <si>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</si>
  <si>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</si>
  <si>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</si>
  <si>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</si>
  <si>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</si>
  <si>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</si>
  <si>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</si>
  <si>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</si>
  <si>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</si>
  <si>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</si>
  <si>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</si>
  <si>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</si>
  <si>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</si>
  <si>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</si>
  <si>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</si>
  <si>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</si>
  <si>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</si>
  <si>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</si>
  <si>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</si>
  <si>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</si>
  <si>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</si>
  <si>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</si>
  <si>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</si>
  <si>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</si>
  <si>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</si>
  <si>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</si>
  <si>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</si>
  <si>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</si>
  <si>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</si>
  <si>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</si>
  <si>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</si>
  <si>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</si>
  <si>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</si>
  <si>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</si>
  <si>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</si>
  <si>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</si>
  <si>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</si>
  <si>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</si>
  <si>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</si>
  <si>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</si>
  <si>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</si>
  <si>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</si>
  <si>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</si>
  <si>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</si>
  <si>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</si>
  <si>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</si>
  <si>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</si>
  <si>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</si>
  <si>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</si>
  <si>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</si>
  <si>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</si>
  <si>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</si>
  <si>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</si>
  <si>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</si>
  <si>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</si>
  <si>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</si>
  <si>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</si>
  <si>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</si>
  <si>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</si>
  <si>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</si>
  <si>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</si>
  <si>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</si>
  <si>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</si>
  <si>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</si>
  <si>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</si>
  <si>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</si>
  <si>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</si>
  <si>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</si>
  <si>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</si>
  <si>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</si>
  <si>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</si>
  <si>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</si>
  <si>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</si>
  <si>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</si>
  <si>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</si>
  <si>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</si>
  <si>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</si>
  <si>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</si>
  <si>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</si>
  <si>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</si>
  <si>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</si>
  <si>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</si>
  <si>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</si>
  <si>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</si>
  <si>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</si>
  <si>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</si>
  <si>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</si>
  <si>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</si>
  <si>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</si>
  <si>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</si>
  <si>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</si>
  <si>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</si>
  <si>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</si>
  <si>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</si>
  <si>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</si>
  <si>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</si>
  <si>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</si>
  <si>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</si>
  <si>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</si>
  <si>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</si>
  <si>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</si>
  <si>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</si>
  <si>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</si>
  <si>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</si>
  <si>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</si>
  <si>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</si>
  <si>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</si>
  <si>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</si>
  <si>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</si>
  <si>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</si>
  <si>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</si>
  <si>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</si>
  <si>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</si>
  <si>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</si>
  <si>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</si>
  <si>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</si>
  <si>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</si>
  <si>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</si>
  <si>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</si>
  <si>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</si>
  <si>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</si>
  <si>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</si>
  <si>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</si>
  <si>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</si>
  <si>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</si>
  <si>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</si>
  <si>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</si>
  <si>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</si>
  <si>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</si>
  <si>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</si>
  <si>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</si>
  <si>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</si>
  <si>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</si>
  <si>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</si>
  <si>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</si>
  <si>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</si>
  <si>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</si>
  <si>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</si>
  <si>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</si>
  <si>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</si>
  <si>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</si>
  <si>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</si>
  <si>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</si>
  <si>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</si>
  <si>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</si>
  <si>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</si>
  <si>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</si>
  <si>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</si>
  <si>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</si>
  <si>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</si>
  <si>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</si>
  <si>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</si>
  <si>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</si>
  <si>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</si>
  <si>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</si>
  <si>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</si>
  <si>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</si>
  <si>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</si>
  <si>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</si>
  <si>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</si>
  <si>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</si>
  <si>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</si>
  <si>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</si>
  <si>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</si>
  <si>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</si>
  <si>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</si>
  <si>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</si>
  <si>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</si>
  <si>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</si>
  <si>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</si>
  <si>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</si>
  <si>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</si>
  <si>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</si>
  <si>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</si>
  <si>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</si>
  <si>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</si>
  <si>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</si>
  <si>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</si>
  <si>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</si>
  <si>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</si>
  <si>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</si>
  <si>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</si>
  <si>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</si>
  <si>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</si>
  <si>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</si>
  <si>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</si>
  <si>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</si>
  <si>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</si>
  <si>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</si>
  <si>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</si>
  <si>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</si>
  <si>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</si>
  <si>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</si>
  <si>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</si>
  <si>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</si>
  <si>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</si>
  <si>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</si>
  <si>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</si>
  <si>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</si>
  <si>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</si>
  <si>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</si>
  <si>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</si>
  <si>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</si>
  <si>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</si>
  <si>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</si>
  <si>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</si>
  <si>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</si>
  <si>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</si>
  <si>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</si>
  <si>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</si>
  <si>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</si>
  <si>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</si>
  <si>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</si>
  <si>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</si>
  <si>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</si>
  <si>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</si>
  <si>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</si>
  <si>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</si>
  <si>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</si>
  <si>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</si>
  <si>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</si>
  <si>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</si>
  <si>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</si>
  <si>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</si>
  <si>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</si>
  <si>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</si>
  <si>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</si>
  <si>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</si>
  <si>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</si>
  <si>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</si>
  <si>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</si>
  <si>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</si>
  <si>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</si>
  <si>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</si>
  <si>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</si>
  <si>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</si>
  <si>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</si>
  <si>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</si>
  <si>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</si>
  <si>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</si>
  <si>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</si>
  <si>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</si>
  <si>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</si>
  <si>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</si>
  <si>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</si>
  <si>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</si>
  <si>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</si>
  <si>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</si>
  <si>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</si>
  <si>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</si>
  <si>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</si>
  <si>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</si>
  <si>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</si>
  <si>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</si>
  <si>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</si>
  <si>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</si>
  <si>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</si>
  <si>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</si>
  <si>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</si>
  <si>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</si>
  <si>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</si>
  <si>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</si>
  <si>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</si>
  <si>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</si>
  <si>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</si>
  <si>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</si>
  <si>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</si>
  <si>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</si>
  <si>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</si>
  <si>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</si>
  <si>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</si>
  <si>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</si>
  <si>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</si>
  <si>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</si>
  <si>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</si>
  <si>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</si>
  <si>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</si>
  <si>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</si>
  <si>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</si>
  <si>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</si>
  <si>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</si>
  <si>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</si>
  <si>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</si>
  <si>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</si>
  <si>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</si>
  <si>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</si>
  <si>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</si>
  <si>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</si>
  <si>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</si>
  <si>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</si>
  <si>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</si>
  <si>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</si>
  <si>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</si>
  <si>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</si>
  <si>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</si>
  <si>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</si>
  <si>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</si>
  <si>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</si>
  <si>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</si>
  <si>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</si>
  <si>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</si>
  <si>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</si>
  <si>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</si>
  <si>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</si>
  <si>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</si>
  <si>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</si>
  <si>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</si>
  <si>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</si>
  <si>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</si>
  <si>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</si>
  <si>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</si>
  <si>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</si>
  <si>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</si>
  <si>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</si>
  <si>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</si>
  <si>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</si>
  <si>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</si>
  <si>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</si>
  <si>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</si>
  <si>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</si>
  <si>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</si>
  <si>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</si>
  <si>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</si>
  <si>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</si>
  <si>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</si>
  <si>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</si>
  <si>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</si>
  <si>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</si>
  <si>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</si>
  <si>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</si>
  <si>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</si>
  <si>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</si>
  <si>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</si>
  <si>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</si>
  <si>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</si>
  <si>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</si>
  <si>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</si>
  <si>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</si>
  <si>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</si>
  <si>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</si>
  <si>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</si>
  <si>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</si>
  <si>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</si>
  <si>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</si>
  <si>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</si>
  <si>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</si>
  <si>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</si>
  <si>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</si>
  <si>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</si>
  <si>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</si>
  <si>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</si>
  <si>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</si>
  <si>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</si>
  <si>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</si>
  <si>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</si>
  <si>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</si>
  <si>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</si>
  <si>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</si>
  <si>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</si>
  <si>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</si>
  <si>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</si>
  <si>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</si>
  <si>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</si>
  <si>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</si>
  <si>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</si>
  <si>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</si>
  <si>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</si>
  <si>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</si>
  <si>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</si>
  <si>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</si>
  <si>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</si>
  <si>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</si>
  <si>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</si>
  <si>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</si>
  <si>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</si>
  <si>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</si>
  <si>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</si>
  <si>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</si>
  <si>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</si>
  <si>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</si>
  <si>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</si>
  <si>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</si>
  <si>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</si>
  <si>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</si>
  <si>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</si>
  <si>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</si>
  <si>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</si>
  <si>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</si>
  <si>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</si>
  <si>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</si>
  <si>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</si>
  <si>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</si>
  <si>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</si>
  <si>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</si>
  <si>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</si>
  <si>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</si>
  <si>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</si>
  <si>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</si>
  <si>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</si>
  <si>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</si>
  <si>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</si>
  <si>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</si>
  <si>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</si>
  <si>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</si>
  <si>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</si>
  <si>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</si>
  <si>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</si>
  <si>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</si>
  <si>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</si>
  <si>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</si>
  <si>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</si>
  <si>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</si>
  <si>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</si>
  <si>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</si>
  <si>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</si>
  <si>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</si>
  <si>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</si>
  <si>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</si>
  <si>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</si>
  <si>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</si>
  <si>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</si>
  <si>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</si>
  <si>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</si>
  <si>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</si>
  <si>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</si>
  <si>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</si>
  <si>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</si>
  <si>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</si>
  <si>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</si>
  <si>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</si>
  <si>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</si>
  <si>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</si>
  <si>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</si>
  <si>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</si>
  <si>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</si>
  <si>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</si>
  <si>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</si>
  <si>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</si>
  <si>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</si>
  <si>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</si>
  <si>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</si>
  <si>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</si>
  <si>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</si>
  <si>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</si>
  <si>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</si>
  <si>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</si>
  <si>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</si>
  <si>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</si>
  <si>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</si>
  <si>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</si>
  <si>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</si>
  <si>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</si>
  <si>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</si>
  <si>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</si>
  <si>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</si>
  <si>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</si>
  <si>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</si>
  <si>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</si>
  <si>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</si>
  <si>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</si>
  <si>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</si>
  <si>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</si>
  <si>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</si>
  <si>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</si>
  <si>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</si>
  <si>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</si>
  <si>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</si>
  <si>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</si>
  <si>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</si>
  <si>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</si>
  <si>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</si>
  <si>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</si>
  <si>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</si>
  <si>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</si>
  <si>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</si>
  <si>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</si>
  <si>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</si>
  <si>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</si>
  <si>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</si>
  <si>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</si>
  <si>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</si>
  <si>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</si>
  <si>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</si>
  <si>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</si>
  <si>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</si>
  <si>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</si>
  <si>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</si>
  <si>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</si>
  <si>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</si>
  <si>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</si>
  <si>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</si>
  <si>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</si>
  <si>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</si>
  <si>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</si>
  <si>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</si>
  <si>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</si>
  <si>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</si>
  <si>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</si>
  <si>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</si>
  <si>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</si>
  <si>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</si>
  <si>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</si>
  <si>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</si>
  <si>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</si>
  <si>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</si>
  <si>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</si>
  <si>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</si>
  <si>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</si>
  <si>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</si>
  <si>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</si>
  <si>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</si>
  <si>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</si>
  <si>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</si>
  <si>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</si>
  <si>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</si>
  <si>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</si>
  <si>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</si>
  <si>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</si>
  <si>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</si>
  <si>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</si>
  <si>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</si>
  <si>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</si>
  <si>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</si>
  <si>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</si>
  <si>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</si>
  <si>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</si>
  <si>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</si>
  <si>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</si>
  <si>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</si>
  <si>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</si>
  <si>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</si>
  <si>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</si>
  <si>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</si>
  <si>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</si>
  <si>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</si>
  <si>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</si>
  <si>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</si>
  <si>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</si>
  <si>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</si>
  <si>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</si>
  <si>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</si>
  <si>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</si>
  <si>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</si>
  <si>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</si>
  <si>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</si>
  <si>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</si>
  <si>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</si>
  <si>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</si>
  <si>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</si>
  <si>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</si>
  <si>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</si>
  <si>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</si>
  <si>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</si>
  <si>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</si>
  <si>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</si>
  <si>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</si>
  <si>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</si>
  <si>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</si>
  <si>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</si>
  <si>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</si>
  <si>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</si>
  <si>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</si>
  <si>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</si>
  <si>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</si>
  <si>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</si>
  <si>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</si>
  <si>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</si>
  <si>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</si>
  <si>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</si>
  <si>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</si>
  <si>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</si>
  <si>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</si>
  <si>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</si>
  <si>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</si>
  <si>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</si>
  <si>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</si>
  <si>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</si>
  <si>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</si>
  <si>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</si>
  <si>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</si>
  <si>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</si>
  <si>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</si>
  <si>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</si>
  <si>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</si>
  <si>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</si>
  <si>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</si>
  <si>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</si>
  <si>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</si>
  <si>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</si>
  <si>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</si>
  <si>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</si>
  <si>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</si>
  <si>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</si>
  <si>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</si>
  <si>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</si>
  <si>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</si>
  <si>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</si>
  <si>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</si>
  <si>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</si>
  <si>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</si>
  <si>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</si>
  <si>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</si>
  <si>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</si>
  <si>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</si>
  <si>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</si>
  <si>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</si>
  <si>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</si>
  <si>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</si>
  <si>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</si>
  <si>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</si>
  <si>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</si>
  <si>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</si>
  <si>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</si>
  <si>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</si>
  <si>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</si>
  <si>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</si>
  <si>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</si>
  <si>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</si>
  <si>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</si>
  <si>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</si>
  <si>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</si>
  <si>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</si>
  <si>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</si>
  <si>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</si>
  <si>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</si>
  <si>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</si>
  <si>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</si>
  <si>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</si>
  <si>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</si>
  <si>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</si>
  <si>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</si>
  <si>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</si>
  <si>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</si>
  <si>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</si>
  <si>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</si>
  <si>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</si>
  <si>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</si>
  <si>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</si>
  <si>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</si>
  <si>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</si>
  <si>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</si>
  <si>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</si>
  <si>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</si>
  <si>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</si>
  <si>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</si>
  <si>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</si>
  <si>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</si>
  <si>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</si>
  <si>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</si>
  <si>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</si>
  <si>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</si>
  <si>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</si>
  <si>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</si>
  <si>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</si>
  <si>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</si>
  <si>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</si>
  <si>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</si>
  <si>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</si>
  <si>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</si>
  <si>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</si>
  <si>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</si>
  <si>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</si>
  <si>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</si>
  <si>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</si>
  <si>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</si>
  <si>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</si>
  <si>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</si>
  <si>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</si>
  <si>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</si>
  <si>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</si>
  <si>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</si>
  <si>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</si>
  <si>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</si>
  <si>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</si>
  <si>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</si>
  <si>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</si>
  <si>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</si>
  <si>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</si>
  <si>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</si>
  <si>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</si>
  <si>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</si>
  <si>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</si>
  <si>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</si>
  <si>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</si>
  <si>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</si>
  <si>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</si>
  <si>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</si>
  <si>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</si>
  <si>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</si>
  <si>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</si>
  <si>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</si>
  <si>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</si>
  <si>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</si>
  <si>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</si>
  <si>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</si>
  <si>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</si>
  <si>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</si>
  <si>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</si>
  <si>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</si>
  <si>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</si>
  <si>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</si>
  <si>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</si>
  <si>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</si>
  <si>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</si>
  <si>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</si>
  <si>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</si>
  <si>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</si>
  <si>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</si>
  <si>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</si>
  <si>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</si>
  <si>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</si>
  <si>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</si>
  <si>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</si>
  <si>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</si>
  <si>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</si>
  <si>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</si>
  <si>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</si>
  <si>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</si>
  <si>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</si>
  <si>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</si>
  <si>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</si>
  <si>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</si>
  <si>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</si>
  <si>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</si>
  <si>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</si>
  <si>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</si>
  <si>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</si>
  <si>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</si>
  <si>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</si>
  <si>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</si>
  <si>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</si>
  <si>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</si>
  <si>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</si>
  <si>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</si>
  <si>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</si>
  <si>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</si>
  <si>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</si>
  <si>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</si>
  <si>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</si>
  <si>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</si>
  <si>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</si>
  <si>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</si>
  <si>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</si>
  <si>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</si>
  <si>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</si>
  <si>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</si>
  <si>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</si>
  <si>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</si>
  <si>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</si>
  <si>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</si>
  <si>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</si>
  <si>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</si>
  <si>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</si>
  <si>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</si>
  <si>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</si>
  <si>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</si>
  <si>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</si>
  <si>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</si>
  <si>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</si>
  <si>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</si>
  <si>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</si>
  <si>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</si>
  <si>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</si>
  <si>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</si>
  <si>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</si>
  <si>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</si>
  <si>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</si>
  <si>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</si>
  <si>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</si>
  <si>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</si>
  <si>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</si>
  <si>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</si>
  <si>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</si>
  <si>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</si>
  <si>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</si>
  <si>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</si>
  <si>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</si>
  <si>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</si>
  <si>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</si>
  <si>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</si>
  <si>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</si>
  <si>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</si>
  <si>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</si>
  <si>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</si>
  <si>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</si>
  <si>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</si>
  <si>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</si>
  <si>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</si>
  <si>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</si>
  <si>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</si>
  <si>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</si>
  <si>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</si>
  <si>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</si>
  <si>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</si>
  <si>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</si>
  <si>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</si>
  <si>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</si>
  <si>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</si>
  <si>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</si>
  <si>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</si>
  <si>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</si>
  <si>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</si>
  <si>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</si>
  <si>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</si>
  <si>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</si>
  <si>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</si>
  <si>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</si>
  <si>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</si>
  <si>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</si>
  <si>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</si>
  <si>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</si>
  <si>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</si>
  <si>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</si>
  <si>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</si>
  <si>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</si>
  <si>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</si>
  <si>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</si>
  <si>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</si>
  <si>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</si>
  <si>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</si>
  <si>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</si>
  <si>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</si>
  <si>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</si>
  <si>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</si>
  <si>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</si>
  <si>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</si>
  <si>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</si>
  <si>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</si>
  <si>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</si>
  <si>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</si>
  <si>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</si>
  <si>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</si>
  <si>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</si>
  <si>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</si>
  <si>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</si>
  <si>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</si>
  <si>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</si>
  <si>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</si>
  <si>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</si>
  <si>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</si>
  <si>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</si>
  <si>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</si>
  <si>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</si>
  <si>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</si>
  <si>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</si>
  <si>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</si>
  <si>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</si>
  <si>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</si>
  <si>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</si>
  <si>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</si>
  <si>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</si>
  <si>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</si>
  <si>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</si>
  <si>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</si>
  <si>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</si>
  <si>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</si>
  <si>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</si>
  <si>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</si>
  <si>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</si>
  <si>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</si>
  <si>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</si>
  <si>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</si>
  <si>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</si>
  <si>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</si>
  <si>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</si>
  <si>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</si>
  <si>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</si>
  <si>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</si>
  <si>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</si>
  <si>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</si>
  <si>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</si>
  <si>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</si>
  <si>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</si>
  <si>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</si>
  <si>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</si>
  <si>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</si>
  <si>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</si>
  <si>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</si>
  <si>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</si>
  <si>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</si>
  <si>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</si>
  <si>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</si>
  <si>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</si>
  <si>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</si>
  <si>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</si>
  <si>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</si>
  <si>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</si>
  <si>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</si>
  <si>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</si>
  <si>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</si>
  <si>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</si>
  <si>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</si>
  <si>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</si>
  <si>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</si>
  <si>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</si>
  <si>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</si>
  <si>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</si>
  <si>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</si>
  <si>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</si>
  <si>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</si>
  <si>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</si>
  <si>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</si>
  <si>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</si>
  <si>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</si>
  <si>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</si>
  <si>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</si>
  <si>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</si>
  <si>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</si>
  <si>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</si>
  <si>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</si>
  <si>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</si>
  <si>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</si>
  <si>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</si>
  <si>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</si>
  <si>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</si>
  <si>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</si>
  <si>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</si>
  <si>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</si>
  <si>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</si>
  <si>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</si>
  <si>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</si>
  <si>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</si>
  <si>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</si>
  <si>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</si>
  <si>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</si>
  <si>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</si>
  <si>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</si>
  <si>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</si>
  <si>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</si>
  <si>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</si>
  <si>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</si>
  <si>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</si>
  <si>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</si>
  <si>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</si>
  <si>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</si>
  <si>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</si>
  <si>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</si>
  <si>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</si>
  <si>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</si>
  <si>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</si>
  <si>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</si>
  <si>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</si>
  <si>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</si>
  <si>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</si>
  <si>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</si>
  <si>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</si>
  <si>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</si>
  <si>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</si>
  <si>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</si>
  <si>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</si>
  <si>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</si>
  <si>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</si>
  <si>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</si>
  <si>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</si>
  <si>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</si>
  <si>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</si>
  <si>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</si>
  <si>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</si>
  <si>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</si>
  <si>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</si>
  <si>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</si>
  <si>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</si>
  <si>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</si>
  <si>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</si>
  <si>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</si>
  <si>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</si>
  <si>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</si>
  <si>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</si>
  <si>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</si>
  <si>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</si>
  <si>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</si>
  <si>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</si>
  <si>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</si>
  <si>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</si>
  <si>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</si>
  <si>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</si>
  <si>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</si>
  <si>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</si>
  <si>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</si>
  <si>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</si>
  <si>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</si>
  <si>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</si>
  <si>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</si>
  <si>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</si>
  <si>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</si>
  <si>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</si>
  <si>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</si>
  <si>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</si>
  <si>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</si>
  <si>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</si>
  <si>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</si>
  <si>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</si>
  <si>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</si>
  <si>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</si>
  <si>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</si>
  <si>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</si>
  <si>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</si>
  <si>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</si>
  <si>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</si>
  <si>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</si>
  <si>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</si>
  <si>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</si>
  <si>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</si>
  <si>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</si>
  <si>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</si>
  <si>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</si>
  <si>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</si>
  <si>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</si>
  <si>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</si>
  <si>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</si>
  <si>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</si>
  <si>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</si>
  <si>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</si>
  <si>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</si>
  <si>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</si>
  <si>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</si>
  <si>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</si>
  <si>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</si>
  <si>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</si>
  <si>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</si>
  <si>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</si>
  <si>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</si>
  <si>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</si>
  <si>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</si>
  <si>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</si>
  <si>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</si>
  <si>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</si>
  <si>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</si>
  <si>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</si>
  <si>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</si>
  <si>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</si>
  <si>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</si>
  <si>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</si>
  <si>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</si>
  <si>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</si>
  <si>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</si>
  <si>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</si>
  <si>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</si>
  <si>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</si>
  <si>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</si>
  <si>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</si>
  <si>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</si>
  <si>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</si>
  <si>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</si>
  <si>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</si>
  <si>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</si>
  <si>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</si>
  <si>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</si>
  <si>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</si>
  <si>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</si>
  <si>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</si>
  <si>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</si>
  <si>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</si>
  <si>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</si>
  <si>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</si>
  <si>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</si>
  <si>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</si>
  <si>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</si>
  <si>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</si>
  <si>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</si>
  <si>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</si>
  <si>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</si>
  <si>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</si>
  <si>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</si>
  <si>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</si>
  <si>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</si>
  <si>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</si>
  <si>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</si>
  <si>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</si>
  <si>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</si>
  <si>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</si>
  <si>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</si>
  <si>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</si>
  <si>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</si>
  <si>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</si>
  <si>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</si>
  <si>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</si>
  <si>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</si>
  <si>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</si>
  <si>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</si>
  <si>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</si>
  <si>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</si>
  <si>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</si>
  <si>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</si>
  <si>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</si>
  <si>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</si>
  <si>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</si>
  <si>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</si>
  <si>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</si>
  <si>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</si>
  <si>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</si>
  <si>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</si>
  <si>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</si>
  <si>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</si>
  <si>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</si>
  <si>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</si>
  <si>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</si>
  <si>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</si>
  <si>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</si>
  <si>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</si>
  <si>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</si>
  <si>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</si>
  <si>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</si>
  <si>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</si>
  <si>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</si>
  <si>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</si>
  <si>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</si>
  <si>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</si>
  <si>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</si>
  <si>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</si>
  <si>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</si>
  <si>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</si>
  <si>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</si>
  <si>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</si>
  <si>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</si>
  <si>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</si>
  <si>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</si>
  <si>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</si>
  <si>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</si>
  <si>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</si>
  <si>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</si>
  <si>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</si>
  <si>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</si>
  <si>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</si>
  <si>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</si>
  <si>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</si>
  <si>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</si>
  <si>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</si>
  <si>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</si>
  <si>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</si>
  <si>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</si>
  <si>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</si>
  <si>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</si>
  <si>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</si>
  <si>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</si>
  <si>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</si>
  <si>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</si>
  <si>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</si>
  <si>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</si>
  <si>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</si>
  <si>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</si>
  <si>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</si>
  <si>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</si>
  <si>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</si>
  <si>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</si>
  <si>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</si>
  <si>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</si>
  <si>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</si>
  <si>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</si>
  <si>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</si>
  <si>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</si>
  <si>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</si>
  <si>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</si>
  <si>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</si>
  <si>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</si>
  <si>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</si>
  <si>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</si>
  <si>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</si>
  <si>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</si>
  <si>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</si>
  <si>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</si>
  <si>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</si>
  <si>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</si>
  <si>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</si>
  <si>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</si>
  <si>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</si>
  <si>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</si>
  <si>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</si>
  <si>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</si>
  <si>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</si>
  <si>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</si>
  <si>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</si>
  <si>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</si>
  <si>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</si>
  <si>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</si>
  <si>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</si>
  <si>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</si>
  <si>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</si>
  <si>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</si>
  <si>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</si>
  <si>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</si>
  <si>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</si>
  <si>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</si>
  <si>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</si>
  <si>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</si>
  <si>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</si>
  <si>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</si>
  <si>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</si>
  <si>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</si>
  <si>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</si>
  <si>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</si>
  <si>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</si>
  <si>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</si>
  <si>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</si>
  <si>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</si>
  <si>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</si>
  <si>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</si>
  <si>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</si>
  <si>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</si>
  <si>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</si>
  <si>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</si>
  <si>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</si>
  <si>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</si>
  <si>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</si>
  <si>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</si>
  <si>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</si>
  <si>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</si>
  <si>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</si>
  <si>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</si>
  <si>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</si>
  <si>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</si>
  <si>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</si>
  <si>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</si>
  <si>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</si>
  <si>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</si>
  <si>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</si>
  <si>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</si>
  <si>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</si>
  <si>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</si>
  <si>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</si>
  <si>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</si>
  <si>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</si>
  <si>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</si>
  <si>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</si>
  <si>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</si>
  <si>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</si>
  <si>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</si>
  <si>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</si>
  <si>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</si>
  <si>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</si>
  <si>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</si>
  <si>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</si>
  <si>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</si>
  <si>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</si>
  <si>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</si>
  <si>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</si>
  <si>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</si>
  <si>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</si>
  <si>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</si>
  <si>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</si>
  <si>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</si>
  <si>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</si>
  <si>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</si>
  <si>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</si>
  <si>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</si>
  <si>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</si>
  <si>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</si>
  <si>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</si>
  <si>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</si>
  <si>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</si>
  <si>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</si>
  <si>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</si>
  <si>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</si>
  <si>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</si>
  <si>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</si>
  <si>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</si>
  <si>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</si>
  <si>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</si>
  <si>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</si>
  <si>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</si>
  <si>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</si>
  <si>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</si>
  <si>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</si>
  <si>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</si>
  <si>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</si>
  <si>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</si>
  <si>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</si>
  <si>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</si>
  <si>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</si>
  <si>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</si>
  <si>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</si>
  <si>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</si>
  <si>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</si>
  <si>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</si>
  <si>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</si>
  <si>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</si>
  <si>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</si>
  <si>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</si>
  <si>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</si>
  <si>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</si>
  <si>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</si>
  <si>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</si>
  <si>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</si>
  <si>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</si>
  <si>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</si>
  <si>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</si>
  <si>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</si>
  <si>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</si>
  <si>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</si>
  <si>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</si>
  <si>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</si>
  <si>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</si>
  <si>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</si>
  <si>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</si>
  <si>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</si>
  <si>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</si>
  <si>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</si>
  <si>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</si>
  <si>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</si>
  <si>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</si>
  <si>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</si>
  <si>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</si>
  <si>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</si>
  <si>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</si>
  <si>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</si>
  <si>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</si>
  <si>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</si>
  <si>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</si>
  <si>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</si>
  <si>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</si>
  <si>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</si>
  <si>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</si>
  <si>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</si>
  <si>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</si>
  <si>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</si>
  <si>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</si>
  <si>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</si>
  <si>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</si>
  <si>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</si>
  <si>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</si>
  <si>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</si>
  <si>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</si>
  <si>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</si>
  <si>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</si>
  <si>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</si>
  <si>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</si>
  <si>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</si>
  <si>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</si>
  <si>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</si>
  <si>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</si>
  <si>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</si>
  <si>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</si>
  <si>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</si>
  <si>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</si>
  <si>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</si>
  <si>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</si>
  <si>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</si>
  <si>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</si>
  <si>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</si>
  <si>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</si>
  <si>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</si>
  <si>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</si>
  <si>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</si>
  <si>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</si>
  <si>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</si>
  <si>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</si>
  <si>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</si>
  <si>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</si>
  <si>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</si>
  <si>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</si>
  <si>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</si>
  <si>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</si>
  <si>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</si>
  <si>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</si>
  <si>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</si>
  <si>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</si>
  <si>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</si>
  <si>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</si>
  <si>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</si>
  <si>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</si>
  <si>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</si>
  <si>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</si>
  <si>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</si>
  <si>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</si>
  <si>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</si>
  <si>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</si>
  <si>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</si>
  <si>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</si>
  <si>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</si>
  <si>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</si>
  <si>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</si>
  <si>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</si>
  <si>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</si>
  <si>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</si>
  <si>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</si>
  <si>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</si>
  <si>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</si>
  <si>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</si>
  <si>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</si>
  <si>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</si>
  <si>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</si>
  <si>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</si>
  <si>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</si>
  <si>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</si>
  <si>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</si>
  <si>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</si>
  <si>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</si>
  <si>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</si>
  <si>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</si>
  <si>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</si>
  <si>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</si>
  <si>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</si>
  <si>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</si>
  <si>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</si>
  <si>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</si>
  <si>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</si>
  <si>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</si>
  <si>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</si>
  <si>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</si>
  <si>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</si>
  <si>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</si>
  <si>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</si>
  <si>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</si>
  <si>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</si>
  <si>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</si>
  <si>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</si>
  <si>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</si>
  <si>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</si>
  <si>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</si>
  <si>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</si>
  <si>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</si>
  <si>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</si>
  <si>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</si>
  <si>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</si>
  <si>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</si>
  <si>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</si>
  <si>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</si>
  <si>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</si>
  <si>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</si>
  <si>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</si>
  <si>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</si>
  <si>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</si>
  <si>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</si>
  <si>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</si>
  <si>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</si>
  <si>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</si>
  <si>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</si>
  <si>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</si>
  <si>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</si>
  <si>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</si>
  <si>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</si>
  <si>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</si>
  <si>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</si>
  <si>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</si>
  <si>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</si>
  <si>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</si>
  <si>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</si>
  <si>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</si>
  <si>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</si>
  <si>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</si>
  <si>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</si>
  <si>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</si>
  <si>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</si>
  <si>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</si>
  <si>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</si>
  <si>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</si>
  <si>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</si>
  <si>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</si>
  <si>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</si>
  <si>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</si>
  <si>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</si>
  <si>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</si>
  <si>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</si>
  <si>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</si>
  <si>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</si>
  <si>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</si>
  <si>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</si>
  <si>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</si>
  <si>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</si>
  <si>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</si>
  <si>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</si>
  <si>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</si>
  <si>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</si>
  <si>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</si>
  <si>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</si>
  <si>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</si>
  <si>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</si>
  <si>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</si>
  <si>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</si>
  <si>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</si>
  <si>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</si>
  <si>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</si>
  <si>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</si>
  <si>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</si>
  <si>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</si>
  <si>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</si>
  <si>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</si>
  <si>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</si>
  <si>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</si>
  <si>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</si>
  <si>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</si>
  <si>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</si>
  <si>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</si>
  <si>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</si>
  <si>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</si>
  <si>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</si>
  <si>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</si>
  <si>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</si>
  <si>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</si>
  <si>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</si>
  <si>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</si>
  <si>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</si>
  <si>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</si>
  <si>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</si>
  <si>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</si>
  <si>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</si>
  <si>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</si>
  <si>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</si>
  <si>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</si>
  <si>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</si>
  <si>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</si>
  <si>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</si>
  <si>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</si>
  <si>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</si>
  <si>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</si>
  <si>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</si>
  <si>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</si>
  <si>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</si>
  <si>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</si>
  <si>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</si>
  <si>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</si>
  <si>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</si>
  <si>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</si>
  <si>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</si>
  <si>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</si>
  <si>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</si>
  <si>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</si>
  <si>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</si>
  <si>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</si>
  <si>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</si>
  <si>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</si>
  <si>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</si>
  <si>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</si>
  <si>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</si>
  <si>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</si>
  <si>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</si>
  <si>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</si>
  <si>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</si>
  <si>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</si>
  <si>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</si>
  <si>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</si>
  <si>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</si>
  <si>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</si>
  <si>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</si>
  <si>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</si>
  <si>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</si>
  <si>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</si>
  <si>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</si>
  <si>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</si>
  <si>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</si>
  <si>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</si>
  <si>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</si>
  <si>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</si>
  <si>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</si>
  <si>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</si>
  <si>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</si>
  <si>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</si>
  <si>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</si>
  <si>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</si>
  <si>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</si>
  <si>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</si>
  <si>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</si>
  <si>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</si>
  <si>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</si>
  <si>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</si>
  <si>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</si>
  <si>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</si>
  <si>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</si>
  <si>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</si>
  <si>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</si>
  <si>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</si>
  <si>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</si>
  <si>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</si>
  <si>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</si>
  <si>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</si>
  <si>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</si>
  <si>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</si>
  <si>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</si>
  <si>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</si>
  <si>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</si>
  <si>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</si>
  <si>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</si>
  <si>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</si>
  <si>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</si>
  <si>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</si>
  <si>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</si>
  <si>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</si>
  <si>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</si>
  <si>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</si>
  <si>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</si>
  <si>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</si>
  <si>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</si>
  <si>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</si>
  <si>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</si>
  <si>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</si>
  <si>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</si>
  <si>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</si>
  <si>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</si>
  <si>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</si>
  <si>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</si>
  <si>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</si>
  <si>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</si>
  <si>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</si>
  <si>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</si>
  <si>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</si>
  <si>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</si>
  <si>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</si>
  <si>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</si>
  <si>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</si>
  <si>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</si>
  <si>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</si>
  <si>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</si>
  <si>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</si>
  <si>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</si>
  <si>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</si>
  <si>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</si>
  <si>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</si>
  <si>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</si>
  <si>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</si>
  <si>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</si>
  <si>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</si>
  <si>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</si>
  <si>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</si>
  <si>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</si>
  <si>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</si>
  <si>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</si>
  <si>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</si>
  <si>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</si>
  <si>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</si>
  <si>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</si>
  <si>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</si>
  <si>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</si>
  <si>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</si>
  <si>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</si>
  <si>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</si>
  <si>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</si>
  <si>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</si>
  <si>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</si>
  <si>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</si>
  <si>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</si>
  <si>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</si>
  <si>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</si>
  <si>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</si>
  <si>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</si>
  <si>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</si>
  <si>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</si>
  <si>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</si>
  <si>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</si>
  <si>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</si>
  <si>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</si>
  <si>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</si>
  <si>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</si>
  <si>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</si>
  <si>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</si>
  <si>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</si>
  <si>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</si>
  <si>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</si>
  <si>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</si>
  <si>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</si>
  <si>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</si>
  <si>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</si>
  <si>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</si>
  <si>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</si>
  <si>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</si>
  <si>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</si>
  <si>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</si>
  <si>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</si>
  <si>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</si>
  <si>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</si>
  <si>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</si>
  <si>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</si>
  <si>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</si>
  <si>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</si>
  <si>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</si>
  <si>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</si>
  <si>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</si>
  <si>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</si>
  <si>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</si>
  <si>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</si>
  <si>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</si>
  <si>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</si>
  <si>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</si>
  <si>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</si>
  <si>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</si>
  <si>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</si>
  <si>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</si>
  <si>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</si>
  <si>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</si>
  <si>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</si>
  <si>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</si>
  <si>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</si>
  <si>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</si>
  <si>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</si>
  <si>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</si>
  <si>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</si>
  <si>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</si>
  <si>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</si>
  <si>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</si>
  <si>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</si>
  <si>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</si>
  <si>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</si>
  <si>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</si>
  <si>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</si>
  <si>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</si>
  <si>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</si>
  <si>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</si>
  <si>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</si>
  <si>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</si>
  <si>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</si>
  <si>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</si>
  <si>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</si>
  <si>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</si>
  <si>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</si>
  <si>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</si>
  <si>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</si>
  <si>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</si>
  <si>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</si>
  <si>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</si>
  <si>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</si>
  <si>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</si>
  <si>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</si>
  <si>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</si>
  <si>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</si>
  <si>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</si>
  <si>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</si>
  <si>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</si>
  <si>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</si>
  <si>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</si>
  <si>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</si>
  <si>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</si>
  <si>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</si>
  <si>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</si>
  <si>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</si>
  <si>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</si>
  <si>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</si>
  <si>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</si>
  <si>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</si>
  <si>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</si>
  <si>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</si>
  <si>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</si>
  <si>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</si>
  <si>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</si>
  <si>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</si>
  <si>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</si>
  <si>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</si>
  <si>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</si>
  <si>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</si>
  <si>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</si>
  <si>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</si>
  <si>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</si>
  <si>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</si>
  <si>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</si>
  <si>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</si>
  <si>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</si>
  <si>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</si>
  <si>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</si>
  <si>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</si>
  <si>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</si>
  <si>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</si>
  <si>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</si>
  <si>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</si>
  <si>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</si>
  <si>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</si>
  <si>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</si>
  <si>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</si>
  <si>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</si>
  <si>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</si>
  <si>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</si>
  <si>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</si>
  <si>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</si>
  <si>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</si>
  <si>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</si>
  <si>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</si>
  <si>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</si>
  <si>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</si>
  <si>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</si>
  <si>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</si>
  <si>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</si>
  <si>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</si>
  <si>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</si>
  <si>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</si>
  <si>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</si>
  <si>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</si>
  <si>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</si>
  <si>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</si>
  <si>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</si>
  <si>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</si>
  <si>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</si>
  <si>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</si>
  <si>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</si>
  <si>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</si>
  <si>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</si>
  <si>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</si>
  <si>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</si>
  <si>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</si>
  <si>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</si>
  <si>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</si>
  <si>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</si>
  <si>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</si>
  <si>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</si>
  <si>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</si>
  <si>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</si>
  <si>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</si>
  <si>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</si>
  <si>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</si>
  <si>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</si>
  <si>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</si>
  <si>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</si>
  <si>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</si>
  <si>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</si>
  <si>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</si>
  <si>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</si>
  <si>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</si>
  <si>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</si>
  <si>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</si>
  <si>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</si>
  <si>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</si>
  <si>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</si>
  <si>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</si>
  <si>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</si>
  <si>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</si>
  <si>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</si>
  <si>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</si>
  <si>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</si>
  <si>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</si>
  <si>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</si>
  <si>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</si>
  <si>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</si>
  <si>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</si>
  <si>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</si>
  <si>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</si>
  <si>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</si>
  <si>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</si>
  <si>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</si>
  <si>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</si>
  <si>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</si>
  <si>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</si>
  <si>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</si>
  <si>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</si>
  <si>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</si>
  <si>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</si>
  <si>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</si>
  <si>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</si>
  <si>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</si>
  <si>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</si>
  <si>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</si>
  <si>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</si>
  <si>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</si>
  <si>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</si>
  <si>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</si>
  <si>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</si>
  <si>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</si>
  <si>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</si>
  <si>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</si>
  <si>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</si>
  <si>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</si>
  <si>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</si>
  <si>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</si>
  <si>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</si>
  <si>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</si>
  <si>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</si>
  <si>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</si>
  <si>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</si>
  <si>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</si>
  <si>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</si>
  <si>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</si>
  <si>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</si>
  <si>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</si>
  <si>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</si>
  <si>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</si>
  <si>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</si>
  <si>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</si>
  <si>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</si>
  <si>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</si>
  <si>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</si>
  <si>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</si>
  <si>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</si>
  <si>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</si>
  <si>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</si>
  <si>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</si>
  <si>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</si>
  <si>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</si>
  <si>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</si>
  <si>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</si>
  <si>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</si>
  <si>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</si>
  <si>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</si>
  <si>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</si>
  <si>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</si>
  <si>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</si>
  <si>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</si>
  <si>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</si>
  <si>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</si>
  <si>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</si>
  <si>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</si>
  <si>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</si>
  <si>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</si>
  <si>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</si>
  <si>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</si>
  <si>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</si>
  <si>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</si>
  <si>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</si>
  <si>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</si>
  <si>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</si>
  <si>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</si>
  <si>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</si>
  <si>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</si>
  <si>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</si>
  <si>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</si>
  <si>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</si>
  <si>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</si>
  <si>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</si>
  <si>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</si>
  <si>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</si>
  <si>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</si>
  <si>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</si>
  <si>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</si>
  <si>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</si>
  <si>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</si>
  <si>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</si>
  <si>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</si>
  <si>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</si>
  <si>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</si>
  <si>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</si>
  <si>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</si>
  <si>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</si>
  <si>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</si>
  <si>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</si>
  <si>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</si>
  <si>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</si>
  <si>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</si>
  <si>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</si>
  <si>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</si>
  <si>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</si>
  <si>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</si>
  <si>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</si>
  <si>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</si>
  <si>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</si>
  <si>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</si>
  <si>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</si>
  <si>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</si>
  <si>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</si>
  <si>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</si>
  <si>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</si>
  <si>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</si>
  <si>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</si>
  <si>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</si>
  <si>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</si>
  <si>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</si>
  <si>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</si>
  <si>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</si>
  <si>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</si>
  <si>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</si>
  <si>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</si>
  <si>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</si>
  <si>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</si>
  <si>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</si>
  <si>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</si>
  <si>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</si>
  <si>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</si>
  <si>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</si>
  <si>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</si>
  <si>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</si>
  <si>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</si>
  <si>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</si>
  <si>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</si>
  <si>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</si>
  <si>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</si>
  <si>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</si>
  <si>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</si>
  <si>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</si>
  <si>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</si>
  <si>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</si>
  <si>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</si>
  <si>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</si>
  <si>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</si>
  <si>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</si>
  <si>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</si>
  <si>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</si>
  <si>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</si>
  <si>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</si>
  <si>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</si>
  <si>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</si>
  <si>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</si>
  <si>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</si>
  <si>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</si>
  <si>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</si>
  <si>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</si>
  <si>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</si>
  <si>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</si>
  <si>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</si>
  <si>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</si>
  <si>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</si>
  <si>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</si>
  <si>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</si>
  <si>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</si>
  <si>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</si>
  <si>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</si>
  <si>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</si>
  <si>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</si>
  <si>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</si>
  <si>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</si>
  <si>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</si>
  <si>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</si>
  <si>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</si>
  <si>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</si>
  <si>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</si>
  <si>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</si>
  <si>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</si>
  <si>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</si>
  <si>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</si>
  <si>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</si>
  <si>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</si>
  <si>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</si>
  <si>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</si>
  <si>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</si>
  <si>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</si>
  <si>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</si>
  <si>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</si>
  <si>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</si>
  <si>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</si>
  <si>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</si>
  <si>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</si>
  <si>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</si>
  <si>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</si>
  <si>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</si>
  <si>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</si>
  <si>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</si>
  <si>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</si>
  <si>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</si>
  <si>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</si>
  <si>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</si>
  <si>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</si>
  <si>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</si>
  <si>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</si>
  <si>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</si>
  <si>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</si>
  <si>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</si>
  <si>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</si>
  <si>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</si>
  <si>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</si>
  <si>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</si>
  <si>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</si>
  <si>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</si>
  <si>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</si>
  <si>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</si>
  <si>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</si>
  <si>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</si>
  <si>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</si>
  <si>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</si>
  <si>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</si>
  <si>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</si>
  <si>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</si>
  <si>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</si>
  <si>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</si>
  <si>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</si>
  <si>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</si>
  <si>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</si>
  <si>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</si>
  <si>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</si>
  <si>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</si>
  <si>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</si>
  <si>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</si>
  <si>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</si>
  <si>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</si>
  <si>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</si>
  <si>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</si>
  <si>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</si>
  <si>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</si>
  <si>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</si>
  <si>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</si>
  <si>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</si>
  <si>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</si>
  <si>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</si>
  <si>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</si>
  <si>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</si>
  <si>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</si>
  <si>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</si>
  <si>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</si>
  <si>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</si>
  <si>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</si>
  <si>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</si>
  <si>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</si>
  <si>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</si>
  <si>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</si>
  <si>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</si>
  <si>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</si>
  <si>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</si>
  <si>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</si>
  <si>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</si>
  <si>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</si>
  <si>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</si>
  <si>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</si>
  <si>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</si>
  <si>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</si>
  <si>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</si>
  <si>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</si>
  <si>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</si>
  <si>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</si>
  <si>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</si>
  <si>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</si>
  <si>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</si>
  <si>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</si>
  <si>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</si>
  <si>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</si>
  <si>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</si>
  <si>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</si>
  <si>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</si>
  <si>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</si>
  <si>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</si>
  <si>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</si>
  <si>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</si>
  <si>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</si>
  <si>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</si>
  <si>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</si>
  <si>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</si>
  <si>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</si>
  <si>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</si>
  <si>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</si>
  <si>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</si>
  <si>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</si>
  <si>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</si>
  <si>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</si>
  <si>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</si>
  <si>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</si>
  <si>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</si>
  <si>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</si>
  <si>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</si>
  <si>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</si>
  <si>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</si>
  <si>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</si>
  <si>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</si>
  <si>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</si>
  <si>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</si>
  <si>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</si>
  <si>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</si>
  <si>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</si>
  <si>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</si>
  <si>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</si>
  <si>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</si>
  <si>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</si>
  <si>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</si>
  <si>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</si>
  <si>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</si>
  <si>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</si>
  <si>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</si>
  <si>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</si>
  <si>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</si>
  <si>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</si>
  <si>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</si>
  <si>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</si>
  <si>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</si>
  <si>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</si>
  <si>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</si>
  <si>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</si>
  <si>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</si>
  <si>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</si>
  <si>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</si>
  <si>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</si>
  <si>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</si>
  <si>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</si>
  <si>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</si>
  <si>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</si>
  <si>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</si>
  <si>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</si>
  <si>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</si>
  <si>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</si>
  <si>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</si>
  <si>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</si>
  <si>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</si>
  <si>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</si>
  <si>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</si>
  <si>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</si>
  <si>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</si>
  <si>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</si>
  <si>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</si>
  <si>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</si>
  <si>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</si>
  <si>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</si>
  <si>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</si>
  <si>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</si>
  <si>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</si>
  <si>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</si>
  <si>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</si>
  <si>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</si>
  <si>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</si>
  <si>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</si>
  <si>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</si>
  <si>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</si>
  <si>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</si>
  <si>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</si>
  <si>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</si>
  <si>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</si>
  <si>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</si>
  <si>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</si>
  <si>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</si>
  <si>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</si>
  <si>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</si>
  <si>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</si>
  <si>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</si>
  <si>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</si>
  <si>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</si>
  <si>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</si>
  <si>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</si>
  <si>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</si>
  <si>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</si>
  <si>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</si>
  <si>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</si>
  <si>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</si>
  <si>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</si>
  <si>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</si>
  <si>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</si>
  <si>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</si>
  <si>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</si>
  <si>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</si>
  <si>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</si>
  <si>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</si>
  <si>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</si>
  <si>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</si>
  <si>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</si>
  <si>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</si>
  <si>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</si>
  <si>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</si>
  <si>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</si>
  <si>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</si>
  <si>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</si>
  <si>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</si>
  <si>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</si>
  <si>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</si>
  <si>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</si>
  <si>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</si>
  <si>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</si>
  <si>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</si>
  <si>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</si>
  <si>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</si>
  <si>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</si>
  <si>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</si>
  <si>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</si>
  <si>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</si>
  <si>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</si>
  <si>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</si>
  <si>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</si>
  <si>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</si>
  <si>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</si>
  <si>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</si>
  <si>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</si>
  <si>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</si>
  <si>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</si>
  <si>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</si>
  <si>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</si>
  <si>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</si>
  <si>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</si>
  <si>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</si>
  <si>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</si>
  <si>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</si>
  <si>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</si>
  <si>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</si>
  <si>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</si>
  <si>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</si>
  <si>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</si>
  <si>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</si>
  <si>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</si>
  <si>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</si>
  <si>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</si>
  <si>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</si>
  <si>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</si>
  <si>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</si>
  <si>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</si>
  <si>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</si>
  <si>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</si>
  <si>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</si>
  <si>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</si>
  <si>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</si>
  <si>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</si>
  <si>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</si>
  <si>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</si>
  <si>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</si>
  <si>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</si>
  <si>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</si>
  <si>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</si>
  <si>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</si>
  <si>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</si>
  <si>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</si>
  <si>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</si>
  <si>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</si>
  <si>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</si>
  <si>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</si>
  <si>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</si>
  <si>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</si>
  <si>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</si>
  <si>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</si>
  <si>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</si>
  <si>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</si>
  <si>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</si>
  <si>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</si>
  <si>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</si>
  <si>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</si>
  <si>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</si>
  <si>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</si>
  <si>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</si>
  <si>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</si>
  <si>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</si>
  <si>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</si>
  <si>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</si>
  <si>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</si>
  <si>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</si>
  <si>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</si>
  <si>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</si>
  <si>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</si>
  <si>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</si>
  <si>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</si>
  <si>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</si>
  <si>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</si>
  <si>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</si>
  <si>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</si>
  <si>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</si>
  <si>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</si>
  <si>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</si>
  <si>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</si>
  <si>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</si>
  <si>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</si>
  <si>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证号</t>
    <phoneticPr fontId="135" type="noConversion"/>
  </si>
  <si>
    <t>产权方</t>
    <phoneticPr fontId="135" type="noConversion"/>
  </si>
  <si>
    <t>坐落</t>
    <phoneticPr fontId="135" type="noConversion"/>
  </si>
  <si>
    <t>楼号或幢号</t>
    <phoneticPr fontId="135" type="noConversion"/>
  </si>
  <si>
    <t>房屋总层数</t>
    <phoneticPr fontId="135" type="noConversion"/>
  </si>
  <si>
    <t>所在层数</t>
    <phoneticPr fontId="135" type="noConversion"/>
  </si>
  <si>
    <t>部位及房号</t>
    <phoneticPr fontId="135" type="noConversion"/>
  </si>
  <si>
    <t>结构</t>
    <phoneticPr fontId="135" type="noConversion"/>
  </si>
  <si>
    <t>建筑面积</t>
    <phoneticPr fontId="135" type="noConversion"/>
  </si>
  <si>
    <r>
      <t>京（2</t>
    </r>
    <r>
      <rPr>
        <sz val="11"/>
        <color theme="1"/>
        <rFont val="宋体"/>
        <family val="3"/>
        <charset val="134"/>
        <scheme val="minor"/>
      </rPr>
      <t>025）密不动产权第0003336号</t>
    </r>
    <phoneticPr fontId="135" type="noConversion"/>
  </si>
  <si>
    <t>北京密云生态商务区开发有限责任公司</t>
    <phoneticPr fontId="135" type="noConversion"/>
  </si>
  <si>
    <r>
      <t>密云区滨河路1</t>
    </r>
    <r>
      <rPr>
        <sz val="11"/>
        <color theme="1"/>
        <rFont val="宋体"/>
        <family val="3"/>
        <charset val="134"/>
        <scheme val="minor"/>
      </rPr>
      <t>78号院3号楼2层2单元201</t>
    </r>
    <phoneticPr fontId="135" type="noConversion"/>
  </si>
  <si>
    <t>3号楼</t>
    <phoneticPr fontId="135" type="noConversion"/>
  </si>
  <si>
    <t>7（-02）</t>
    <phoneticPr fontId="135" type="noConversion"/>
  </si>
  <si>
    <r>
      <t>2单元</t>
    </r>
    <r>
      <rPr>
        <sz val="11"/>
        <color theme="1"/>
        <rFont val="宋体"/>
        <family val="3"/>
        <charset val="134"/>
        <scheme val="minor"/>
      </rPr>
      <t>201</t>
    </r>
    <phoneticPr fontId="135" type="noConversion"/>
  </si>
  <si>
    <t>钢混</t>
    <phoneticPr fontId="135" type="noConversion"/>
  </si>
  <si>
    <r>
      <t>京（2025）密不动产权第000333</t>
    </r>
    <r>
      <rPr>
        <sz val="11"/>
        <color theme="1"/>
        <rFont val="宋体"/>
        <family val="3"/>
        <charset val="134"/>
        <scheme val="minor"/>
      </rPr>
      <t>0</t>
    </r>
    <r>
      <rPr>
        <sz val="11"/>
        <color theme="1"/>
        <rFont val="宋体"/>
        <family val="3"/>
        <charset val="134"/>
        <scheme val="minor"/>
      </rPr>
      <t>号</t>
    </r>
    <phoneticPr fontId="135" type="noConversion"/>
  </si>
  <si>
    <t>密云区滨河路178号院3号楼2层2单元202</t>
    <phoneticPr fontId="135" type="noConversion"/>
  </si>
  <si>
    <r>
      <t>2单元</t>
    </r>
    <r>
      <rPr>
        <sz val="11"/>
        <color theme="1"/>
        <rFont val="宋体"/>
        <family val="3"/>
        <charset val="134"/>
        <scheme val="minor"/>
      </rPr>
      <t>202</t>
    </r>
    <phoneticPr fontId="135" type="noConversion"/>
  </si>
  <si>
    <r>
      <t>京（2025）密不动产权第0003333</t>
    </r>
    <r>
      <rPr>
        <sz val="11"/>
        <color theme="1"/>
        <rFont val="宋体"/>
        <family val="3"/>
        <charset val="134"/>
        <scheme val="minor"/>
      </rPr>
      <t>号</t>
    </r>
    <phoneticPr fontId="135" type="noConversion"/>
  </si>
  <si>
    <t>密云区滨河路178号院3号楼2层2单元203</t>
    <phoneticPr fontId="135" type="noConversion"/>
  </si>
  <si>
    <t>2单元203</t>
    <phoneticPr fontId="135" type="noConversion"/>
  </si>
  <si>
    <r>
      <t>京（2025）密不动产权第0003365</t>
    </r>
    <r>
      <rPr>
        <sz val="11"/>
        <color theme="1"/>
        <rFont val="宋体"/>
        <family val="3"/>
        <charset val="134"/>
        <scheme val="minor"/>
      </rPr>
      <t>号</t>
    </r>
    <phoneticPr fontId="135" type="noConversion"/>
  </si>
  <si>
    <t>密云区滨河路178号院3号楼2层2单元204</t>
    <phoneticPr fontId="135" type="noConversion"/>
  </si>
  <si>
    <t>2单元204</t>
    <phoneticPr fontId="135" type="noConversion"/>
  </si>
  <si>
    <r>
      <t>京（2025）密不动产权第0003340</t>
    </r>
    <r>
      <rPr>
        <sz val="11"/>
        <color theme="1"/>
        <rFont val="宋体"/>
        <family val="3"/>
        <charset val="134"/>
        <scheme val="minor"/>
      </rPr>
      <t>号</t>
    </r>
    <phoneticPr fontId="135" type="noConversion"/>
  </si>
  <si>
    <t>密云区滨河路178号院3号楼2层2单元205</t>
    <phoneticPr fontId="135" type="noConversion"/>
  </si>
  <si>
    <t>2单元205</t>
    <phoneticPr fontId="135" type="noConversion"/>
  </si>
  <si>
    <r>
      <t>京（2025）密不动产权第0003362</t>
    </r>
    <r>
      <rPr>
        <sz val="11"/>
        <color theme="1"/>
        <rFont val="宋体"/>
        <family val="3"/>
        <charset val="134"/>
        <scheme val="minor"/>
      </rPr>
      <t>号</t>
    </r>
    <phoneticPr fontId="135" type="noConversion"/>
  </si>
  <si>
    <t>密云区滨河路178号院3号楼2层2单元206</t>
    <phoneticPr fontId="135" type="noConversion"/>
  </si>
  <si>
    <t>2单元206</t>
    <phoneticPr fontId="135" type="noConversion"/>
  </si>
  <si>
    <r>
      <t>京（2025）密不动产权第0003387</t>
    </r>
    <r>
      <rPr>
        <sz val="11"/>
        <color theme="1"/>
        <rFont val="宋体"/>
        <family val="3"/>
        <charset val="134"/>
        <scheme val="minor"/>
      </rPr>
      <t>号</t>
    </r>
    <phoneticPr fontId="135" type="noConversion"/>
  </si>
  <si>
    <t>密云区滨河路178号院3号楼2层2单元207</t>
    <phoneticPr fontId="135" type="noConversion"/>
  </si>
  <si>
    <t>2单元207</t>
    <phoneticPr fontId="135" type="noConversion"/>
  </si>
  <si>
    <r>
      <t>京（2025）密不动产权第0003382</t>
    </r>
    <r>
      <rPr>
        <sz val="11"/>
        <color theme="1"/>
        <rFont val="宋体"/>
        <family val="3"/>
        <charset val="134"/>
        <scheme val="minor"/>
      </rPr>
      <t>号</t>
    </r>
    <phoneticPr fontId="135" type="noConversion"/>
  </si>
  <si>
    <t>密云区滨河路178号院3号楼2层2单元208</t>
    <phoneticPr fontId="135" type="noConversion"/>
  </si>
  <si>
    <t>2单元208</t>
    <phoneticPr fontId="135" type="noConversion"/>
  </si>
  <si>
    <r>
      <t>京（2025）密不动产权第0003342</t>
    </r>
    <r>
      <rPr>
        <sz val="11"/>
        <color theme="1"/>
        <rFont val="宋体"/>
        <family val="3"/>
        <charset val="134"/>
        <scheme val="minor"/>
      </rPr>
      <t>号</t>
    </r>
    <phoneticPr fontId="135" type="noConversion"/>
  </si>
  <si>
    <t>密云区滨河路178号院3号楼2层2单元209</t>
    <phoneticPr fontId="135" type="noConversion"/>
  </si>
  <si>
    <t>2单元209</t>
    <phoneticPr fontId="135" type="noConversion"/>
  </si>
  <si>
    <r>
      <t>京（2025）密不动产权第0003343</t>
    </r>
    <r>
      <rPr>
        <sz val="11"/>
        <color theme="1"/>
        <rFont val="宋体"/>
        <family val="3"/>
        <charset val="134"/>
        <scheme val="minor"/>
      </rPr>
      <t>号</t>
    </r>
    <phoneticPr fontId="135" type="noConversion"/>
  </si>
  <si>
    <t>密云区滨河路178号院3号楼2层2单元210</t>
    <phoneticPr fontId="135" type="noConversion"/>
  </si>
  <si>
    <t>2单元210</t>
    <phoneticPr fontId="135" type="noConversion"/>
  </si>
  <si>
    <r>
      <t>京（2025）密不动产权第0003390</t>
    </r>
    <r>
      <rPr>
        <sz val="11"/>
        <color theme="1"/>
        <rFont val="宋体"/>
        <family val="3"/>
        <charset val="134"/>
        <scheme val="minor"/>
      </rPr>
      <t>号</t>
    </r>
    <phoneticPr fontId="135" type="noConversion"/>
  </si>
  <si>
    <t>密云区滨河路178号院3号楼2层2单元211</t>
    <phoneticPr fontId="135" type="noConversion"/>
  </si>
  <si>
    <t>2单元211</t>
    <phoneticPr fontId="135" type="noConversion"/>
  </si>
  <si>
    <r>
      <t>京（2025）密不动产权第0003393</t>
    </r>
    <r>
      <rPr>
        <sz val="11"/>
        <color theme="1"/>
        <rFont val="宋体"/>
        <family val="3"/>
        <charset val="134"/>
        <scheme val="minor"/>
      </rPr>
      <t>号</t>
    </r>
    <phoneticPr fontId="135" type="noConversion"/>
  </si>
  <si>
    <t>密云区滨河路178号院3号楼2层2单元212</t>
    <phoneticPr fontId="135" type="noConversion"/>
  </si>
  <si>
    <t>2单元212</t>
    <phoneticPr fontId="135" type="noConversion"/>
  </si>
  <si>
    <r>
      <t>京（2025）密不动产权第0004812</t>
    </r>
    <r>
      <rPr>
        <sz val="11"/>
        <color theme="1"/>
        <rFont val="宋体"/>
        <family val="3"/>
        <charset val="134"/>
        <scheme val="minor"/>
      </rPr>
      <t>号</t>
    </r>
    <phoneticPr fontId="135" type="noConversion"/>
  </si>
  <si>
    <t>密云区滨河路178号院3号楼2层2单元213</t>
    <phoneticPr fontId="135" type="noConversion"/>
  </si>
  <si>
    <t>2单元213</t>
    <phoneticPr fontId="135" type="noConversion"/>
  </si>
  <si>
    <r>
      <t>京（2025）密不动产权第0004815</t>
    </r>
    <r>
      <rPr>
        <sz val="11"/>
        <color theme="1"/>
        <rFont val="宋体"/>
        <family val="3"/>
        <charset val="134"/>
        <scheme val="minor"/>
      </rPr>
      <t>号</t>
    </r>
    <phoneticPr fontId="135" type="noConversion"/>
  </si>
  <si>
    <t>密云区滨河路178号院3号楼2层2单元214</t>
    <phoneticPr fontId="135" type="noConversion"/>
  </si>
  <si>
    <t>2单元214</t>
    <phoneticPr fontId="135" type="noConversion"/>
  </si>
  <si>
    <r>
      <t>京（2025）密不动产权第0004817</t>
    </r>
    <r>
      <rPr>
        <sz val="11"/>
        <color theme="1"/>
        <rFont val="宋体"/>
        <family val="3"/>
        <charset val="134"/>
        <scheme val="minor"/>
      </rPr>
      <t>号</t>
    </r>
    <phoneticPr fontId="135" type="noConversion"/>
  </si>
  <si>
    <t>密云区滨河路178号院3号楼2层2单元215</t>
    <phoneticPr fontId="135" type="noConversion"/>
  </si>
  <si>
    <t>2单元215</t>
    <phoneticPr fontId="135" type="noConversion"/>
  </si>
  <si>
    <r>
      <t>京（2025）密不动产权第0003328</t>
    </r>
    <r>
      <rPr>
        <sz val="11"/>
        <color theme="1"/>
        <rFont val="宋体"/>
        <family val="3"/>
        <charset val="134"/>
        <scheme val="minor"/>
      </rPr>
      <t>号</t>
    </r>
    <phoneticPr fontId="135" type="noConversion"/>
  </si>
  <si>
    <t>密云区滨河路178号院3号楼2层2单元216</t>
    <phoneticPr fontId="135" type="noConversion"/>
  </si>
  <si>
    <t>2单元216</t>
    <phoneticPr fontId="135" type="noConversion"/>
  </si>
  <si>
    <r>
      <t>京（2025）密不动产权第0003361</t>
    </r>
    <r>
      <rPr>
        <sz val="11"/>
        <color theme="1"/>
        <rFont val="宋体"/>
        <family val="3"/>
        <charset val="134"/>
        <scheme val="minor"/>
      </rPr>
      <t>号</t>
    </r>
    <phoneticPr fontId="135" type="noConversion"/>
  </si>
  <si>
    <t>密云区滨河路178号院3号楼2层2单元217</t>
    <phoneticPr fontId="135" type="noConversion"/>
  </si>
  <si>
    <t>2单元217</t>
    <phoneticPr fontId="135" type="noConversion"/>
  </si>
  <si>
    <r>
      <t>京（2025）密不动产权第0003403</t>
    </r>
    <r>
      <rPr>
        <sz val="11"/>
        <color theme="1"/>
        <rFont val="宋体"/>
        <family val="3"/>
        <charset val="134"/>
        <scheme val="minor"/>
      </rPr>
      <t>号</t>
    </r>
    <phoneticPr fontId="135" type="noConversion"/>
  </si>
  <si>
    <t>密云区滨河路178号院3号楼2层2单元218</t>
    <phoneticPr fontId="135" type="noConversion"/>
  </si>
  <si>
    <t>2单元218</t>
    <phoneticPr fontId="135" type="noConversion"/>
  </si>
  <si>
    <r>
      <t>京（2025）密不动产权第0003386</t>
    </r>
    <r>
      <rPr>
        <sz val="11"/>
        <color theme="1"/>
        <rFont val="宋体"/>
        <family val="3"/>
        <charset val="134"/>
        <scheme val="minor"/>
      </rPr>
      <t>号</t>
    </r>
    <phoneticPr fontId="135" type="noConversion"/>
  </si>
  <si>
    <t>密云区滨河路178号院3号楼2层2单元219</t>
    <phoneticPr fontId="135" type="noConversion"/>
  </si>
  <si>
    <t>2单元219</t>
    <phoneticPr fontId="135" type="noConversion"/>
  </si>
  <si>
    <r>
      <t>京（2025）密不动产权第0003395</t>
    </r>
    <r>
      <rPr>
        <sz val="11"/>
        <color theme="1"/>
        <rFont val="宋体"/>
        <family val="3"/>
        <charset val="134"/>
        <scheme val="minor"/>
      </rPr>
      <t>号</t>
    </r>
    <phoneticPr fontId="135" type="noConversion"/>
  </si>
  <si>
    <t>密云区滨河路178号院3号楼2层2单元220</t>
    <phoneticPr fontId="135" type="noConversion"/>
  </si>
  <si>
    <t>2单元220</t>
    <phoneticPr fontId="135" type="noConversion"/>
  </si>
  <si>
    <r>
      <t>京（2025）密不动产权第0003399</t>
    </r>
    <r>
      <rPr>
        <sz val="11"/>
        <color theme="1"/>
        <rFont val="宋体"/>
        <family val="3"/>
        <charset val="134"/>
        <scheme val="minor"/>
      </rPr>
      <t>号</t>
    </r>
    <phoneticPr fontId="135" type="noConversion"/>
  </si>
  <si>
    <t>密云区滨河路178号院3号楼2层2单元221</t>
    <phoneticPr fontId="135" type="noConversion"/>
  </si>
  <si>
    <t>2单元221</t>
    <phoneticPr fontId="135" type="noConversion"/>
  </si>
  <si>
    <r>
      <t>京（2025）密不动产权第0003391</t>
    </r>
    <r>
      <rPr>
        <sz val="11"/>
        <color theme="1"/>
        <rFont val="宋体"/>
        <family val="3"/>
        <charset val="134"/>
        <scheme val="minor"/>
      </rPr>
      <t>号</t>
    </r>
    <phoneticPr fontId="135" type="noConversion"/>
  </si>
  <si>
    <t>密云区滨河路178号院3号楼2层2单元222</t>
    <phoneticPr fontId="135" type="noConversion"/>
  </si>
  <si>
    <t>2单元222</t>
    <phoneticPr fontId="135" type="noConversion"/>
  </si>
  <si>
    <r>
      <t>京（2025）密不动产权第0003514</t>
    </r>
    <r>
      <rPr>
        <sz val="11"/>
        <color theme="1"/>
        <rFont val="宋体"/>
        <family val="3"/>
        <charset val="134"/>
        <scheme val="minor"/>
      </rPr>
      <t>号</t>
    </r>
    <phoneticPr fontId="135" type="noConversion"/>
  </si>
  <si>
    <t>密云区滨河路178号院3号楼2层2单元223</t>
    <phoneticPr fontId="135" type="noConversion"/>
  </si>
  <si>
    <t>2单元223</t>
    <phoneticPr fontId="135" type="noConversion"/>
  </si>
  <si>
    <r>
      <t>京（2025）密不动产权第0004773</t>
    </r>
    <r>
      <rPr>
        <sz val="11"/>
        <color theme="1"/>
        <rFont val="宋体"/>
        <family val="3"/>
        <charset val="134"/>
        <scheme val="minor"/>
      </rPr>
      <t>号</t>
    </r>
    <phoneticPr fontId="135" type="noConversion"/>
  </si>
  <si>
    <t>密云区滨河路178号院3号楼2层2单元224</t>
    <phoneticPr fontId="135" type="noConversion"/>
  </si>
  <si>
    <t>2单元224</t>
    <phoneticPr fontId="135" type="noConversion"/>
  </si>
  <si>
    <r>
      <t>京（2025）密不动产权第0004777</t>
    </r>
    <r>
      <rPr>
        <sz val="11"/>
        <color theme="1"/>
        <rFont val="宋体"/>
        <family val="3"/>
        <charset val="134"/>
        <scheme val="minor"/>
      </rPr>
      <t>号</t>
    </r>
    <phoneticPr fontId="135" type="noConversion"/>
  </si>
  <si>
    <t>密云区滨河路178号院3号楼2层2单元225</t>
    <phoneticPr fontId="135" type="noConversion"/>
  </si>
  <si>
    <t>2单元225</t>
    <phoneticPr fontId="135" type="noConversion"/>
  </si>
  <si>
    <r>
      <t>京（2025）密不动产权第0004766</t>
    </r>
    <r>
      <rPr>
        <sz val="11"/>
        <color theme="1"/>
        <rFont val="宋体"/>
        <family val="3"/>
        <charset val="134"/>
        <scheme val="minor"/>
      </rPr>
      <t>号</t>
    </r>
    <phoneticPr fontId="135" type="noConversion"/>
  </si>
  <si>
    <t>密云区滨河路178号院3号楼2层2单元226</t>
    <phoneticPr fontId="135" type="noConversion"/>
  </si>
  <si>
    <t>2单元226</t>
    <phoneticPr fontId="135" type="noConversion"/>
  </si>
  <si>
    <r>
      <t>京（2025）密不动产权第0003516</t>
    </r>
    <r>
      <rPr>
        <sz val="11"/>
        <color theme="1"/>
        <rFont val="宋体"/>
        <family val="3"/>
        <charset val="134"/>
        <scheme val="minor"/>
      </rPr>
      <t>号</t>
    </r>
    <phoneticPr fontId="135" type="noConversion"/>
  </si>
  <si>
    <r>
      <t>京（2025）密不动产权第0004774</t>
    </r>
    <r>
      <rPr>
        <sz val="11"/>
        <color theme="1"/>
        <rFont val="宋体"/>
        <family val="3"/>
        <charset val="134"/>
        <scheme val="minor"/>
      </rPr>
      <t>号</t>
    </r>
    <phoneticPr fontId="135" type="noConversion"/>
  </si>
  <si>
    <t>2单元302</t>
    <phoneticPr fontId="135" type="noConversion"/>
  </si>
  <si>
    <r>
      <t>京（2025）密不动产权第0004762</t>
    </r>
    <r>
      <rPr>
        <sz val="11"/>
        <color theme="1"/>
        <rFont val="宋体"/>
        <family val="3"/>
        <charset val="134"/>
        <scheme val="minor"/>
      </rPr>
      <t>号</t>
    </r>
    <phoneticPr fontId="135" type="noConversion"/>
  </si>
  <si>
    <t>2单元303</t>
    <phoneticPr fontId="135" type="noConversion"/>
  </si>
  <si>
    <r>
      <t>京（2025）密不动产权第0003524</t>
    </r>
    <r>
      <rPr>
        <sz val="11"/>
        <color theme="1"/>
        <rFont val="宋体"/>
        <family val="3"/>
        <charset val="134"/>
        <scheme val="minor"/>
      </rPr>
      <t>号</t>
    </r>
    <phoneticPr fontId="135" type="noConversion"/>
  </si>
  <si>
    <t>2单元304</t>
    <phoneticPr fontId="135" type="noConversion"/>
  </si>
  <si>
    <r>
      <t>京（2025）密不动产权第0004768</t>
    </r>
    <r>
      <rPr>
        <sz val="11"/>
        <color theme="1"/>
        <rFont val="宋体"/>
        <family val="3"/>
        <charset val="134"/>
        <scheme val="minor"/>
      </rPr>
      <t>号</t>
    </r>
    <phoneticPr fontId="135" type="noConversion"/>
  </si>
  <si>
    <t>2单元305</t>
    <phoneticPr fontId="135" type="noConversion"/>
  </si>
  <si>
    <r>
      <t>京（2025）密不动产权第0004754</t>
    </r>
    <r>
      <rPr>
        <sz val="11"/>
        <color theme="1"/>
        <rFont val="宋体"/>
        <family val="3"/>
        <charset val="134"/>
        <scheme val="minor"/>
      </rPr>
      <t>号</t>
    </r>
    <phoneticPr fontId="135" type="noConversion"/>
  </si>
  <si>
    <t>2单元306</t>
    <phoneticPr fontId="135" type="noConversion"/>
  </si>
  <si>
    <r>
      <t>京（2025）密不动产权第0003519</t>
    </r>
    <r>
      <rPr>
        <sz val="11"/>
        <color theme="1"/>
        <rFont val="宋体"/>
        <family val="3"/>
        <charset val="134"/>
        <scheme val="minor"/>
      </rPr>
      <t>号</t>
    </r>
    <phoneticPr fontId="135" type="noConversion"/>
  </si>
  <si>
    <t>2单元307</t>
    <phoneticPr fontId="135" type="noConversion"/>
  </si>
  <si>
    <r>
      <t>京（2025）密不动产权第0004756</t>
    </r>
    <r>
      <rPr>
        <sz val="11"/>
        <color theme="1"/>
        <rFont val="宋体"/>
        <family val="3"/>
        <charset val="134"/>
        <scheme val="minor"/>
      </rPr>
      <t>号</t>
    </r>
    <phoneticPr fontId="135" type="noConversion"/>
  </si>
  <si>
    <t>密云区滨河路178号院3号楼3层2单元302</t>
    <phoneticPr fontId="135" type="noConversion"/>
  </si>
  <si>
    <t>密云区滨河路178号院3号楼3层2单元303</t>
    <phoneticPr fontId="135" type="noConversion"/>
  </si>
  <si>
    <t>密云区滨河路178号院3号楼3层2单元304</t>
    <phoneticPr fontId="135" type="noConversion"/>
  </si>
  <si>
    <t>密云区滨河路178号院3号楼3层2单元305</t>
    <phoneticPr fontId="135" type="noConversion"/>
  </si>
  <si>
    <t>密云区滨河路178号院3号楼3层2单元306</t>
    <phoneticPr fontId="135" type="noConversion"/>
  </si>
  <si>
    <t>密云区滨河路178号院3号楼3层2单元307</t>
    <phoneticPr fontId="135" type="noConversion"/>
  </si>
  <si>
    <t>密云区滨河路178号院3号楼3层2单元308</t>
    <phoneticPr fontId="135" type="noConversion"/>
  </si>
  <si>
    <t>2单元308</t>
    <phoneticPr fontId="135" type="noConversion"/>
  </si>
  <si>
    <r>
      <t>京（2025）密不动产权第0003541</t>
    </r>
    <r>
      <rPr>
        <sz val="11"/>
        <color theme="1"/>
        <rFont val="宋体"/>
        <family val="3"/>
        <charset val="134"/>
        <scheme val="minor"/>
      </rPr>
      <t>号</t>
    </r>
    <phoneticPr fontId="135" type="noConversion"/>
  </si>
  <si>
    <t>密云区滨河路178号院3号楼3层2单元309</t>
    <phoneticPr fontId="135" type="noConversion"/>
  </si>
  <si>
    <t>2单元309</t>
    <phoneticPr fontId="135" type="noConversion"/>
  </si>
  <si>
    <r>
      <t>京（2025）密不动产权第0003537</t>
    </r>
    <r>
      <rPr>
        <sz val="11"/>
        <color theme="1"/>
        <rFont val="宋体"/>
        <family val="3"/>
        <charset val="134"/>
        <scheme val="minor"/>
      </rPr>
      <t>号</t>
    </r>
    <phoneticPr fontId="135" type="noConversion"/>
  </si>
  <si>
    <t>密云区滨河路178号院3号楼3层2单元310</t>
    <phoneticPr fontId="135" type="noConversion"/>
  </si>
  <si>
    <t>2单元310</t>
    <phoneticPr fontId="135" type="noConversion"/>
  </si>
  <si>
    <r>
      <t>京（2025）密不动产权第0003507</t>
    </r>
    <r>
      <rPr>
        <sz val="11"/>
        <color theme="1"/>
        <rFont val="宋体"/>
        <family val="3"/>
        <charset val="134"/>
        <scheme val="minor"/>
      </rPr>
      <t>号</t>
    </r>
    <phoneticPr fontId="135" type="noConversion"/>
  </si>
  <si>
    <t>密云区滨河路178号院3号楼3层2单元311</t>
    <phoneticPr fontId="135" type="noConversion"/>
  </si>
  <si>
    <t>2单元311</t>
    <phoneticPr fontId="135" type="noConversion"/>
  </si>
  <si>
    <r>
      <t>京（2025）密不动产权第0004977</t>
    </r>
    <r>
      <rPr>
        <sz val="11"/>
        <color theme="1"/>
        <rFont val="宋体"/>
        <family val="3"/>
        <charset val="134"/>
        <scheme val="minor"/>
      </rPr>
      <t>号</t>
    </r>
    <phoneticPr fontId="135" type="noConversion"/>
  </si>
  <si>
    <t>密云区滨河路178号院3号楼3层2单元312</t>
    <phoneticPr fontId="135" type="noConversion"/>
  </si>
  <si>
    <t>2单元312</t>
    <phoneticPr fontId="135" type="noConversion"/>
  </si>
  <si>
    <r>
      <t>京（2025）密不动产权第0004974</t>
    </r>
    <r>
      <rPr>
        <sz val="11"/>
        <color theme="1"/>
        <rFont val="宋体"/>
        <family val="3"/>
        <charset val="134"/>
        <scheme val="minor"/>
      </rPr>
      <t>号</t>
    </r>
    <phoneticPr fontId="135" type="noConversion"/>
  </si>
  <si>
    <t>密云区滨河路178号院3号楼3层2单元313</t>
    <phoneticPr fontId="135" type="noConversion"/>
  </si>
  <si>
    <t>2单元313</t>
    <phoneticPr fontId="135" type="noConversion"/>
  </si>
  <si>
    <r>
      <t>京（2025）密不动产权第0003510</t>
    </r>
    <r>
      <rPr>
        <sz val="11"/>
        <color theme="1"/>
        <rFont val="宋体"/>
        <family val="3"/>
        <charset val="134"/>
        <scheme val="minor"/>
      </rPr>
      <t>号</t>
    </r>
    <phoneticPr fontId="135" type="noConversion"/>
  </si>
  <si>
    <t>密云区滨河路178号院3号楼3层2单元314</t>
    <phoneticPr fontId="135" type="noConversion"/>
  </si>
  <si>
    <t>2单元314</t>
    <phoneticPr fontId="135" type="noConversion"/>
  </si>
  <si>
    <r>
      <t>京（2025）密不动产权第0004971</t>
    </r>
    <r>
      <rPr>
        <sz val="11"/>
        <color theme="1"/>
        <rFont val="宋体"/>
        <family val="3"/>
        <charset val="134"/>
        <scheme val="minor"/>
      </rPr>
      <t>号</t>
    </r>
    <phoneticPr fontId="135" type="noConversion"/>
  </si>
  <si>
    <t>密云区滨河路178号院3号楼3层2单元315</t>
    <phoneticPr fontId="135" type="noConversion"/>
  </si>
  <si>
    <t>2单元315</t>
    <phoneticPr fontId="135" type="noConversion"/>
  </si>
  <si>
    <r>
      <t>京（2025）密不动产权第0004967</t>
    </r>
    <r>
      <rPr>
        <sz val="11"/>
        <color theme="1"/>
        <rFont val="宋体"/>
        <family val="3"/>
        <charset val="134"/>
        <scheme val="minor"/>
      </rPr>
      <t>号</t>
    </r>
    <phoneticPr fontId="135" type="noConversion"/>
  </si>
  <si>
    <t>密云区滨河路178号院3号楼3层2单元316</t>
    <phoneticPr fontId="135" type="noConversion"/>
  </si>
  <si>
    <t>2单元316</t>
    <phoneticPr fontId="135" type="noConversion"/>
  </si>
  <si>
    <r>
      <t>京（2025）密不动产权第0004972</t>
    </r>
    <r>
      <rPr>
        <sz val="11"/>
        <color theme="1"/>
        <rFont val="宋体"/>
        <family val="3"/>
        <charset val="134"/>
        <scheme val="minor"/>
      </rPr>
      <t>号</t>
    </r>
    <phoneticPr fontId="135" type="noConversion"/>
  </si>
  <si>
    <t>密云区滨河路178号院3号楼3层2单元317</t>
    <phoneticPr fontId="135" type="noConversion"/>
  </si>
  <si>
    <t>2单元317</t>
    <phoneticPr fontId="135" type="noConversion"/>
  </si>
  <si>
    <r>
      <t>京（2025）密不动产权第0004973</t>
    </r>
    <r>
      <rPr>
        <sz val="11"/>
        <color theme="1"/>
        <rFont val="宋体"/>
        <family val="3"/>
        <charset val="134"/>
        <scheme val="minor"/>
      </rPr>
      <t>号</t>
    </r>
    <phoneticPr fontId="135" type="noConversion"/>
  </si>
  <si>
    <t>密云区滨河路178号院3号楼3层2单元318</t>
    <phoneticPr fontId="135" type="noConversion"/>
  </si>
  <si>
    <t>2单元318</t>
    <phoneticPr fontId="135" type="noConversion"/>
  </si>
  <si>
    <r>
      <t>京（2025）密不动产权第0003520</t>
    </r>
    <r>
      <rPr>
        <sz val="11"/>
        <color theme="1"/>
        <rFont val="宋体"/>
        <family val="3"/>
        <charset val="134"/>
        <scheme val="minor"/>
      </rPr>
      <t>号</t>
    </r>
    <phoneticPr fontId="135" type="noConversion"/>
  </si>
  <si>
    <t>密云区滨河路178号院3号楼3层2单元319</t>
    <phoneticPr fontId="135" type="noConversion"/>
  </si>
  <si>
    <t>2单元319</t>
    <phoneticPr fontId="135" type="noConversion"/>
  </si>
  <si>
    <r>
      <t>京（2025）密不动产权第0003538</t>
    </r>
    <r>
      <rPr>
        <sz val="11"/>
        <color theme="1"/>
        <rFont val="宋体"/>
        <family val="3"/>
        <charset val="134"/>
        <scheme val="minor"/>
      </rPr>
      <t>号</t>
    </r>
    <phoneticPr fontId="135" type="noConversion"/>
  </si>
  <si>
    <t>密云区滨河路178号院3号楼3层2单元320</t>
    <phoneticPr fontId="135" type="noConversion"/>
  </si>
  <si>
    <t>2单元320</t>
    <phoneticPr fontId="135" type="noConversion"/>
  </si>
  <si>
    <r>
      <t>京（2025）密不动产权第0003508</t>
    </r>
    <r>
      <rPr>
        <sz val="11"/>
        <color theme="1"/>
        <rFont val="宋体"/>
        <family val="3"/>
        <charset val="134"/>
        <scheme val="minor"/>
      </rPr>
      <t>号</t>
    </r>
    <phoneticPr fontId="135" type="noConversion"/>
  </si>
  <si>
    <t>密云区滨河路178号院3号楼3层2单元321</t>
    <phoneticPr fontId="135" type="noConversion"/>
  </si>
  <si>
    <t>2单元321</t>
    <phoneticPr fontId="135" type="noConversion"/>
  </si>
  <si>
    <r>
      <t>京（2025）密不动产权第0003513</t>
    </r>
    <r>
      <rPr>
        <sz val="11"/>
        <color theme="1"/>
        <rFont val="宋体"/>
        <family val="3"/>
        <charset val="134"/>
        <scheme val="minor"/>
      </rPr>
      <t>号</t>
    </r>
    <phoneticPr fontId="135" type="noConversion"/>
  </si>
  <si>
    <t>密云区滨河路178号院3号楼3层2单元322</t>
    <phoneticPr fontId="135" type="noConversion"/>
  </si>
  <si>
    <t>2单元322</t>
    <phoneticPr fontId="135" type="noConversion"/>
  </si>
  <si>
    <r>
      <t>京（2025）密不动产权第0003521</t>
    </r>
    <r>
      <rPr>
        <sz val="11"/>
        <color theme="1"/>
        <rFont val="宋体"/>
        <family val="3"/>
        <charset val="134"/>
        <scheme val="minor"/>
      </rPr>
      <t>号</t>
    </r>
    <phoneticPr fontId="135" type="noConversion"/>
  </si>
  <si>
    <t>密云区滨河路178号院3号楼3层2单元323</t>
    <phoneticPr fontId="135" type="noConversion"/>
  </si>
  <si>
    <t>2单元323</t>
    <phoneticPr fontId="135" type="noConversion"/>
  </si>
  <si>
    <r>
      <t>京（2025）密不动产权第0003518</t>
    </r>
    <r>
      <rPr>
        <sz val="11"/>
        <color theme="1"/>
        <rFont val="宋体"/>
        <family val="3"/>
        <charset val="134"/>
        <scheme val="minor"/>
      </rPr>
      <t>号</t>
    </r>
    <phoneticPr fontId="135" type="noConversion"/>
  </si>
  <si>
    <t>密云区滨河路178号院3号楼3层2单元324</t>
    <phoneticPr fontId="135" type="noConversion"/>
  </si>
  <si>
    <t>2单元324</t>
    <phoneticPr fontId="135" type="noConversion"/>
  </si>
  <si>
    <r>
      <t>京（2025）密不动产权第0003523</t>
    </r>
    <r>
      <rPr>
        <sz val="11"/>
        <color theme="1"/>
        <rFont val="宋体"/>
        <family val="3"/>
        <charset val="134"/>
        <scheme val="minor"/>
      </rPr>
      <t>号</t>
    </r>
    <phoneticPr fontId="135" type="noConversion"/>
  </si>
  <si>
    <t>密云区滨河路178号院3号楼3层2单元325</t>
    <phoneticPr fontId="135" type="noConversion"/>
  </si>
  <si>
    <t>2单元325</t>
    <phoneticPr fontId="135" type="noConversion"/>
  </si>
  <si>
    <r>
      <t>京（2025）密不动产权第0004979</t>
    </r>
    <r>
      <rPr>
        <sz val="11"/>
        <color theme="1"/>
        <rFont val="宋体"/>
        <family val="3"/>
        <charset val="134"/>
        <scheme val="minor"/>
      </rPr>
      <t>号</t>
    </r>
    <phoneticPr fontId="135" type="noConversion"/>
  </si>
  <si>
    <t>密云区滨河路178号院3号楼3层2单元326</t>
    <phoneticPr fontId="135" type="noConversion"/>
  </si>
  <si>
    <t>2单元326</t>
    <phoneticPr fontId="135" type="noConversion"/>
  </si>
  <si>
    <r>
      <t>京（2025）密不动产权第0003710</t>
    </r>
    <r>
      <rPr>
        <sz val="11"/>
        <color theme="1"/>
        <rFont val="宋体"/>
        <family val="3"/>
        <charset val="134"/>
        <scheme val="minor"/>
      </rPr>
      <t>号</t>
    </r>
    <phoneticPr fontId="135" type="noConversion"/>
  </si>
  <si>
    <t>密云区滨河路178号院3号楼4层2单元401</t>
    <phoneticPr fontId="135" type="noConversion"/>
  </si>
  <si>
    <t>2单元401</t>
    <phoneticPr fontId="135" type="noConversion"/>
  </si>
  <si>
    <r>
      <t>京（2025）密不动产权第0003677</t>
    </r>
    <r>
      <rPr>
        <sz val="11"/>
        <color theme="1"/>
        <rFont val="宋体"/>
        <family val="3"/>
        <charset val="134"/>
        <scheme val="minor"/>
      </rPr>
      <t>号</t>
    </r>
    <phoneticPr fontId="135" type="noConversion"/>
  </si>
  <si>
    <t>密云区滨河路178号院3号楼4层2单元402</t>
    <phoneticPr fontId="135" type="noConversion"/>
  </si>
  <si>
    <t>2单元402</t>
    <phoneticPr fontId="135" type="noConversion"/>
  </si>
  <si>
    <t>密云区滨河路178号院3号楼4层2单元403</t>
    <phoneticPr fontId="135" type="noConversion"/>
  </si>
  <si>
    <r>
      <t>京（2025）密不动产权第0003687</t>
    </r>
    <r>
      <rPr>
        <sz val="11"/>
        <color theme="1"/>
        <rFont val="宋体"/>
        <family val="3"/>
        <charset val="134"/>
        <scheme val="minor"/>
      </rPr>
      <t>号</t>
    </r>
    <phoneticPr fontId="135" type="noConversion"/>
  </si>
  <si>
    <t>2单元403</t>
    <phoneticPr fontId="135" type="noConversion"/>
  </si>
  <si>
    <r>
      <t>京（2025）密不动产权第0003691</t>
    </r>
    <r>
      <rPr>
        <sz val="11"/>
        <color theme="1"/>
        <rFont val="宋体"/>
        <family val="3"/>
        <charset val="134"/>
        <scheme val="minor"/>
      </rPr>
      <t>号</t>
    </r>
    <phoneticPr fontId="135" type="noConversion"/>
  </si>
  <si>
    <t>密云区滨河路178号院3号楼4层2单元404</t>
    <phoneticPr fontId="135" type="noConversion"/>
  </si>
  <si>
    <t>2单元404</t>
    <phoneticPr fontId="135" type="noConversion"/>
  </si>
  <si>
    <r>
      <t>京（2025）密不动产权第0003708</t>
    </r>
    <r>
      <rPr>
        <sz val="11"/>
        <color theme="1"/>
        <rFont val="宋体"/>
        <family val="3"/>
        <charset val="134"/>
        <scheme val="minor"/>
      </rPr>
      <t>号</t>
    </r>
    <phoneticPr fontId="135" type="noConversion"/>
  </si>
  <si>
    <t>密云区滨河路178号院3号楼4层2单元405</t>
    <phoneticPr fontId="135" type="noConversion"/>
  </si>
  <si>
    <t>2单元405</t>
    <phoneticPr fontId="135" type="noConversion"/>
  </si>
  <si>
    <r>
      <t>京（2025）密不动产权第0003742</t>
    </r>
    <r>
      <rPr>
        <sz val="11"/>
        <color theme="1"/>
        <rFont val="宋体"/>
        <family val="3"/>
        <charset val="134"/>
        <scheme val="minor"/>
      </rPr>
      <t>号</t>
    </r>
    <phoneticPr fontId="135" type="noConversion"/>
  </si>
  <si>
    <t>密云区滨河路178号院3号楼4层2单元406</t>
    <phoneticPr fontId="135" type="noConversion"/>
  </si>
  <si>
    <t>2单元406</t>
    <phoneticPr fontId="135" type="noConversion"/>
  </si>
  <si>
    <r>
      <t>京（2025）密不动产权第0003739</t>
    </r>
    <r>
      <rPr>
        <sz val="11"/>
        <color theme="1"/>
        <rFont val="宋体"/>
        <family val="3"/>
        <charset val="134"/>
        <scheme val="minor"/>
      </rPr>
      <t>号</t>
    </r>
    <phoneticPr fontId="135" type="noConversion"/>
  </si>
  <si>
    <t>密云区滨河路178号院3号楼4层2单元407</t>
    <phoneticPr fontId="135" type="noConversion"/>
  </si>
  <si>
    <t>2单元407</t>
    <phoneticPr fontId="135" type="noConversion"/>
  </si>
  <si>
    <r>
      <t>京（2025）密不动产权第0004963</t>
    </r>
    <r>
      <rPr>
        <sz val="11"/>
        <color theme="1"/>
        <rFont val="宋体"/>
        <family val="3"/>
        <charset val="134"/>
        <scheme val="minor"/>
      </rPr>
      <t>号</t>
    </r>
    <phoneticPr fontId="135" type="noConversion"/>
  </si>
  <si>
    <t>密云区滨河路178号院3号楼4层2单元408</t>
    <phoneticPr fontId="135" type="noConversion"/>
  </si>
  <si>
    <t>2单元408</t>
    <phoneticPr fontId="135" type="noConversion"/>
  </si>
  <si>
    <r>
      <t>京（2025）密不动产权第0003745</t>
    </r>
    <r>
      <rPr>
        <sz val="11"/>
        <color theme="1"/>
        <rFont val="宋体"/>
        <family val="3"/>
        <charset val="134"/>
        <scheme val="minor"/>
      </rPr>
      <t>号</t>
    </r>
    <phoneticPr fontId="135" type="noConversion"/>
  </si>
  <si>
    <t>密云区滨河路178号院3号楼4层2单元409</t>
    <phoneticPr fontId="135" type="noConversion"/>
  </si>
  <si>
    <t>2单元409</t>
    <phoneticPr fontId="135" type="noConversion"/>
  </si>
  <si>
    <r>
      <t>京（2025）密不动产权第0003775</t>
    </r>
    <r>
      <rPr>
        <sz val="11"/>
        <color theme="1"/>
        <rFont val="宋体"/>
        <family val="3"/>
        <charset val="134"/>
        <scheme val="minor"/>
      </rPr>
      <t>号</t>
    </r>
    <phoneticPr fontId="135" type="noConversion"/>
  </si>
  <si>
    <t>密云区滨河路178号院3号楼4层2单元410</t>
    <phoneticPr fontId="135" type="noConversion"/>
  </si>
  <si>
    <t>2单元410</t>
    <phoneticPr fontId="135" type="noConversion"/>
  </si>
  <si>
    <r>
      <t>京（2025）密不动产权第0003772</t>
    </r>
    <r>
      <rPr>
        <sz val="11"/>
        <color theme="1"/>
        <rFont val="宋体"/>
        <family val="3"/>
        <charset val="134"/>
        <scheme val="minor"/>
      </rPr>
      <t>号</t>
    </r>
    <phoneticPr fontId="135" type="noConversion"/>
  </si>
  <si>
    <t>密云区滨河路178号院3号楼4层2单元411</t>
    <phoneticPr fontId="135" type="noConversion"/>
  </si>
  <si>
    <t>2单元411</t>
    <phoneticPr fontId="135" type="noConversion"/>
  </si>
  <si>
    <r>
      <t>京（2025）密不动产权第0003752</t>
    </r>
    <r>
      <rPr>
        <sz val="11"/>
        <color theme="1"/>
        <rFont val="宋体"/>
        <family val="3"/>
        <charset val="134"/>
        <scheme val="minor"/>
      </rPr>
      <t>号</t>
    </r>
    <phoneticPr fontId="135" type="noConversion"/>
  </si>
  <si>
    <t>密云区滨河路178号院3号楼4层2单元412</t>
    <phoneticPr fontId="135" type="noConversion"/>
  </si>
  <si>
    <t>2单元412</t>
    <phoneticPr fontId="135" type="noConversion"/>
  </si>
  <si>
    <r>
      <t>京（2025）密不动产权第0003736</t>
    </r>
    <r>
      <rPr>
        <sz val="11"/>
        <color theme="1"/>
        <rFont val="宋体"/>
        <family val="3"/>
        <charset val="134"/>
        <scheme val="minor"/>
      </rPr>
      <t>号</t>
    </r>
    <phoneticPr fontId="135" type="noConversion"/>
  </si>
  <si>
    <t>密云区滨河路178号院3号楼4层2单元413</t>
    <phoneticPr fontId="135" type="noConversion"/>
  </si>
  <si>
    <t>2单元413</t>
    <phoneticPr fontId="135" type="noConversion"/>
  </si>
  <si>
    <r>
      <t>京（2025）密不动产权第0003753</t>
    </r>
    <r>
      <rPr>
        <sz val="11"/>
        <color theme="1"/>
        <rFont val="宋体"/>
        <family val="3"/>
        <charset val="134"/>
        <scheme val="minor"/>
      </rPr>
      <t>号</t>
    </r>
    <phoneticPr fontId="135" type="noConversion"/>
  </si>
  <si>
    <t>密云区滨河路178号院3号楼4层2单元414</t>
    <phoneticPr fontId="135" type="noConversion"/>
  </si>
  <si>
    <t>2单元414</t>
    <phoneticPr fontId="135" type="noConversion"/>
  </si>
  <si>
    <r>
      <t>京（2025）密不动产权第0003751</t>
    </r>
    <r>
      <rPr>
        <sz val="11"/>
        <color theme="1"/>
        <rFont val="宋体"/>
        <family val="3"/>
        <charset val="134"/>
        <scheme val="minor"/>
      </rPr>
      <t>号</t>
    </r>
    <phoneticPr fontId="135" type="noConversion"/>
  </si>
  <si>
    <t>密云区滨河路178号院3号楼4层2单元415</t>
    <phoneticPr fontId="135" type="noConversion"/>
  </si>
  <si>
    <t>2单元415</t>
    <phoneticPr fontId="135" type="noConversion"/>
  </si>
  <si>
    <r>
      <t>京（2025）密不动产权第0003743</t>
    </r>
    <r>
      <rPr>
        <sz val="11"/>
        <color theme="1"/>
        <rFont val="宋体"/>
        <family val="3"/>
        <charset val="134"/>
        <scheme val="minor"/>
      </rPr>
      <t>号</t>
    </r>
    <phoneticPr fontId="135" type="noConversion"/>
  </si>
  <si>
    <t>密云区滨河路178号院3号楼4层2单元416</t>
    <phoneticPr fontId="135" type="noConversion"/>
  </si>
  <si>
    <t>2单元416</t>
    <phoneticPr fontId="135" type="noConversion"/>
  </si>
  <si>
    <r>
      <t>京（2025）密不动产权第0003746</t>
    </r>
    <r>
      <rPr>
        <sz val="11"/>
        <color theme="1"/>
        <rFont val="宋体"/>
        <family val="3"/>
        <charset val="134"/>
        <scheme val="minor"/>
      </rPr>
      <t>号</t>
    </r>
    <phoneticPr fontId="135" type="noConversion"/>
  </si>
  <si>
    <t>密云区滨河路178号院3号楼4层2单元417</t>
    <phoneticPr fontId="135" type="noConversion"/>
  </si>
  <si>
    <t>2单元417</t>
    <phoneticPr fontId="135" type="noConversion"/>
  </si>
  <si>
    <r>
      <t>京（2025）密不动产权第0003747</t>
    </r>
    <r>
      <rPr>
        <sz val="11"/>
        <color theme="1"/>
        <rFont val="宋体"/>
        <family val="3"/>
        <charset val="134"/>
        <scheme val="minor"/>
      </rPr>
      <t>号</t>
    </r>
    <phoneticPr fontId="135" type="noConversion"/>
  </si>
  <si>
    <t>密云区滨河路178号院3号楼4层2单元418</t>
    <phoneticPr fontId="135" type="noConversion"/>
  </si>
  <si>
    <t>2单元418</t>
    <phoneticPr fontId="135" type="noConversion"/>
  </si>
  <si>
    <r>
      <t>京（2025）密不动产权第0003735</t>
    </r>
    <r>
      <rPr>
        <sz val="11"/>
        <color theme="1"/>
        <rFont val="宋体"/>
        <family val="3"/>
        <charset val="134"/>
        <scheme val="minor"/>
      </rPr>
      <t>号</t>
    </r>
    <phoneticPr fontId="135" type="noConversion"/>
  </si>
  <si>
    <t>密云区滨河路178号院3号楼4层2单元419</t>
    <phoneticPr fontId="135" type="noConversion"/>
  </si>
  <si>
    <t>2单元419</t>
    <phoneticPr fontId="135" type="noConversion"/>
  </si>
  <si>
    <r>
      <t>京（2025）密不动产权第0003737</t>
    </r>
    <r>
      <rPr>
        <sz val="11"/>
        <color theme="1"/>
        <rFont val="宋体"/>
        <family val="3"/>
        <charset val="134"/>
        <scheme val="minor"/>
      </rPr>
      <t>号</t>
    </r>
    <phoneticPr fontId="135" type="noConversion"/>
  </si>
  <si>
    <t>密云区滨河路178号院3号楼4层2单元420</t>
    <phoneticPr fontId="135" type="noConversion"/>
  </si>
  <si>
    <t>2单元420</t>
    <phoneticPr fontId="135" type="noConversion"/>
  </si>
  <si>
    <r>
      <t>京（2025）密不动产权第0003769</t>
    </r>
    <r>
      <rPr>
        <sz val="11"/>
        <color theme="1"/>
        <rFont val="宋体"/>
        <family val="3"/>
        <charset val="134"/>
        <scheme val="minor"/>
      </rPr>
      <t>号</t>
    </r>
    <phoneticPr fontId="135" type="noConversion"/>
  </si>
  <si>
    <t>密云区滨河路178号院3号楼4层2单元421</t>
    <phoneticPr fontId="135" type="noConversion"/>
  </si>
  <si>
    <t>2单元421</t>
    <phoneticPr fontId="135" type="noConversion"/>
  </si>
  <si>
    <r>
      <t>京（2025）密不动产权第0003773</t>
    </r>
    <r>
      <rPr>
        <sz val="11"/>
        <color theme="1"/>
        <rFont val="宋体"/>
        <family val="3"/>
        <charset val="134"/>
        <scheme val="minor"/>
      </rPr>
      <t>号</t>
    </r>
    <phoneticPr fontId="135" type="noConversion"/>
  </si>
  <si>
    <t>密云区滨河路178号院3号楼4层2单元422</t>
    <phoneticPr fontId="135" type="noConversion"/>
  </si>
  <si>
    <t>2单元422</t>
    <phoneticPr fontId="135" type="noConversion"/>
  </si>
  <si>
    <r>
      <t>京（2025）密不动产权第0003771</t>
    </r>
    <r>
      <rPr>
        <sz val="11"/>
        <color theme="1"/>
        <rFont val="宋体"/>
        <family val="3"/>
        <charset val="134"/>
        <scheme val="minor"/>
      </rPr>
      <t>号</t>
    </r>
    <phoneticPr fontId="135" type="noConversion"/>
  </si>
  <si>
    <t>密云区滨河路178号院3号楼4层2单元423</t>
    <phoneticPr fontId="135" type="noConversion"/>
  </si>
  <si>
    <t>2单元423</t>
    <phoneticPr fontId="135" type="noConversion"/>
  </si>
  <si>
    <r>
      <t>京（2025）密不动产权第0003768</t>
    </r>
    <r>
      <rPr>
        <sz val="11"/>
        <color theme="1"/>
        <rFont val="宋体"/>
        <family val="3"/>
        <charset val="134"/>
        <scheme val="minor"/>
      </rPr>
      <t>号</t>
    </r>
    <phoneticPr fontId="135" type="noConversion"/>
  </si>
  <si>
    <t>密云区滨河路178号院3号楼4层2单元424</t>
    <phoneticPr fontId="135" type="noConversion"/>
  </si>
  <si>
    <t>2单元424</t>
    <phoneticPr fontId="135" type="noConversion"/>
  </si>
  <si>
    <r>
      <t>京（2025）密不动产权第0004202</t>
    </r>
    <r>
      <rPr>
        <sz val="11"/>
        <color theme="1"/>
        <rFont val="宋体"/>
        <family val="3"/>
        <charset val="134"/>
        <scheme val="minor"/>
      </rPr>
      <t>号</t>
    </r>
    <phoneticPr fontId="135" type="noConversion"/>
  </si>
  <si>
    <t>密云区滨河路178号院3号楼4层2单元425</t>
    <phoneticPr fontId="135" type="noConversion"/>
  </si>
  <si>
    <t>2单元425</t>
    <phoneticPr fontId="135" type="noConversion"/>
  </si>
  <si>
    <r>
      <t>京（2025）密不动产权第0004968</t>
    </r>
    <r>
      <rPr>
        <sz val="11"/>
        <color theme="1"/>
        <rFont val="宋体"/>
        <family val="3"/>
        <charset val="134"/>
        <scheme val="minor"/>
      </rPr>
      <t>号</t>
    </r>
    <phoneticPr fontId="135" type="noConversion"/>
  </si>
  <si>
    <t>密云区滨河路178号院3号楼4层2单元426</t>
    <phoneticPr fontId="135" type="noConversion"/>
  </si>
  <si>
    <t>2单元426</t>
    <phoneticPr fontId="135" type="noConversion"/>
  </si>
  <si>
    <r>
      <t>京（2025）密不动产权第0004090</t>
    </r>
    <r>
      <rPr>
        <sz val="11"/>
        <color theme="1"/>
        <rFont val="宋体"/>
        <family val="3"/>
        <charset val="134"/>
        <scheme val="minor"/>
      </rPr>
      <t>号</t>
    </r>
    <phoneticPr fontId="135" type="noConversion"/>
  </si>
  <si>
    <t>密云区滨河路178号院3号楼5层2单元501</t>
    <phoneticPr fontId="135" type="noConversion"/>
  </si>
  <si>
    <t>2单元501</t>
    <phoneticPr fontId="135" type="noConversion"/>
  </si>
  <si>
    <r>
      <t>京（2025）密不动产权第0004088</t>
    </r>
    <r>
      <rPr>
        <sz val="11"/>
        <color theme="1"/>
        <rFont val="宋体"/>
        <family val="3"/>
        <charset val="134"/>
        <scheme val="minor"/>
      </rPr>
      <t>号</t>
    </r>
    <phoneticPr fontId="135" type="noConversion"/>
  </si>
  <si>
    <t>密云区滨河路178号院3号楼5层2单元502</t>
    <phoneticPr fontId="135" type="noConversion"/>
  </si>
  <si>
    <t>2单元502</t>
    <phoneticPr fontId="135" type="noConversion"/>
  </si>
  <si>
    <r>
      <t>京（2025）密不动产权第0004091</t>
    </r>
    <r>
      <rPr>
        <sz val="11"/>
        <color theme="1"/>
        <rFont val="宋体"/>
        <family val="3"/>
        <charset val="134"/>
        <scheme val="minor"/>
      </rPr>
      <t>号</t>
    </r>
    <phoneticPr fontId="135" type="noConversion"/>
  </si>
  <si>
    <t>密云区滨河路178号院3号楼5层2单元503</t>
    <phoneticPr fontId="135" type="noConversion"/>
  </si>
  <si>
    <t>2单元503</t>
    <phoneticPr fontId="135" type="noConversion"/>
  </si>
  <si>
    <r>
      <t>京（2025）密不动产权第0004095</t>
    </r>
    <r>
      <rPr>
        <sz val="11"/>
        <color theme="1"/>
        <rFont val="宋体"/>
        <family val="3"/>
        <charset val="134"/>
        <scheme val="minor"/>
      </rPr>
      <t>号</t>
    </r>
    <phoneticPr fontId="135" type="noConversion"/>
  </si>
  <si>
    <t>密云区滨河路178号院3号楼5层2单元504</t>
    <phoneticPr fontId="135" type="noConversion"/>
  </si>
  <si>
    <t>2单元504</t>
    <phoneticPr fontId="135" type="noConversion"/>
  </si>
  <si>
    <r>
      <t>京（2025）密不动产权第0004094</t>
    </r>
    <r>
      <rPr>
        <sz val="11"/>
        <color theme="1"/>
        <rFont val="宋体"/>
        <family val="3"/>
        <charset val="134"/>
        <scheme val="minor"/>
      </rPr>
      <t>号</t>
    </r>
    <phoneticPr fontId="135" type="noConversion"/>
  </si>
  <si>
    <t>密云区滨河路178号院3号楼5层2单元505</t>
    <phoneticPr fontId="135" type="noConversion"/>
  </si>
  <si>
    <t>2单元505</t>
    <phoneticPr fontId="135" type="noConversion"/>
  </si>
  <si>
    <r>
      <t>京（2025）密不动产权第0004093</t>
    </r>
    <r>
      <rPr>
        <sz val="11"/>
        <color theme="1"/>
        <rFont val="宋体"/>
        <family val="3"/>
        <charset val="134"/>
        <scheme val="minor"/>
      </rPr>
      <t>号</t>
    </r>
    <phoneticPr fontId="135" type="noConversion"/>
  </si>
  <si>
    <t>密云区滨河路178号院3号楼5层2单元506</t>
    <phoneticPr fontId="135" type="noConversion"/>
  </si>
  <si>
    <t>2单元506</t>
    <phoneticPr fontId="135" type="noConversion"/>
  </si>
  <si>
    <t>密云区滨河路178号院3号楼5层2单元507</t>
    <phoneticPr fontId="135" type="noConversion"/>
  </si>
  <si>
    <t>2单元507</t>
    <phoneticPr fontId="135" type="noConversion"/>
  </si>
  <si>
    <r>
      <t>京（2025）密不动产权第0004121</t>
    </r>
    <r>
      <rPr>
        <sz val="11"/>
        <color theme="1"/>
        <rFont val="宋体"/>
        <family val="3"/>
        <charset val="134"/>
        <scheme val="minor"/>
      </rPr>
      <t>号</t>
    </r>
    <phoneticPr fontId="135" type="noConversion"/>
  </si>
  <si>
    <r>
      <t>京（2025）密不动产权第0004120</t>
    </r>
    <r>
      <rPr>
        <sz val="11"/>
        <color theme="1"/>
        <rFont val="宋体"/>
        <family val="3"/>
        <charset val="134"/>
        <scheme val="minor"/>
      </rPr>
      <t>号</t>
    </r>
    <phoneticPr fontId="135" type="noConversion"/>
  </si>
  <si>
    <t>密云区滨河路178号院3号楼5层2单元508</t>
    <phoneticPr fontId="135" type="noConversion"/>
  </si>
  <si>
    <t>2单元508</t>
    <phoneticPr fontId="135" type="noConversion"/>
  </si>
  <si>
    <r>
      <t>京（2025）密不动产权第0004116</t>
    </r>
    <r>
      <rPr>
        <sz val="11"/>
        <color theme="1"/>
        <rFont val="宋体"/>
        <family val="3"/>
        <charset val="134"/>
        <scheme val="minor"/>
      </rPr>
      <t>号</t>
    </r>
    <phoneticPr fontId="135" type="noConversion"/>
  </si>
  <si>
    <t>密云区滨河路178号院3号楼5层2单元509</t>
    <phoneticPr fontId="135" type="noConversion"/>
  </si>
  <si>
    <t>2单元509</t>
    <phoneticPr fontId="135" type="noConversion"/>
  </si>
  <si>
    <r>
      <t>京（2025）密不动产权第0004085</t>
    </r>
    <r>
      <rPr>
        <sz val="11"/>
        <color theme="1"/>
        <rFont val="宋体"/>
        <family val="3"/>
        <charset val="134"/>
        <scheme val="minor"/>
      </rPr>
      <t>号</t>
    </r>
    <phoneticPr fontId="135" type="noConversion"/>
  </si>
  <si>
    <t>密云区滨河路178号院3号楼5层2单元510</t>
    <phoneticPr fontId="135" type="noConversion"/>
  </si>
  <si>
    <t>2单元510</t>
    <phoneticPr fontId="135" type="noConversion"/>
  </si>
  <si>
    <r>
      <t>京（2025）密不动产权第0004089</t>
    </r>
    <r>
      <rPr>
        <sz val="11"/>
        <color theme="1"/>
        <rFont val="宋体"/>
        <family val="3"/>
        <charset val="134"/>
        <scheme val="minor"/>
      </rPr>
      <t>号</t>
    </r>
    <phoneticPr fontId="135" type="noConversion"/>
  </si>
  <si>
    <t>密云区滨河路178号院3号楼5层2单元511</t>
    <phoneticPr fontId="135" type="noConversion"/>
  </si>
  <si>
    <t>2单元511</t>
    <phoneticPr fontId="135" type="noConversion"/>
  </si>
  <si>
    <r>
      <t>京（2025）密不动产权第0004097</t>
    </r>
    <r>
      <rPr>
        <sz val="11"/>
        <color theme="1"/>
        <rFont val="宋体"/>
        <family val="3"/>
        <charset val="134"/>
        <scheme val="minor"/>
      </rPr>
      <t>号</t>
    </r>
    <phoneticPr fontId="135" type="noConversion"/>
  </si>
  <si>
    <t>密云区滨河路178号院3号楼5层2单元512</t>
    <phoneticPr fontId="135" type="noConversion"/>
  </si>
  <si>
    <t>2单元512</t>
    <phoneticPr fontId="135" type="noConversion"/>
  </si>
  <si>
    <t>2单元513</t>
    <phoneticPr fontId="135" type="noConversion"/>
  </si>
  <si>
    <t>密云区滨河路178号院3号楼5层2单元513</t>
    <phoneticPr fontId="135" type="noConversion"/>
  </si>
  <si>
    <r>
      <t>京（2025）密不动产权第0004115</t>
    </r>
    <r>
      <rPr>
        <sz val="11"/>
        <color theme="1"/>
        <rFont val="宋体"/>
        <family val="3"/>
        <charset val="134"/>
        <scheme val="minor"/>
      </rPr>
      <t>号</t>
    </r>
    <phoneticPr fontId="135" type="noConversion"/>
  </si>
  <si>
    <r>
      <t>京（2025）密不动产权第0004117</t>
    </r>
    <r>
      <rPr>
        <sz val="11"/>
        <color theme="1"/>
        <rFont val="宋体"/>
        <family val="3"/>
        <charset val="134"/>
        <scheme val="minor"/>
      </rPr>
      <t>号</t>
    </r>
    <phoneticPr fontId="135" type="noConversion"/>
  </si>
  <si>
    <t>密云区滨河路178号院3号楼5层2单元514</t>
    <phoneticPr fontId="135" type="noConversion"/>
  </si>
  <si>
    <t>2单元514</t>
    <phoneticPr fontId="135" type="noConversion"/>
  </si>
  <si>
    <r>
      <t>京（2025）密不动产权第0004112</t>
    </r>
    <r>
      <rPr>
        <sz val="11"/>
        <color theme="1"/>
        <rFont val="宋体"/>
        <family val="3"/>
        <charset val="134"/>
        <scheme val="minor"/>
      </rPr>
      <t>号</t>
    </r>
    <phoneticPr fontId="135" type="noConversion"/>
  </si>
  <si>
    <t>密云区滨河路178号院3号楼5层2单元515</t>
    <phoneticPr fontId="135" type="noConversion"/>
  </si>
  <si>
    <t>2单元515</t>
    <phoneticPr fontId="135" type="noConversion"/>
  </si>
  <si>
    <r>
      <t>京（2025）密不动产权第0004102</t>
    </r>
    <r>
      <rPr>
        <sz val="11"/>
        <color theme="1"/>
        <rFont val="宋体"/>
        <family val="3"/>
        <charset val="134"/>
        <scheme val="minor"/>
      </rPr>
      <t>号</t>
    </r>
    <phoneticPr fontId="135" type="noConversion"/>
  </si>
  <si>
    <t>密云区滨河路178号院3号楼5层2单元516</t>
    <phoneticPr fontId="135" type="noConversion"/>
  </si>
  <si>
    <t>2单元516</t>
    <phoneticPr fontId="135" type="noConversion"/>
  </si>
  <si>
    <t>2单元517</t>
    <phoneticPr fontId="135" type="noConversion"/>
  </si>
  <si>
    <t>密云区滨河路178号院3号楼5层2单元517</t>
    <phoneticPr fontId="135" type="noConversion"/>
  </si>
  <si>
    <r>
      <t>京（2025）密不动产权第0004099</t>
    </r>
    <r>
      <rPr>
        <sz val="11"/>
        <color theme="1"/>
        <rFont val="宋体"/>
        <family val="3"/>
        <charset val="134"/>
        <scheme val="minor"/>
      </rPr>
      <t>号</t>
    </r>
    <phoneticPr fontId="135" type="noConversion"/>
  </si>
  <si>
    <t>密云区滨河路178号院3号楼5层2单元518</t>
    <phoneticPr fontId="135" type="noConversion"/>
  </si>
  <si>
    <t>2单元518</t>
    <phoneticPr fontId="135" type="noConversion"/>
  </si>
  <si>
    <t>京（2025）密不动产权第0004122号</t>
    <phoneticPr fontId="135" type="noConversion"/>
  </si>
  <si>
    <t>京（2025）密不动产权第0004140号</t>
    <phoneticPr fontId="135" type="noConversion"/>
  </si>
  <si>
    <t>密云区滨河路178号院3号楼5层2单元519</t>
    <phoneticPr fontId="135" type="noConversion"/>
  </si>
  <si>
    <t>2单元519</t>
    <phoneticPr fontId="135" type="noConversion"/>
  </si>
  <si>
    <t>京（2025）密不动产权第0004144号</t>
    <phoneticPr fontId="135" type="noConversion"/>
  </si>
  <si>
    <t>密云区滨河路178号院3号楼5层2单元520</t>
    <phoneticPr fontId="135" type="noConversion"/>
  </si>
  <si>
    <t>2单元520</t>
    <phoneticPr fontId="135" type="noConversion"/>
  </si>
  <si>
    <t>密云区滨河路178号院3号楼5层2单元521</t>
    <phoneticPr fontId="135" type="noConversion"/>
  </si>
  <si>
    <t>2单元521</t>
    <phoneticPr fontId="135" type="noConversion"/>
  </si>
  <si>
    <t>京（2025）密不动产权第0004148号</t>
    <phoneticPr fontId="135" type="noConversion"/>
  </si>
  <si>
    <t>京（2025）密不动产权第0004150号</t>
    <phoneticPr fontId="135" type="noConversion"/>
  </si>
  <si>
    <t>密云区滨河路178号院3号楼5层2单元522</t>
    <phoneticPr fontId="135" type="noConversion"/>
  </si>
  <si>
    <t>2单元522</t>
    <phoneticPr fontId="135" type="noConversion"/>
  </si>
  <si>
    <t>京（2025）密不动产权第0004154号</t>
    <phoneticPr fontId="135" type="noConversion"/>
  </si>
  <si>
    <t>密云区滨河路178号院3号楼5层2单元523</t>
    <phoneticPr fontId="135" type="noConversion"/>
  </si>
  <si>
    <t>2单元523</t>
    <phoneticPr fontId="135" type="noConversion"/>
  </si>
  <si>
    <t>京（2025）密不动产权第0004166号</t>
    <phoneticPr fontId="135" type="noConversion"/>
  </si>
  <si>
    <t>密云区滨河路178号院3号楼5层2单元524</t>
    <phoneticPr fontId="135" type="noConversion"/>
  </si>
  <si>
    <t>2单元524</t>
    <phoneticPr fontId="135" type="noConversion"/>
  </si>
  <si>
    <t>京（2025）密不动产权第0004163号</t>
    <phoneticPr fontId="135" type="noConversion"/>
  </si>
  <si>
    <t>密云区滨河路178号院3号楼5层2单元525</t>
    <phoneticPr fontId="135" type="noConversion"/>
  </si>
  <si>
    <t>2单元525</t>
    <phoneticPr fontId="135" type="noConversion"/>
  </si>
  <si>
    <t>京（2025）密不动产权第0004970号</t>
    <phoneticPr fontId="135" type="noConversion"/>
  </si>
  <si>
    <t>密云区滨河路178号院3号楼5层2单元526</t>
    <phoneticPr fontId="135" type="noConversion"/>
  </si>
  <si>
    <t>2单元526</t>
    <phoneticPr fontId="135" type="noConversion"/>
  </si>
  <si>
    <t>京（2025）密不动产权第0004334号</t>
    <phoneticPr fontId="135" type="noConversion"/>
  </si>
  <si>
    <t>密云区滨河路178号院3号楼6层2单元601</t>
    <phoneticPr fontId="135" type="noConversion"/>
  </si>
  <si>
    <t>2单元601</t>
    <phoneticPr fontId="135" type="noConversion"/>
  </si>
  <si>
    <t>密云区滨河路178号院3号楼6层2单元602</t>
    <phoneticPr fontId="135" type="noConversion"/>
  </si>
  <si>
    <t>2单元602</t>
    <phoneticPr fontId="135" type="noConversion"/>
  </si>
  <si>
    <t>京（2025）密不动产权第0004336号</t>
    <phoneticPr fontId="135" type="noConversion"/>
  </si>
  <si>
    <t>京（2025）密不动产权第0004337号</t>
    <phoneticPr fontId="135" type="noConversion"/>
  </si>
  <si>
    <t>密云区滨河路178号院3号楼6层2单元603</t>
    <phoneticPr fontId="135" type="noConversion"/>
  </si>
  <si>
    <t>2单元603</t>
    <phoneticPr fontId="135" type="noConversion"/>
  </si>
  <si>
    <t>密云区滨河路178号院3号楼6层2单元604</t>
    <phoneticPr fontId="135" type="noConversion"/>
  </si>
  <si>
    <t>2单元604</t>
    <phoneticPr fontId="135" type="noConversion"/>
  </si>
  <si>
    <t>京（2025）密不动产权第0004332号</t>
    <phoneticPr fontId="135" type="noConversion"/>
  </si>
  <si>
    <t>密云区滨河路178号院3号楼6层2单元605</t>
    <phoneticPr fontId="135" type="noConversion"/>
  </si>
  <si>
    <t>2单元605</t>
    <phoneticPr fontId="135" type="noConversion"/>
  </si>
  <si>
    <t>京（2025）密不动产权第0004338号</t>
    <phoneticPr fontId="135" type="noConversion"/>
  </si>
  <si>
    <t>密云区滨河路178号院3号楼6层2单元606</t>
    <phoneticPr fontId="135" type="noConversion"/>
  </si>
  <si>
    <t>2单元606</t>
    <phoneticPr fontId="135" type="noConversion"/>
  </si>
  <si>
    <t>京（2025）密不动产权第0004350号</t>
    <phoneticPr fontId="135" type="noConversion"/>
  </si>
  <si>
    <t>密云区滨河路178号院3号楼6层2单元607</t>
    <phoneticPr fontId="135" type="noConversion"/>
  </si>
  <si>
    <t>2单元607</t>
    <phoneticPr fontId="135" type="noConversion"/>
  </si>
  <si>
    <t>京（2025）密不动产权第0004346号</t>
    <phoneticPr fontId="135" type="noConversion"/>
  </si>
  <si>
    <t>密云区滨河路178号院3号楼6层2单元608</t>
    <phoneticPr fontId="135" type="noConversion"/>
  </si>
  <si>
    <t>2单元608</t>
    <phoneticPr fontId="135" type="noConversion"/>
  </si>
  <si>
    <t>京（2025）密不动产权第0004335号</t>
    <phoneticPr fontId="135" type="noConversion"/>
  </si>
  <si>
    <t>密云区滨河路178号院3号楼6层2单元609</t>
    <phoneticPr fontId="135" type="noConversion"/>
  </si>
  <si>
    <t>2单元609</t>
    <phoneticPr fontId="135" type="noConversion"/>
  </si>
  <si>
    <t>京（2025）密不动产权第0004415号</t>
    <phoneticPr fontId="135" type="noConversion"/>
  </si>
  <si>
    <t>密云区滨河路178号院3号楼6层2单元610</t>
    <phoneticPr fontId="135" type="noConversion"/>
  </si>
  <si>
    <t>2单元610</t>
    <phoneticPr fontId="135" type="noConversion"/>
  </si>
  <si>
    <t>京（2025）密不动产权第0004414号</t>
    <phoneticPr fontId="135" type="noConversion"/>
  </si>
  <si>
    <t>密云区滨河路178号院3号楼6层2单元611</t>
    <phoneticPr fontId="135" type="noConversion"/>
  </si>
  <si>
    <t>2单元611</t>
    <phoneticPr fontId="135" type="noConversion"/>
  </si>
  <si>
    <t>密云区滨河路178号院3号楼6层2单元612</t>
    <phoneticPr fontId="135" type="noConversion"/>
  </si>
  <si>
    <t>2单元612</t>
    <phoneticPr fontId="135" type="noConversion"/>
  </si>
  <si>
    <t>京（2025）密不动产权第0004441号</t>
    <phoneticPr fontId="135" type="noConversion"/>
  </si>
  <si>
    <t>京（2025）密不动产权第0004435号</t>
    <phoneticPr fontId="135" type="noConversion"/>
  </si>
  <si>
    <t>密云区滨河路178号院3号楼6层2单元613</t>
    <phoneticPr fontId="135" type="noConversion"/>
  </si>
  <si>
    <t>2单元613</t>
    <phoneticPr fontId="135" type="noConversion"/>
  </si>
  <si>
    <t>2单元614</t>
    <phoneticPr fontId="135" type="noConversion"/>
  </si>
  <si>
    <t>密云区滨河路178号院3号楼6层2单元614</t>
    <phoneticPr fontId="135" type="noConversion"/>
  </si>
  <si>
    <t>京（2025）密不动产权第0004426号</t>
    <phoneticPr fontId="135" type="noConversion"/>
  </si>
  <si>
    <t>京（2025）密不动产权第0004425号</t>
    <phoneticPr fontId="135" type="noConversion"/>
  </si>
  <si>
    <t>密云区滨河路178号院3号楼6层2单元615</t>
    <phoneticPr fontId="135" type="noConversion"/>
  </si>
  <si>
    <t>2单元615</t>
    <phoneticPr fontId="135" type="noConversion"/>
  </si>
  <si>
    <t>京（2025）密不动产权第0004442号</t>
    <phoneticPr fontId="135" type="noConversion"/>
  </si>
  <si>
    <t>密云区滨河路178号院3号楼6层2单元616</t>
    <phoneticPr fontId="135" type="noConversion"/>
  </si>
  <si>
    <t>2单元616</t>
    <phoneticPr fontId="135" type="noConversion"/>
  </si>
  <si>
    <t>京（2025）密不动产权第0004420号</t>
    <phoneticPr fontId="135" type="noConversion"/>
  </si>
  <si>
    <t>密云区滨河路178号院3号楼6层2单元617</t>
    <phoneticPr fontId="135" type="noConversion"/>
  </si>
  <si>
    <t>2单元617</t>
    <phoneticPr fontId="135" type="noConversion"/>
  </si>
  <si>
    <t>京（2025）密不动产权第0004424号</t>
    <phoneticPr fontId="135" type="noConversion"/>
  </si>
  <si>
    <t>密云区滨河路178号院3号楼6层2单元618</t>
    <phoneticPr fontId="135" type="noConversion"/>
  </si>
  <si>
    <t>2单元618</t>
    <phoneticPr fontId="135" type="noConversion"/>
  </si>
  <si>
    <t>京（2025）密不动产权第0004423号</t>
    <phoneticPr fontId="135" type="noConversion"/>
  </si>
  <si>
    <t>密云区滨河路178号院3号楼6层2单元619</t>
    <phoneticPr fontId="135" type="noConversion"/>
  </si>
  <si>
    <t>2单元619</t>
    <phoneticPr fontId="135" type="noConversion"/>
  </si>
  <si>
    <t>密云区滨河路178号院3号楼6层2单元620</t>
    <phoneticPr fontId="135" type="noConversion"/>
  </si>
  <si>
    <t>2单元620</t>
    <phoneticPr fontId="135" type="noConversion"/>
  </si>
  <si>
    <t>京（2025）密不动产权第0004432号</t>
    <phoneticPr fontId="135" type="noConversion"/>
  </si>
  <si>
    <t>京（2025）密不动产权第0004429号</t>
    <phoneticPr fontId="135" type="noConversion"/>
  </si>
  <si>
    <t>密云区滨河路178号院3号楼6层2单元621</t>
    <phoneticPr fontId="135" type="noConversion"/>
  </si>
  <si>
    <t>2单元621</t>
    <phoneticPr fontId="135" type="noConversion"/>
  </si>
  <si>
    <t>京（2025）密不动产权第0004427号</t>
    <phoneticPr fontId="135" type="noConversion"/>
  </si>
  <si>
    <t>密云区滨河路178号院3号楼6层2单元622</t>
    <phoneticPr fontId="135" type="noConversion"/>
  </si>
  <si>
    <t>2单元622</t>
    <phoneticPr fontId="135" type="noConversion"/>
  </si>
  <si>
    <t>密云区滨河路178号院3号楼6层2单元623</t>
    <phoneticPr fontId="135" type="noConversion"/>
  </si>
  <si>
    <t>2单元623</t>
    <phoneticPr fontId="135" type="noConversion"/>
  </si>
  <si>
    <t>京（2025）密不动产权第0004433号</t>
    <phoneticPr fontId="135" type="noConversion"/>
  </si>
  <si>
    <t>京（2025）密不动产权第0004434号</t>
    <phoneticPr fontId="135" type="noConversion"/>
  </si>
  <si>
    <t>密云区滨河路178号院3号楼6层2单元624</t>
    <phoneticPr fontId="135" type="noConversion"/>
  </si>
  <si>
    <t>2单元624</t>
    <phoneticPr fontId="135" type="noConversion"/>
  </si>
  <si>
    <t>京（2025）密不动产权第0004438号</t>
    <phoneticPr fontId="135" type="noConversion"/>
  </si>
  <si>
    <t>密云区滨河路178号院3号楼6层2单元625</t>
    <phoneticPr fontId="135" type="noConversion"/>
  </si>
  <si>
    <t>2单元625</t>
    <phoneticPr fontId="135" type="noConversion"/>
  </si>
  <si>
    <t>京（2025）密不动产权第0004960号</t>
    <phoneticPr fontId="135" type="noConversion"/>
  </si>
  <si>
    <t>密云区滨河路178号院3号楼6层2单元626</t>
    <phoneticPr fontId="135" type="noConversion"/>
  </si>
  <si>
    <t>2单元626</t>
    <phoneticPr fontId="135" type="noConversion"/>
  </si>
  <si>
    <t>京（2025）密不动产权第0004471号</t>
    <phoneticPr fontId="135" type="noConversion"/>
  </si>
  <si>
    <t>密云区滨河路178号院3号楼7层2单元701</t>
    <phoneticPr fontId="135" type="noConversion"/>
  </si>
  <si>
    <t>2单元701</t>
    <phoneticPr fontId="135" type="noConversion"/>
  </si>
  <si>
    <t>京（2025）密不动产权第0004470号</t>
    <phoneticPr fontId="135" type="noConversion"/>
  </si>
  <si>
    <t>密云区滨河路178号院3号楼7层2单元702</t>
    <phoneticPr fontId="135" type="noConversion"/>
  </si>
  <si>
    <t>2单元702</t>
    <phoneticPr fontId="135" type="noConversion"/>
  </si>
  <si>
    <t>2单元703</t>
    <phoneticPr fontId="135" type="noConversion"/>
  </si>
  <si>
    <t>密云区滨河路178号院3号楼7层2单元703</t>
    <phoneticPr fontId="135" type="noConversion"/>
  </si>
  <si>
    <t>京（2025）密不动产权第0004486号</t>
    <phoneticPr fontId="135" type="noConversion"/>
  </si>
  <si>
    <t>2单元704</t>
    <phoneticPr fontId="135" type="noConversion"/>
  </si>
  <si>
    <t>密云区滨河路178号院3号楼7层2单元704</t>
    <phoneticPr fontId="135" type="noConversion"/>
  </si>
  <si>
    <t>京（2025）密不动产权第0004489号</t>
    <phoneticPr fontId="135" type="noConversion"/>
  </si>
  <si>
    <t>京（2025）密不动产权第0004483号</t>
    <phoneticPr fontId="135" type="noConversion"/>
  </si>
  <si>
    <t>密云区滨河路178号院3号楼7层2单元705</t>
    <phoneticPr fontId="135" type="noConversion"/>
  </si>
  <si>
    <t>2单元705</t>
    <phoneticPr fontId="135" type="noConversion"/>
  </si>
  <si>
    <t>密云区滨河路178号院3号楼7层2单元706</t>
    <phoneticPr fontId="135" type="noConversion"/>
  </si>
  <si>
    <t>2单元706</t>
    <phoneticPr fontId="135" type="noConversion"/>
  </si>
  <si>
    <t>京（2025）密不动产权第0004481号</t>
    <phoneticPr fontId="135" type="noConversion"/>
  </si>
  <si>
    <t>密云区滨河路178号院3号楼7层2单元707</t>
    <phoneticPr fontId="135" type="noConversion"/>
  </si>
  <si>
    <t>2单元707</t>
    <phoneticPr fontId="135" type="noConversion"/>
  </si>
  <si>
    <t>密云区滨河路178号院3号楼7层2单元708</t>
    <phoneticPr fontId="135" type="noConversion"/>
  </si>
  <si>
    <t>2单元708</t>
    <phoneticPr fontId="135" type="noConversion"/>
  </si>
  <si>
    <t>密云区滨河路178号院3号楼7层2单元709</t>
    <phoneticPr fontId="135" type="noConversion"/>
  </si>
  <si>
    <t>2单元709</t>
    <phoneticPr fontId="135" type="noConversion"/>
  </si>
  <si>
    <t>2单元710</t>
    <phoneticPr fontId="135" type="noConversion"/>
  </si>
  <si>
    <t>密云区滨河路178号院3号楼7层2单元710</t>
    <phoneticPr fontId="135" type="noConversion"/>
  </si>
  <si>
    <t>京（2025）密不动产权第0004485号</t>
    <phoneticPr fontId="135" type="noConversion"/>
  </si>
  <si>
    <t>京（2025）密不动产权第0004479号</t>
    <phoneticPr fontId="135" type="noConversion"/>
  </si>
  <si>
    <t>京（2025）密不动产权第0004476号</t>
    <phoneticPr fontId="135" type="noConversion"/>
  </si>
  <si>
    <t>京（2025）密不动产权第0004490号</t>
    <phoneticPr fontId="135" type="noConversion"/>
  </si>
  <si>
    <t>密云区滨河路178号院3号楼7层2单元711</t>
    <phoneticPr fontId="135" type="noConversion"/>
  </si>
  <si>
    <t>2单元711</t>
    <phoneticPr fontId="135" type="noConversion"/>
  </si>
  <si>
    <t>京（2025）密不动产权第0004488号</t>
    <phoneticPr fontId="135" type="noConversion"/>
  </si>
  <si>
    <t>京（2025）密不动产权第0004491号</t>
    <phoneticPr fontId="135" type="noConversion"/>
  </si>
  <si>
    <t>密云区滨河路178号院3号楼7层2单元712</t>
    <phoneticPr fontId="135" type="noConversion"/>
  </si>
  <si>
    <t>2单元712</t>
    <phoneticPr fontId="135" type="noConversion"/>
  </si>
  <si>
    <t>京（2025）密不动产权第0004474号</t>
    <phoneticPr fontId="135" type="noConversion"/>
  </si>
  <si>
    <t>密云区滨河路178号院3号楼7层2单元713</t>
    <phoneticPr fontId="135" type="noConversion"/>
  </si>
  <si>
    <t>2单元713</t>
    <phoneticPr fontId="135" type="noConversion"/>
  </si>
  <si>
    <t>密云区滨河路178号院3号楼7层2单元714</t>
    <phoneticPr fontId="135" type="noConversion"/>
  </si>
  <si>
    <t>2单元714</t>
    <phoneticPr fontId="135" type="noConversion"/>
  </si>
  <si>
    <t>京（2025）密不动产权第0004478号</t>
    <phoneticPr fontId="135" type="noConversion"/>
  </si>
  <si>
    <t>京（2025）密不动产权第0004496号</t>
    <phoneticPr fontId="135" type="noConversion"/>
  </si>
  <si>
    <t>密云区滨河路178号院3号楼7层2单元715</t>
    <phoneticPr fontId="135" type="noConversion"/>
  </si>
  <si>
    <t>2单元715</t>
    <phoneticPr fontId="135" type="noConversion"/>
  </si>
  <si>
    <t>京（2025）密不动产权第0004484号</t>
    <phoneticPr fontId="135" type="noConversion"/>
  </si>
  <si>
    <t>密云区滨河路178号院3号楼7层2单元716</t>
    <phoneticPr fontId="135" type="noConversion"/>
  </si>
  <si>
    <t>2单元716</t>
    <phoneticPr fontId="135" type="noConversion"/>
  </si>
  <si>
    <t>京（2025）密不动产权第0004499号</t>
    <phoneticPr fontId="135" type="noConversion"/>
  </si>
  <si>
    <t>密云区滨河路178号院3号楼7层2单元717</t>
    <phoneticPr fontId="135" type="noConversion"/>
  </si>
  <si>
    <t>2单元717</t>
    <phoneticPr fontId="135" type="noConversion"/>
  </si>
  <si>
    <t>京（2025）密不动产权第0004492号</t>
    <phoneticPr fontId="135" type="noConversion"/>
  </si>
  <si>
    <t>密云区滨河路178号院3号楼7层2单元718</t>
    <phoneticPr fontId="135" type="noConversion"/>
  </si>
  <si>
    <t>2单元718</t>
    <phoneticPr fontId="135" type="noConversion"/>
  </si>
  <si>
    <t>京（2025）密不动产权第0004521号</t>
    <phoneticPr fontId="135" type="noConversion"/>
  </si>
  <si>
    <t>密云区滨河路178号院3号楼7层2单元719</t>
    <phoneticPr fontId="135" type="noConversion"/>
  </si>
  <si>
    <t>2单元719</t>
    <phoneticPr fontId="135" type="noConversion"/>
  </si>
  <si>
    <t>京（2025）密不动产权第0004524号</t>
    <phoneticPr fontId="135" type="noConversion"/>
  </si>
  <si>
    <t>密云区滨河路178号院3号楼7层2单元720</t>
    <phoneticPr fontId="135" type="noConversion"/>
  </si>
  <si>
    <t>2单元720</t>
    <phoneticPr fontId="135" type="noConversion"/>
  </si>
  <si>
    <t>京（2025）密不动产权第0004535号</t>
    <phoneticPr fontId="135" type="noConversion"/>
  </si>
  <si>
    <t>密云区滨河路178号院3号楼7层2单元721</t>
    <phoneticPr fontId="135" type="noConversion"/>
  </si>
  <si>
    <t>2单元721</t>
    <phoneticPr fontId="135" type="noConversion"/>
  </si>
  <si>
    <t>京（2025）密不动产权第0004532号</t>
    <phoneticPr fontId="135" type="noConversion"/>
  </si>
  <si>
    <t>密云区滨河路178号院3号楼7层2单元722</t>
    <phoneticPr fontId="135" type="noConversion"/>
  </si>
  <si>
    <t>2单元722</t>
    <phoneticPr fontId="135" type="noConversion"/>
  </si>
  <si>
    <t>京（2025）密不动产权第0004531号</t>
    <phoneticPr fontId="135" type="noConversion"/>
  </si>
  <si>
    <t>密云区滨河路178号院3号楼7层2单元723</t>
    <phoneticPr fontId="135" type="noConversion"/>
  </si>
  <si>
    <t>2单元723</t>
    <phoneticPr fontId="135" type="noConversion"/>
  </si>
  <si>
    <t>京（2025）密不动产权第0004528号</t>
    <phoneticPr fontId="135" type="noConversion"/>
  </si>
  <si>
    <t>密云区滨河路178号院3号楼7层2单元724</t>
    <phoneticPr fontId="135" type="noConversion"/>
  </si>
  <si>
    <t>2单元724</t>
    <phoneticPr fontId="135" type="noConversion"/>
  </si>
  <si>
    <t>京（2025）密不动产权第0004519号</t>
    <phoneticPr fontId="135" type="noConversion"/>
  </si>
  <si>
    <t>密云区滨河路178号院3号楼7层2单元725</t>
    <phoneticPr fontId="135" type="noConversion"/>
  </si>
  <si>
    <t>2单元725</t>
    <phoneticPr fontId="135" type="noConversion"/>
  </si>
  <si>
    <t>京（2025）密不动产权第0004965号</t>
    <phoneticPr fontId="135" type="noConversion"/>
  </si>
  <si>
    <t>密云区滨河路178号院3号楼7层2单元726</t>
    <phoneticPr fontId="135" type="noConversion"/>
  </si>
  <si>
    <t>2单元726</t>
    <phoneticPr fontId="135" type="noConversion"/>
  </si>
  <si>
    <t>序号</t>
    <phoneticPr fontId="135" type="noConversion"/>
  </si>
  <si>
    <t>合计</t>
    <phoneticPr fontId="135" type="noConversion"/>
  </si>
  <si>
    <t>2层合计</t>
    <phoneticPr fontId="135" type="noConversion"/>
  </si>
  <si>
    <t>3层合计</t>
    <phoneticPr fontId="135" type="noConversion"/>
  </si>
  <si>
    <t>4层合计</t>
    <phoneticPr fontId="135" type="noConversion"/>
  </si>
  <si>
    <t>5层合计</t>
    <phoneticPr fontId="135" type="noConversion"/>
  </si>
  <si>
    <t>6层合计</t>
    <phoneticPr fontId="135" type="noConversion"/>
  </si>
  <si>
    <t>7层合计</t>
    <phoneticPr fontId="135" type="noConversion"/>
  </si>
  <si>
    <t>郑燚</t>
  </si>
  <si>
    <t>吴薇</t>
  </si>
  <si>
    <t>抵押</t>
  </si>
  <si>
    <t>房地产抵押价值</t>
  </si>
  <si>
    <t>北京市</t>
  </si>
  <si>
    <t>企业</t>
  </si>
  <si>
    <t>办公</t>
    <phoneticPr fontId="7" type="noConversion"/>
  </si>
  <si>
    <t>否</t>
  </si>
  <si>
    <t>办公项目</t>
  </si>
  <si>
    <t>现房</t>
  </si>
  <si>
    <t>Ⅸ-密1</t>
  </si>
  <si>
    <t>是</t>
  </si>
  <si>
    <t>地上</t>
  </si>
  <si>
    <t>成新度</t>
  </si>
  <si>
    <t>竣工时间</t>
    <phoneticPr fontId="4" type="noConversion"/>
  </si>
  <si>
    <t>依据产权证</t>
    <phoneticPr fontId="4" type="noConversion"/>
  </si>
  <si>
    <t>鼓楼街道</t>
    <phoneticPr fontId="4" type="noConversion"/>
  </si>
  <si>
    <t>自定义容积率</t>
  </si>
  <si>
    <t>中心城区以外</t>
  </si>
  <si>
    <t>中指</t>
    <phoneticPr fontId="8" type="noConversion"/>
  </si>
  <si>
    <t>较差</t>
  </si>
  <si>
    <t>一般</t>
  </si>
  <si>
    <t>较好</t>
  </si>
  <si>
    <t>好</t>
  </si>
  <si>
    <t>未包含在土地购买价格中</t>
  </si>
  <si>
    <t>已包含在土地取得成本中</t>
  </si>
  <si>
    <t>全部缴纳</t>
  </si>
  <si>
    <t>押一</t>
  </si>
  <si>
    <t>钢混</t>
  </si>
  <si>
    <t>非生产用房</t>
  </si>
  <si>
    <t>楼面单价</t>
  </si>
  <si>
    <t>自定义</t>
  </si>
  <si>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</si>
  <si>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</si>
  <si>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</si>
  <si>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</si>
  <si>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</si>
  <si>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</si>
  <si>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</si>
  <si>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</si>
  <si>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</si>
  <si>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</si>
  <si>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</si>
  <si>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</si>
  <si>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</si>
  <si>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</si>
  <si>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</si>
  <si>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</si>
  <si>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2#</t>
  </si>
  <si>
    <t>京(2019)密不动产权第0009865号</t>
  </si>
  <si>
    <t>其他</t>
  </si>
  <si>
    <t>1#</t>
  </si>
  <si>
    <t>京(2019)密不动产权第0010655号</t>
  </si>
  <si>
    <t>京(2019)密不动产权第0010656号</t>
  </si>
  <si>
    <t>中指-绿地郎山国际健康产业园</t>
  </si>
  <si>
    <t>密云区滨河路178号院3号楼3层2单元301</t>
    <phoneticPr fontId="135" type="noConversion"/>
  </si>
  <si>
    <t>2单元301</t>
    <phoneticPr fontId="135" type="noConversion"/>
  </si>
  <si>
    <t>2单元203</t>
  </si>
  <si>
    <t>收益法 (元)</t>
  </si>
  <si>
    <t>成本法 (元)</t>
  </si>
  <si>
    <t>2单元203</t>
    <phoneticPr fontId="25" type="noConversion"/>
  </si>
  <si>
    <t>低楼层</t>
  </si>
  <si>
    <t>低楼层</t>
    <phoneticPr fontId="135" type="noConversion"/>
  </si>
  <si>
    <t>中楼层</t>
  </si>
  <si>
    <t>中楼层</t>
    <phoneticPr fontId="135" type="noConversion"/>
  </si>
  <si>
    <r>
      <t>2</t>
    </r>
    <r>
      <rPr>
        <sz val="11"/>
        <color theme="1"/>
        <rFont val="宋体"/>
        <family val="3"/>
        <charset val="134"/>
        <scheme val="minor"/>
      </rPr>
      <t>-5层</t>
    </r>
    <phoneticPr fontId="135" type="noConversion"/>
  </si>
  <si>
    <t>高楼层</t>
  </si>
  <si>
    <t>高楼层</t>
    <phoneticPr fontId="135" type="noConversion"/>
  </si>
  <si>
    <r>
      <t>6</t>
    </r>
    <r>
      <rPr>
        <sz val="11"/>
        <color theme="1"/>
        <rFont val="宋体"/>
        <family val="3"/>
        <charset val="134"/>
        <scheme val="minor"/>
      </rPr>
      <t>-7层</t>
    </r>
    <phoneticPr fontId="135" type="noConversion"/>
  </si>
  <si>
    <t>1-2层</t>
    <phoneticPr fontId="135" type="noConversion"/>
  </si>
  <si>
    <t>楼层</t>
    <phoneticPr fontId="25" type="noConversion"/>
  </si>
  <si>
    <t>高楼层</t>
    <phoneticPr fontId="25" type="noConversion"/>
  </si>
  <si>
    <t>中楼层</t>
    <phoneticPr fontId="25" type="noConversion"/>
  </si>
  <si>
    <t>低楼层</t>
    <phoneticPr fontId="25" type="noConversion"/>
  </si>
  <si>
    <t>税率</t>
  </si>
  <si>
    <t>增值税及附加</t>
  </si>
  <si>
    <t>印花税</t>
  </si>
  <si>
    <t>土地增值税</t>
  </si>
  <si>
    <t>合计</t>
    <phoneticPr fontId="25" type="noConversion"/>
  </si>
  <si>
    <t>净值</t>
    <phoneticPr fontId="25" type="noConversion"/>
  </si>
  <si>
    <t>税费合计</t>
    <phoneticPr fontId="25" type="noConversion"/>
  </si>
  <si>
    <r>
      <rPr>
        <sz val="10"/>
        <color indexed="8"/>
        <rFont val="宋体"/>
        <family val="3"/>
        <charset val="134"/>
      </rPr>
      <t>询价报</t>
    </r>
    <r>
      <rPr>
        <sz val="10"/>
        <color indexed="8"/>
        <rFont val="Arial"/>
        <family val="2"/>
      </rPr>
      <t>9300</t>
    </r>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</si>
  <si>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0"/>
        <color indexed="8"/>
        <rFont val="宋体"/>
        <family val="3"/>
        <charset val="134"/>
      </rPr>
      <t>银行想净值比</t>
    </r>
    <r>
      <rPr>
        <sz val="10"/>
        <color indexed="8"/>
        <rFont val="宋体"/>
        <family val="3"/>
        <charset val="134"/>
      </rPr>
      <t>一个亿再高点</t>
    </r>
    <phoneticPr fontId="9" type="noConversion"/>
  </si>
  <si>
    <t>与级别开发程度不一致</t>
  </si>
  <si>
    <t>通路</t>
  </si>
  <si>
    <t>通电</t>
  </si>
  <si>
    <t>通讯</t>
  </si>
  <si>
    <t>通上水</t>
  </si>
  <si>
    <t>通下水</t>
  </si>
  <si>
    <t>通热</t>
  </si>
  <si>
    <t>平整</t>
  </si>
  <si>
    <t>典型户型</t>
    <phoneticPr fontId="135" type="noConversion"/>
  </si>
  <si>
    <t>北京密云生态商务区开发有限责任公司</t>
    <phoneticPr fontId="7" type="noConversion"/>
  </si>
  <si>
    <r>
      <rPr>
        <sz val="10"/>
        <color theme="9" tint="-0.249977111117893"/>
        <rFont val="宋体"/>
        <family val="3"/>
        <charset val="134"/>
      </rPr>
      <t>密云区滨河路</t>
    </r>
    <r>
      <rPr>
        <sz val="10"/>
        <color theme="9" tint="-0.249977111117893"/>
        <rFont val="Arial"/>
        <family val="2"/>
      </rPr>
      <t>178</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201</t>
    </r>
    <r>
      <rPr>
        <sz val="10"/>
        <color theme="9" tint="-0.249977111117893"/>
        <rFont val="宋体"/>
        <family val="3"/>
        <charset val="134"/>
      </rPr>
      <t>等共计</t>
    </r>
    <r>
      <rPr>
        <sz val="10"/>
        <color theme="9" tint="-0.249977111117893"/>
        <rFont val="Arial"/>
        <family val="2"/>
      </rPr>
      <t>156</t>
    </r>
    <r>
      <rPr>
        <sz val="10"/>
        <color theme="9" tint="-0.249977111117893"/>
        <rFont val="宋体"/>
        <family val="3"/>
        <charset val="134"/>
      </rPr>
      <t>套</t>
    </r>
    <phoneticPr fontId="7" type="noConversion"/>
  </si>
  <si>
    <t>京（2025）密不动产权第0004341号</t>
    <phoneticPr fontId="135" type="noConversion"/>
  </si>
  <si>
    <r>
      <t>155</t>
    </r>
    <r>
      <rPr>
        <sz val="10"/>
        <color indexed="8"/>
        <rFont val="宋体"/>
        <family val="3"/>
        <charset val="134"/>
      </rPr>
      <t>套</t>
    </r>
    <phoneticPr fontId="25" type="noConversion"/>
  </si>
  <si>
    <t>总价</t>
    <phoneticPr fontId="25" type="noConversion"/>
  </si>
  <si>
    <t>单价</t>
    <phoneticPr fontId="25" type="noConversion"/>
  </si>
  <si>
    <r>
      <t>156</t>
    </r>
    <r>
      <rPr>
        <sz val="10"/>
        <color indexed="8"/>
        <rFont val="宋体"/>
        <family val="3"/>
        <charset val="134"/>
      </rPr>
      <t>套</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</si>
</sst>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0">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theme="1"/>
      <name val="宋体"/>
      <family val="2"/>
      <charset val="134"/>
      <scheme val="minor"/>
    </font>
    <font>
      <sz val="9"/>
      <name val="Palatino Linotype"/>
      <family val="1"/>
    </font>
    <font>
      <sz val="10"/>
      <color rgb="FF000000"/>
      <name val="Times New Roman"/>
      <family val="1"/>
    </font>
    <font>
      <sz val="12"/>
      <color theme="1"/>
      <name val="宋体"/>
      <family val="2"/>
      <scheme val="minor"/>
    </font>
    <font>
      <sz val="10"/>
      <color indexed="8"/>
      <name val="Arial"/>
      <family val="3"/>
      <charset val="134"/>
    </font>
    <font>
      <sz val="10"/>
      <color theme="9" tint="-0.249977111117893"/>
      <name val="Arial"/>
      <family val="3"/>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5">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xf numFmtId="9"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4" fillId="0" borderId="0"/>
    <xf numFmtId="191" fontId="96" fillId="0" borderId="0">
      <alignment vertical="center"/>
    </xf>
    <xf numFmtId="191" fontId="96" fillId="0" borderId="0">
      <alignment vertical="center"/>
    </xf>
    <xf numFmtId="191" fontId="96" fillId="0" borderId="0"/>
    <xf numFmtId="191" fontId="54" fillId="0" borderId="0"/>
    <xf numFmtId="9" fontId="1" fillId="0" borderId="0" applyFont="0" applyFill="0" applyBorder="0" applyAlignment="0" applyProtection="0">
      <alignment vertical="center"/>
    </xf>
    <xf numFmtId="0" fontId="222" fillId="0" borderId="0"/>
    <xf numFmtId="0" fontId="275" fillId="0" borderId="0"/>
    <xf numFmtId="0" fontId="96" fillId="0" borderId="0">
      <alignment vertical="center"/>
    </xf>
    <xf numFmtId="0" fontId="273" fillId="0" borderId="0">
      <alignment vertical="center"/>
    </xf>
    <xf numFmtId="0" fontId="222" fillId="0" borderId="0"/>
    <xf numFmtId="191" fontId="96" fillId="0" borderId="0"/>
    <xf numFmtId="191" fontId="96" fillId="0" borderId="0">
      <alignment vertical="center"/>
    </xf>
    <xf numFmtId="0" fontId="1"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0" fontId="276" fillId="0" borderId="0"/>
  </cellStyleXfs>
  <cellXfs count="355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0" fillId="0" borderId="0" xfId="0" applyAlignment="1">
      <alignment vertical="center" wrapText="1"/>
    </xf>
    <xf numFmtId="0" fontId="96" fillId="0" borderId="1" xfId="0" applyFont="1" applyBorder="1">
      <alignment vertical="center"/>
    </xf>
    <xf numFmtId="0" fontId="96" fillId="0" borderId="1" xfId="0" applyFont="1" applyBorder="1" applyAlignment="1">
      <alignment vertical="center" wrapText="1"/>
    </xf>
    <xf numFmtId="0" fontId="0" fillId="0" borderId="1" xfId="0" applyBorder="1">
      <alignment vertical="center"/>
    </xf>
    <xf numFmtId="0" fontId="0" fillId="0" borderId="1" xfId="0" applyBorder="1" applyAlignment="1">
      <alignment vertical="center" wrapText="1"/>
    </xf>
    <xf numFmtId="0" fontId="78" fillId="12" borderId="0" xfId="0" applyFont="1" applyFill="1" applyProtection="1">
      <alignment vertical="center"/>
      <protection locked="0"/>
    </xf>
    <xf numFmtId="179" fontId="129" fillId="12" borderId="0" xfId="0" applyNumberFormat="1" applyFont="1" applyFill="1" applyProtection="1">
      <alignment vertical="center"/>
      <protection locked="0"/>
    </xf>
    <xf numFmtId="0" fontId="129" fillId="12" borderId="0" xfId="0" applyFont="1" applyFill="1" applyProtection="1">
      <alignment vertical="center"/>
      <protection locked="0"/>
    </xf>
    <xf numFmtId="14" fontId="0" fillId="0" borderId="0" xfId="0" applyNumberFormat="1" applyAlignment="1"/>
    <xf numFmtId="0" fontId="96" fillId="0" borderId="0" xfId="10">
      <alignment vertical="center"/>
    </xf>
    <xf numFmtId="0" fontId="96" fillId="5" borderId="1" xfId="0" applyFont="1" applyFill="1" applyBorder="1" applyAlignment="1">
      <alignment vertical="center" wrapText="1"/>
    </xf>
    <xf numFmtId="0" fontId="0" fillId="5" borderId="1" xfId="0" applyFill="1" applyBorder="1" applyAlignment="1">
      <alignment vertical="center" wrapText="1"/>
    </xf>
    <xf numFmtId="0" fontId="96" fillId="5" borderId="1" xfId="0" applyFont="1" applyFill="1" applyBorder="1">
      <alignment vertical="center"/>
    </xf>
    <xf numFmtId="0" fontId="0" fillId="5" borderId="1" xfId="0" applyFill="1" applyBorder="1">
      <alignment vertical="center"/>
    </xf>
    <xf numFmtId="0" fontId="177" fillId="0" borderId="1" xfId="0" applyFont="1" applyBorder="1" applyAlignment="1" applyProtection="1">
      <alignment horizontal="center" vertical="center"/>
      <protection locked="0"/>
    </xf>
    <xf numFmtId="58" fontId="96" fillId="0" borderId="0" xfId="0" applyNumberFormat="1" applyFont="1">
      <alignment vertical="center"/>
    </xf>
    <xf numFmtId="0" fontId="223" fillId="0" borderId="108" xfId="0" applyFont="1" applyBorder="1" applyAlignment="1" applyProtection="1">
      <alignment horizontal="center" vertical="center" wrapText="1"/>
      <protection locked="0"/>
    </xf>
    <xf numFmtId="0" fontId="78" fillId="0" borderId="109" xfId="0" applyFont="1" applyBorder="1" applyAlignment="1" applyProtection="1">
      <alignment horizontal="center" vertical="center" wrapText="1"/>
      <protection locked="0"/>
    </xf>
    <xf numFmtId="0" fontId="78" fillId="0" borderId="110" xfId="0" applyFont="1" applyBorder="1" applyAlignment="1" applyProtection="1">
      <alignment horizontal="center" vertical="center" wrapText="1"/>
      <protection locked="0"/>
    </xf>
    <xf numFmtId="179" fontId="52" fillId="0" borderId="23" xfId="0" applyNumberFormat="1" applyFont="1" applyBorder="1" applyAlignment="1" applyProtection="1">
      <alignment horizontal="center" vertical="center"/>
      <protection locked="0"/>
    </xf>
    <xf numFmtId="0" fontId="48" fillId="22" borderId="0" xfId="0" applyFont="1" applyFill="1" applyProtection="1">
      <alignment vertical="center"/>
      <protection locked="0"/>
    </xf>
    <xf numFmtId="0" fontId="78" fillId="22" borderId="0" xfId="0" applyFont="1" applyFill="1" applyProtection="1">
      <alignment vertical="center"/>
      <protection locked="0"/>
    </xf>
    <xf numFmtId="0" fontId="20" fillId="22" borderId="0" xfId="0" applyFont="1" applyFill="1" applyAlignment="1" applyProtection="1">
      <alignment horizontal="center" vertical="center"/>
      <protection locked="0"/>
    </xf>
    <xf numFmtId="10" fontId="20" fillId="22" borderId="0" xfId="0" applyNumberFormat="1" applyFont="1" applyFill="1" applyAlignment="1" applyProtection="1">
      <alignment horizontal="center" vertical="center"/>
      <protection locked="0"/>
    </xf>
    <xf numFmtId="10" fontId="54" fillId="22" borderId="0" xfId="0" applyNumberFormat="1" applyFont="1" applyFill="1" applyAlignment="1" applyProtection="1">
      <alignment horizontal="center" vertical="center"/>
      <protection locked="0"/>
    </xf>
    <xf numFmtId="0" fontId="78" fillId="22" borderId="0" xfId="0" applyFont="1" applyFill="1" applyAlignment="1" applyProtection="1">
      <alignment horizontal="center" vertical="center" wrapText="1"/>
      <protection locked="0"/>
    </xf>
    <xf numFmtId="9" fontId="54" fillId="22"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Protection="1">
      <alignment vertical="center"/>
      <protection locked="0"/>
    </xf>
    <xf numFmtId="0" fontId="277" fillId="6" borderId="0" xfId="0" applyFont="1" applyFill="1" applyProtection="1">
      <alignment vertical="center"/>
      <protection locked="0"/>
    </xf>
    <xf numFmtId="0" fontId="78" fillId="6" borderId="0" xfId="0" applyFont="1" applyFill="1" applyProtection="1">
      <alignment vertical="center"/>
      <protection locked="0"/>
    </xf>
    <xf numFmtId="0" fontId="54" fillId="5" borderId="32" xfId="0" applyFont="1" applyFill="1" applyBorder="1" applyAlignment="1" applyProtection="1">
      <alignment horizontal="right" vertical="center" wrapText="1"/>
      <protection locked="0"/>
    </xf>
    <xf numFmtId="0" fontId="96" fillId="5" borderId="15" xfId="0" applyFont="1" applyFill="1" applyBorder="1">
      <alignment vertical="center"/>
    </xf>
    <xf numFmtId="0" fontId="78" fillId="7" borderId="54" xfId="0" applyFont="1" applyFill="1" applyBorder="1" applyAlignment="1" applyProtection="1">
      <alignment vertical="center" wrapText="1"/>
      <protection locked="0"/>
    </xf>
    <xf numFmtId="49" fontId="278" fillId="12" borderId="4" xfId="0" applyNumberFormat="1" applyFont="1" applyFill="1" applyBorder="1" applyAlignment="1" applyProtection="1">
      <alignment horizontal="left" vertical="center"/>
      <protection locked="0"/>
    </xf>
    <xf numFmtId="0" fontId="279" fillId="0" borderId="1" xfId="0" applyFont="1" applyBorder="1" applyAlignment="1">
      <alignment vertical="center" wrapTex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78" fillId="7" borderId="0" xfId="0" applyFont="1" applyFill="1" applyAlignment="1" applyProtection="1">
      <alignment horizontal="center" vertical="center"/>
      <protection locked="0"/>
    </xf>
    <xf numFmtId="0" fontId="78" fillId="7" borderId="16" xfId="0" applyFont="1" applyFill="1" applyBorder="1" applyAlignment="1" applyProtection="1">
      <alignment horizontal="center" vertical="center"/>
      <protection locked="0"/>
    </xf>
    <xf numFmtId="0" fontId="48" fillId="7" borderId="31" xfId="0" applyFont="1" applyFill="1" applyBorder="1" applyProtection="1">
      <alignment vertical="center"/>
      <protection locked="0"/>
    </xf>
    <xf numFmtId="0" fontId="78" fillId="7" borderId="42" xfId="0" applyFont="1" applyFill="1" applyBorder="1" applyAlignment="1" applyProtection="1">
      <alignment horizontal="center" vertical="center"/>
      <protection locked="0"/>
    </xf>
    <xf numFmtId="0" fontId="48" fillId="7" borderId="43" xfId="0" applyFont="1" applyFill="1" applyBorder="1" applyProtection="1">
      <alignment vertical="center"/>
      <protection locked="0"/>
    </xf>
    <xf numFmtId="0" fontId="48" fillId="7" borderId="31" xfId="0" applyFont="1" applyFill="1" applyBorder="1" applyAlignment="1" applyProtection="1">
      <alignment horizontal="center" vertical="center"/>
      <protection locked="0"/>
    </xf>
    <xf numFmtId="0" fontId="48" fillId="7" borderId="43" xfId="0" applyFont="1" applyFill="1" applyBorder="1" applyAlignment="1" applyProtection="1">
      <alignment horizontal="center" vertical="center"/>
      <protection locked="0"/>
    </xf>
    <xf numFmtId="0" fontId="78" fillId="7" borderId="63" xfId="0" applyFont="1" applyFill="1" applyBorder="1" applyProtection="1">
      <alignment vertical="center"/>
      <protection locked="0"/>
    </xf>
    <xf numFmtId="0" fontId="48" fillId="7" borderId="65" xfId="0" applyFont="1" applyFill="1" applyBorder="1" applyProtection="1">
      <alignment vertical="center"/>
      <protection locked="0"/>
    </xf>
    <xf numFmtId="10" fontId="0" fillId="0" borderId="0" xfId="0" applyNumberFormat="1">
      <alignment vertical="center"/>
    </xf>
  </cellXfs>
  <cellStyles count="55">
    <cellStyle name="Comma 2" xfId="24" xr:uid="{272E220B-7986-4E2F-9D64-46F7DE40B9FB}"/>
    <cellStyle name="Comma 2 2" xfId="25" xr:uid="{0013443A-0A27-4676-966A-02703FE45103}"/>
    <cellStyle name="Comma 2 2 2" xfId="26" xr:uid="{3B3BBA9F-6AB2-4897-A2C8-1A39621C3708}"/>
    <cellStyle name="Comma 2 2 2 2" xfId="27" xr:uid="{F700650B-C047-4991-822D-4F60F0CB9A76}"/>
    <cellStyle name="Comma 2 2 3" xfId="28" xr:uid="{ED2B8DE0-FC71-4D08-9859-B6EBB86F93F6}"/>
    <cellStyle name="Comma 2 3" xfId="29" xr:uid="{456A004A-EE9E-4B08-9B6F-B03E8513E758}"/>
    <cellStyle name="Comma 2 3 2" xfId="30" xr:uid="{06C39EA3-5EDA-4083-833E-6C91E3F67197}"/>
    <cellStyle name="Comma 2 4" xfId="31" xr:uid="{BB6BECBF-AD66-4D3E-95FE-3828B8083720}"/>
    <cellStyle name="Normal 2" xfId="32" xr:uid="{0AD38F10-4336-43D8-85F7-1B3C395507DA}"/>
    <cellStyle name="Normal 2 2 2" xfId="33" xr:uid="{48EBDC1B-884A-499C-93E3-5E307C2E5298}"/>
    <cellStyle name="Normal 2 8" xfId="34" xr:uid="{E837E8B9-31A2-41F3-9B4D-C9285F266D29}"/>
    <cellStyle name="Normal 3" xfId="35" xr:uid="{1E552517-2A97-4F8A-8297-6252407D9764}"/>
    <cellStyle name="Normal 4" xfId="36" xr:uid="{CCF63573-67E0-440F-9670-4A89CD754665}"/>
    <cellStyle name="Normal 5" xfId="37" xr:uid="{629E0926-2A98-4238-97DF-F1746C791501}"/>
    <cellStyle name="Normal_Shangri-La Offices Rental Schedule by 8 units--elevator060803_Shangri-La Offices - Rental Guideline &amp; Leasing Policy 060913draft 2" xfId="38" xr:uid="{3421F039-F654-442F-9191-98088E6B6B20}"/>
    <cellStyle name="百分比" xfId="17" builtinId="5"/>
    <cellStyle name="百分比 2" xfId="14" xr:uid="{00000000-0005-0000-0000-000001000000}"/>
    <cellStyle name="百分比 3" xfId="22" xr:uid="{5D53C8A1-6B6F-45AE-B025-784FF3465B99}"/>
    <cellStyle name="百分比 4" xfId="39" xr:uid="{C38FD14F-B486-42B1-BF42-361ACFF9E07D}"/>
    <cellStyle name="百分比 5" xfId="21" xr:uid="{8FF5B196-7006-4453-BD2C-7E7DE09679CB}"/>
    <cellStyle name="百分比 6" xfId="20" xr:uid="{46697313-0AFC-4C00-A15F-AD884705962C}"/>
    <cellStyle name="常规" xfId="0" builtinId="0"/>
    <cellStyle name="常规 10" xfId="40" xr:uid="{7D457754-8EEF-417A-B557-9752FDCAF85E}"/>
    <cellStyle name="常规 11" xfId="18" xr:uid="{00000000-0005-0000-0000-000003000000}"/>
    <cellStyle name="常规 12" xfId="41" xr:uid="{A6FA6C5D-C666-4A24-B1A2-E8CEAC1C8B9C}"/>
    <cellStyle name="常规 13" xfId="42" xr:uid="{1AF61824-142B-440D-85EB-DA4CF07FB0EF}"/>
    <cellStyle name="常规 14" xfId="43" xr:uid="{96F07350-C971-4570-8971-B3AA7B9E6F22}"/>
    <cellStyle name="常规 15" xfId="54" xr:uid="{A7F26844-DC31-4C94-9AD9-FCC51DEA175E}"/>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2 3" xfId="44" xr:uid="{D3CC3610-2338-4EDD-A541-4CE09FDFD1CA}"/>
    <cellStyle name="常规 3" xfId="2" xr:uid="{00000000-0005-0000-0000-000008000000}"/>
    <cellStyle name="常规 3 2" xfId="3" xr:uid="{00000000-0005-0000-0000-000009000000}"/>
    <cellStyle name="常规 3 2 2" xfId="45" xr:uid="{C52810A3-847C-4CA9-AEC6-6DDC624A39D8}"/>
    <cellStyle name="常规 3 3" xfId="46" xr:uid="{810FD6AC-33C5-4CC2-8E24-3CE2B7DC7C52}"/>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47" xr:uid="{12E6EA58-53DF-4C0C-A9E8-EFD7D27112F7}"/>
    <cellStyle name="常规 9 3" xfId="19" xr:uid="{6AE3FC95-B89B-4497-93FA-DE8AFE046ABD}"/>
    <cellStyle name="千位分隔 2" xfId="23" xr:uid="{943EF3F9-7F22-41C7-B87B-8B33E4D333AD}"/>
    <cellStyle name="千位分隔 2 2" xfId="48" xr:uid="{D3C3C0B4-6ED4-424F-8A6B-42DD3CC0E966}"/>
    <cellStyle name="千位分隔 2 2 2" xfId="49" xr:uid="{C5E406D9-357A-484A-A865-B26937EFDBFF}"/>
    <cellStyle name="千位分隔 2 3" xfId="50" xr:uid="{97B5D0FB-6015-4BE5-B274-137486E52C9E}"/>
    <cellStyle name="千位分隔 3" xfId="51" xr:uid="{BB3A95EE-9CF0-4169-A760-F324AE2908FA}"/>
    <cellStyle name="千位分隔 3 2" xfId="52" xr:uid="{35E126F4-E504-4FA4-9D1A-D595255CAC51}"/>
    <cellStyle name="千位分隔 4" xfId="53" xr:uid="{4B35C552-0383-484C-840C-B6EEE64AAEBC}"/>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160020</xdr:colOff>
      <xdr:row>0</xdr:row>
      <xdr:rowOff>0</xdr:rowOff>
    </xdr:from>
    <xdr:to>
      <xdr:col>9</xdr:col>
      <xdr:colOff>248827</xdr:colOff>
      <xdr:row>19</xdr:row>
      <xdr:rowOff>114300</xdr:rowOff>
    </xdr:to>
    <xdr:pic>
      <xdr:nvPicPr>
        <xdr:cNvPr id="2" name="图片 1">
          <a:extLst>
            <a:ext uri="{FF2B5EF4-FFF2-40B4-BE49-F238E27FC236}">
              <a16:creationId xmlns:a16="http://schemas.microsoft.com/office/drawing/2014/main" id="{1690F56F-825C-4B3A-B8AE-A241C6C106E0}"/>
            </a:ext>
          </a:extLst>
        </xdr:cNvPr>
        <xdr:cNvPicPr>
          <a:picLocks noChangeAspect="1"/>
        </xdr:cNvPicPr>
      </xdr:nvPicPr>
      <xdr:blipFill>
        <a:blip xmlns:r="http://schemas.openxmlformats.org/officeDocument/2006/relationships" r:embed="rId1"/>
        <a:stretch>
          <a:fillRect/>
        </a:stretch>
      </xdr:blipFill>
      <xdr:spPr>
        <a:xfrm>
          <a:off x="160020" y="0"/>
          <a:ext cx="5963827" cy="3589020"/>
        </a:xfrm>
        <a:prstGeom prst="rect">
          <a:avLst/>
        </a:prstGeom>
      </xdr:spPr>
    </xdr:pic>
    <xdr:clientData/>
  </xdr:twoCellAnchor>
  <xdr:twoCellAnchor editAs="oneCell">
    <xdr:from>
      <xdr:col>0</xdr:col>
      <xdr:colOff>172931</xdr:colOff>
      <xdr:row>19</xdr:row>
      <xdr:rowOff>149951</xdr:rowOff>
    </xdr:from>
    <xdr:to>
      <xdr:col>9</xdr:col>
      <xdr:colOff>50775</xdr:colOff>
      <xdr:row>24</xdr:row>
      <xdr:rowOff>128499</xdr:rowOff>
    </xdr:to>
    <xdr:pic>
      <xdr:nvPicPr>
        <xdr:cNvPr id="3" name="图片 2">
          <a:extLst>
            <a:ext uri="{FF2B5EF4-FFF2-40B4-BE49-F238E27FC236}">
              <a16:creationId xmlns:a16="http://schemas.microsoft.com/office/drawing/2014/main" id="{9FB44B4F-A274-4484-8710-7934B87D088D}"/>
            </a:ext>
          </a:extLst>
        </xdr:cNvPr>
        <xdr:cNvPicPr>
          <a:picLocks noChangeAspect="1"/>
        </xdr:cNvPicPr>
      </xdr:nvPicPr>
      <xdr:blipFill>
        <a:blip xmlns:r="http://schemas.openxmlformats.org/officeDocument/2006/relationships" r:embed="rId2"/>
        <a:stretch>
          <a:fillRect/>
        </a:stretch>
      </xdr:blipFill>
      <xdr:spPr>
        <a:xfrm>
          <a:off x="172931" y="3624671"/>
          <a:ext cx="5752864" cy="892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322743</xdr:colOff>
      <xdr:row>41</xdr:row>
      <xdr:rowOff>111444</xdr:rowOff>
    </xdr:to>
    <xdr:pic>
      <xdr:nvPicPr>
        <xdr:cNvPr id="2" name="图片 1">
          <a:extLst>
            <a:ext uri="{FF2B5EF4-FFF2-40B4-BE49-F238E27FC236}">
              <a16:creationId xmlns:a16="http://schemas.microsoft.com/office/drawing/2014/main" id="{BE130EA0-9003-65C3-9918-0580085D78A5}"/>
            </a:ext>
          </a:extLst>
        </xdr:cNvPr>
        <xdr:cNvPicPr>
          <a:picLocks noChangeAspect="1"/>
        </xdr:cNvPicPr>
      </xdr:nvPicPr>
      <xdr:blipFill>
        <a:blip xmlns:r="http://schemas.openxmlformats.org/officeDocument/2006/relationships" r:embed="rId1"/>
        <a:stretch>
          <a:fillRect/>
        </a:stretch>
      </xdr:blipFill>
      <xdr:spPr>
        <a:xfrm>
          <a:off x="0" y="0"/>
          <a:ext cx="8857143" cy="7609524"/>
        </a:xfrm>
        <a:prstGeom prst="rect">
          <a:avLst/>
        </a:prstGeom>
      </xdr:spPr>
    </xdr:pic>
    <xdr:clientData/>
  </xdr:twoCellAnchor>
  <xdr:twoCellAnchor editAs="oneCell">
    <xdr:from>
      <xdr:col>0</xdr:col>
      <xdr:colOff>0</xdr:colOff>
      <xdr:row>42</xdr:row>
      <xdr:rowOff>0</xdr:rowOff>
    </xdr:from>
    <xdr:to>
      <xdr:col>15</xdr:col>
      <xdr:colOff>465524</xdr:colOff>
      <xdr:row>83</xdr:row>
      <xdr:rowOff>130491</xdr:rowOff>
    </xdr:to>
    <xdr:pic>
      <xdr:nvPicPr>
        <xdr:cNvPr id="3" name="图片 2">
          <a:extLst>
            <a:ext uri="{FF2B5EF4-FFF2-40B4-BE49-F238E27FC236}">
              <a16:creationId xmlns:a16="http://schemas.microsoft.com/office/drawing/2014/main" id="{465331E2-08F0-73AF-52EC-3C2641B16074}"/>
            </a:ext>
          </a:extLst>
        </xdr:cNvPr>
        <xdr:cNvPicPr>
          <a:picLocks noChangeAspect="1"/>
        </xdr:cNvPicPr>
      </xdr:nvPicPr>
      <xdr:blipFill>
        <a:blip xmlns:r="http://schemas.openxmlformats.org/officeDocument/2006/relationships" r:embed="rId2"/>
        <a:stretch>
          <a:fillRect/>
        </a:stretch>
      </xdr:blipFill>
      <xdr:spPr>
        <a:xfrm>
          <a:off x="0" y="7680960"/>
          <a:ext cx="9609524" cy="76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474667</xdr:colOff>
      <xdr:row>40</xdr:row>
      <xdr:rowOff>65752</xdr:rowOff>
    </xdr:to>
    <xdr:pic>
      <xdr:nvPicPr>
        <xdr:cNvPr id="2" name="图片 1">
          <a:extLst>
            <a:ext uri="{FF2B5EF4-FFF2-40B4-BE49-F238E27FC236}">
              <a16:creationId xmlns:a16="http://schemas.microsoft.com/office/drawing/2014/main" id="{C62A065C-C0F7-7E3E-0CB9-4327A350B3E6}"/>
            </a:ext>
          </a:extLst>
        </xdr:cNvPr>
        <xdr:cNvPicPr>
          <a:picLocks noChangeAspect="1"/>
        </xdr:cNvPicPr>
      </xdr:nvPicPr>
      <xdr:blipFill>
        <a:blip xmlns:r="http://schemas.openxmlformats.org/officeDocument/2006/relationships" r:embed="rId1"/>
        <a:stretch>
          <a:fillRect/>
        </a:stretch>
      </xdr:blipFill>
      <xdr:spPr>
        <a:xfrm>
          <a:off x="0" y="0"/>
          <a:ext cx="12666667" cy="73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北京市密云区滨河路178号院3号楼2层2单元201等共计156套房地产抵押价值预评估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受贵公司委托，我公司对北京市密云区滨河路178号院3号楼2层2单元201等共计156套房地产抵押价值进行了预评估。</v>
      </c>
    </row>
    <row r="7" spans="1:2">
      <c r="A7" s="1119" t="s">
        <v>566</v>
      </c>
      <c r="B7" s="1120" t="str">
        <f>'预评函-1'!A7</f>
        <v>估价对象为北京市密云区滨河路178号院3号楼2层2单元201等共计156套房地产，为北京密云生态商务区开发有限责任公司所有。根据《国有土地使用证》[]，估价对象（分摊）出让国有建设用地使用权面积为0平方米，建筑面积为81.71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密云区滨河路178号院3号楼2层2单元201等共计156套房地产,属北京密云生态商务区开发有限责任公司开发建设的办公项目，该项目尚在开发建设中。根据《国有土地使用证》[]，估价对象（分摊）出让国有建设用地使用权面积为0平方米，规划建筑面积为81.71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密云区滨河路178号院3号楼2层2单元201等共计156套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2025年8月6日（评估专业人员实地查勘之日）</v>
      </c>
    </row>
    <row r="13" spans="1:2">
      <c r="A13" s="1119" t="s">
        <v>529</v>
      </c>
      <c r="B13" s="1120" t="str">
        <f>'预评函-1'!A18</f>
        <v>本次估价的“房地产价值”是指在正常市场情况下，在价值时点2025年8月6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77</v>
      </c>
    </row>
    <row r="21" spans="1:2">
      <c r="A21" s="1119" t="s">
        <v>537</v>
      </c>
      <c r="B21" s="1120">
        <f ca="1">'预评函-2'!D7</f>
        <v>9453</v>
      </c>
    </row>
    <row r="22" spans="1:2">
      <c r="A22" s="1119" t="s">
        <v>538</v>
      </c>
      <c r="B22" s="1120" t="str">
        <f ca="1">'预评函-2'!D6</f>
        <v>柒拾柒万元整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77</v>
      </c>
    </row>
    <row r="31" spans="1:2">
      <c r="A31" s="1119" t="s">
        <v>576</v>
      </c>
      <c r="B31" s="1120">
        <f ca="1">'预评函-2'!D15</f>
        <v>9453</v>
      </c>
    </row>
    <row r="32" spans="1:2">
      <c r="A32" s="1119" t="s">
        <v>543</v>
      </c>
      <c r="B32" s="1120" t="str">
        <f ca="1">'预评函-2'!D14</f>
        <v>柒拾柒万元整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76</v>
      </c>
    </row>
    <row r="39" spans="1:2">
      <c r="A39" s="1119" t="s">
        <v>545</v>
      </c>
      <c r="B39" s="1120">
        <f ca="1">'预评函-2'!D21</f>
        <v>9301</v>
      </c>
    </row>
    <row r="40" spans="1:2">
      <c r="A40" s="1119" t="s">
        <v>546</v>
      </c>
      <c r="B40" s="1120" t="str">
        <f ca="1">'预评函-2'!D20</f>
        <v>柒拾陆万元整</v>
      </c>
    </row>
    <row r="41" spans="1:2">
      <c r="A41" s="1119" t="s">
        <v>592</v>
      </c>
      <c r="B41" s="1120" t="str">
        <f>'预评函-3'!A4</f>
        <v>北京市密云区滨河路178号院3号楼2层2单元201等共计156套房地产</v>
      </c>
    </row>
    <row r="42" spans="1:2" ht="31.2">
      <c r="A42" s="1119" t="s">
        <v>590</v>
      </c>
      <c r="B42" s="1120" t="str">
        <f>'预评函-3'!B2</f>
        <v>建筑面积</v>
      </c>
    </row>
    <row r="43" spans="1:2">
      <c r="A43" s="1119" t="s">
        <v>591</v>
      </c>
      <c r="B43" s="1120">
        <f>'预评函-3'!B4</f>
        <v>81.709999999999994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3404</v>
      </c>
      <c r="AA1" s="1438" t="s">
        <v>3403</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2437</v>
      </c>
      <c r="Y2" s="1445" t="s">
        <v>3411</v>
      </c>
      <c r="Z2" s="1445" t="s">
        <v>2450</v>
      </c>
      <c r="AA2" s="1445" t="s">
        <v>3412</v>
      </c>
      <c r="AB2" s="1445" t="s">
        <v>2477</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2439</v>
      </c>
      <c r="Z3" s="1445" t="s">
        <v>2452</v>
      </c>
      <c r="AB3" s="1445" t="s">
        <v>2479</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2441</v>
      </c>
      <c r="Z4" s="1445" t="s">
        <v>2454</v>
      </c>
      <c r="AB4" s="1445" t="s">
        <v>2481</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2443</v>
      </c>
      <c r="Z5" s="1445" t="s">
        <v>2456</v>
      </c>
      <c r="AB5" s="1445" t="s">
        <v>3413</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2445</v>
      </c>
      <c r="Z6" s="1445" t="s">
        <v>2458</v>
      </c>
      <c r="AB6" s="1445" t="s">
        <v>2484</v>
      </c>
    </row>
    <row r="7" spans="1:28">
      <c r="A7" s="1441" t="s">
        <v>1023</v>
      </c>
      <c r="B7" s="1444" t="s">
        <v>450</v>
      </c>
      <c r="C7" s="1442" t="s">
        <v>25</v>
      </c>
      <c r="F7" s="1443" t="s">
        <v>1024</v>
      </c>
      <c r="H7" s="1443" t="s">
        <v>1025</v>
      </c>
      <c r="I7" s="1443" t="s">
        <v>3339</v>
      </c>
      <c r="X7" s="1445" t="s">
        <v>2447</v>
      </c>
      <c r="Z7" s="1445" t="s">
        <v>2460</v>
      </c>
      <c r="AB7" s="1445" t="s">
        <v>2486</v>
      </c>
    </row>
    <row r="8" spans="1:28">
      <c r="A8" s="1441" t="s">
        <v>1026</v>
      </c>
      <c r="B8" s="1441" t="s">
        <v>1027</v>
      </c>
      <c r="C8" s="1442" t="s">
        <v>319</v>
      </c>
      <c r="F8" s="1443" t="s">
        <v>1028</v>
      </c>
      <c r="H8" s="1443" t="s">
        <v>2575</v>
      </c>
      <c r="I8" s="1443" t="s">
        <v>3340</v>
      </c>
      <c r="X8" s="1445" t="s">
        <v>3414</v>
      </c>
      <c r="Z8" s="1445" t="s">
        <v>2462</v>
      </c>
      <c r="AB8" s="1445" t="s">
        <v>2488</v>
      </c>
    </row>
    <row r="9" spans="1:28">
      <c r="A9" s="1441" t="s">
        <v>1029</v>
      </c>
      <c r="B9" s="1441" t="s">
        <v>1030</v>
      </c>
      <c r="C9" s="1442" t="s">
        <v>320</v>
      </c>
      <c r="F9" s="1443" t="s">
        <v>1031</v>
      </c>
      <c r="H9" s="1443"/>
      <c r="I9" s="1445" t="s">
        <v>3341</v>
      </c>
      <c r="X9" s="1445" t="s">
        <v>3415</v>
      </c>
      <c r="Z9" s="1445" t="s">
        <v>2464</v>
      </c>
      <c r="AB9" s="1445" t="s">
        <v>2490</v>
      </c>
    </row>
    <row r="10" spans="1:28">
      <c r="A10" s="1441" t="s">
        <v>1032</v>
      </c>
      <c r="B10" s="1441" t="s">
        <v>1033</v>
      </c>
      <c r="C10" s="1442" t="s">
        <v>321</v>
      </c>
      <c r="F10" s="1443" t="s">
        <v>2576</v>
      </c>
      <c r="I10" s="1445" t="s">
        <v>3342</v>
      </c>
      <c r="Z10" s="1445" t="s">
        <v>2466</v>
      </c>
      <c r="AB10" s="1445" t="s">
        <v>2492</v>
      </c>
    </row>
    <row r="11" spans="1:28">
      <c r="A11" s="1441" t="s">
        <v>1034</v>
      </c>
      <c r="B11" s="1441" t="s">
        <v>1035</v>
      </c>
      <c r="C11" s="1442" t="s">
        <v>322</v>
      </c>
      <c r="F11" s="1443" t="s">
        <v>13</v>
      </c>
      <c r="I11" s="1445" t="s">
        <v>3343</v>
      </c>
      <c r="Z11" s="1445" t="s">
        <v>2468</v>
      </c>
      <c r="AB11" s="1445" t="s">
        <v>2494</v>
      </c>
    </row>
    <row r="12" spans="1:28">
      <c r="A12" s="1441" t="s">
        <v>1036</v>
      </c>
      <c r="B12" s="1441" t="s">
        <v>1037</v>
      </c>
      <c r="C12" s="1442" t="s">
        <v>323</v>
      </c>
      <c r="I12" s="1445" t="s">
        <v>3344</v>
      </c>
      <c r="Z12" s="1445" t="s">
        <v>2470</v>
      </c>
      <c r="AB12" s="1445" t="s">
        <v>2496</v>
      </c>
    </row>
    <row r="13" spans="1:28">
      <c r="A13" s="1441" t="s">
        <v>1038</v>
      </c>
      <c r="B13" s="1441" t="s">
        <v>1039</v>
      </c>
      <c r="C13" s="1442" t="s">
        <v>324</v>
      </c>
      <c r="I13" s="1445" t="s">
        <v>3345</v>
      </c>
      <c r="Z13" s="1445" t="s">
        <v>2472</v>
      </c>
    </row>
    <row r="14" spans="1:28">
      <c r="A14" s="1441" t="s">
        <v>1040</v>
      </c>
      <c r="B14" s="1441" t="s">
        <v>1041</v>
      </c>
      <c r="C14" s="1443" t="s">
        <v>13</v>
      </c>
      <c r="I14" s="1445" t="s">
        <v>3346</v>
      </c>
      <c r="Z14" s="1445" t="s">
        <v>2474</v>
      </c>
    </row>
    <row r="15" spans="1:28">
      <c r="A15" s="1441" t="s">
        <v>1042</v>
      </c>
      <c r="B15" s="1441" t="s">
        <v>1043</v>
      </c>
      <c r="C15" s="1442"/>
      <c r="I15" s="1445" t="s">
        <v>3347</v>
      </c>
    </row>
    <row r="16" spans="1:28">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滨河路178号院3号楼2层2单元201等共计156套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43"/>
      <c r="B54" s="1447" t="s">
        <v>385</v>
      </c>
      <c r="C54" s="1445" t="s">
        <v>583</v>
      </c>
    </row>
    <row r="55" spans="1:4">
      <c r="A55" s="3243"/>
      <c r="B55" s="1447" t="s">
        <v>386</v>
      </c>
      <c r="C55" s="1445" t="s">
        <v>584</v>
      </c>
    </row>
    <row r="56" spans="1:4">
      <c r="A56" s="3243"/>
      <c r="B56" s="1447" t="s">
        <v>387</v>
      </c>
      <c r="C56" s="1445" t="s">
        <v>588</v>
      </c>
    </row>
    <row r="57" spans="1:4">
      <c r="A57" s="324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44" t="s">
        <v>2578</v>
      </c>
      <c r="J2" s="3244"/>
      <c r="K2" s="3244"/>
      <c r="L2" s="3244"/>
      <c r="M2" s="3244"/>
      <c r="N2" s="3244"/>
      <c r="O2" s="3244"/>
      <c r="P2" s="3244"/>
      <c r="Q2" s="3244"/>
      <c r="R2" s="3244"/>
    </row>
    <row r="3" spans="1:18">
      <c r="A3" s="2760" t="s">
        <v>2499</v>
      </c>
      <c r="B3" s="2761">
        <f>项目基本情况!D3</f>
        <v>45875</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1.36</v>
      </c>
      <c r="D5" s="2765">
        <f>IF(ISERROR(ROUND(POWER(1+E5,A5-C5)*(POWER(1+E5,C5)-1)/(POWER(1+E5,A5)-1),3)),0,ROUND(POWER(1+E5,A5-C5)*(POWER(1+E5,C5)-1)/(POWER(1+E5,A5)-1),4))</f>
        <v>6.5600000000000006E-2</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11.37</v>
      </c>
      <c r="D6" s="2765">
        <f>IF(ISERROR(ROUND(POWER(1+E6,A6-C6)*(POWER(1+E6,C6)-1)/(POWER(1+E6,A6)-1),3)),0,ROUND(POWER(1+E6,A6-C6)*(POWER(1+E6,C6)-1)/(POWER(1+E6,A6)-1),4))</f>
        <v>0.41870000000000002</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31.39</v>
      </c>
      <c r="D7" s="2765">
        <f>IF(ISERROR(ROUND(POWER(1+E7,A7-C7)*(POWER(1+E7,C7)-1)/(POWER(1+E7,A7)-1),3)),0,ROUND(POWER(1+E7,A7-C7)*(POWER(1+E7,C7)-1)/(POWER(1+E7,A7)-1),4))</f>
        <v>0.75660000000000005</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4">
      <c r="A17" s="2760" t="s">
        <v>2515</v>
      </c>
      <c r="B17" s="2768">
        <v>4810</v>
      </c>
      <c r="C17" s="2762"/>
      <c r="D17" s="2758"/>
      <c r="E17" s="2758"/>
      <c r="F17" s="2759"/>
    </row>
    <row r="18" spans="1:14" ht="15" thickBot="1">
      <c r="A18" s="2770" t="s">
        <v>2514</v>
      </c>
      <c r="B18" s="2771">
        <f>ROUND(B17*F11/F12,2)</f>
        <v>5541.87</v>
      </c>
      <c r="C18" s="2771">
        <f>ROUND(F11/F12,4)</f>
        <v>1.1521999999999999</v>
      </c>
      <c r="D18" s="2772"/>
      <c r="E18" s="2772"/>
      <c r="F18" s="2773"/>
    </row>
    <row r="19" spans="1:14" ht="15" thickBot="1"/>
    <row r="20" spans="1:14" s="2806" customFormat="1" ht="15" thickTop="1">
      <c r="A20" s="2803" t="s">
        <v>2517</v>
      </c>
      <c r="B20" s="2804"/>
      <c r="C20" s="2804"/>
      <c r="D20" s="2804"/>
      <c r="E20" s="2804"/>
      <c r="F20" s="2804"/>
      <c r="G20" s="2805"/>
      <c r="I20" s="2807" t="s">
        <v>2562</v>
      </c>
      <c r="J20" s="2807" t="s">
        <v>2567</v>
      </c>
      <c r="K20" s="2807"/>
      <c r="L20" s="2807"/>
      <c r="M20" s="2807"/>
    </row>
    <row r="21" spans="1:14">
      <c r="A21" s="2774"/>
      <c r="B21" s="2775" t="s">
        <v>2518</v>
      </c>
      <c r="C21" s="2775" t="s">
        <v>2519</v>
      </c>
      <c r="D21" s="2775" t="s">
        <v>2520</v>
      </c>
      <c r="E21" s="2775" t="s">
        <v>2521</v>
      </c>
      <c r="F21" s="2775" t="s">
        <v>2522</v>
      </c>
      <c r="G21" s="2776" t="s">
        <v>2523</v>
      </c>
      <c r="I21" s="2797">
        <v>5</v>
      </c>
      <c r="J21" s="2797">
        <v>54.2</v>
      </c>
    </row>
    <row r="22" spans="1:14">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N23" s="3150" t="s">
        <v>2566</v>
      </c>
    </row>
    <row r="24" spans="1:14">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N24" s="3150">
        <v>10</v>
      </c>
    </row>
    <row r="25" spans="1:14">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N25" s="3150">
        <v>8</v>
      </c>
    </row>
    <row r="26" spans="1:14">
      <c r="A26" s="2779"/>
      <c r="B26" s="2780"/>
      <c r="C26" s="2780"/>
      <c r="D26" s="2780"/>
      <c r="E26" s="2780"/>
      <c r="F26" s="2780"/>
      <c r="G26" s="2781"/>
      <c r="I26" s="2797">
        <v>30</v>
      </c>
      <c r="J26" s="2797">
        <v>90.5</v>
      </c>
      <c r="K26" s="2797">
        <f t="shared" si="2"/>
        <v>4.2000000000000028</v>
      </c>
      <c r="L26" s="2797" t="s">
        <v>2569</v>
      </c>
      <c r="N26" s="3150">
        <v>5</v>
      </c>
    </row>
    <row r="27" spans="1:14">
      <c r="A27" s="2779" t="s">
        <v>2528</v>
      </c>
      <c r="B27" s="2780"/>
      <c r="C27" s="2780"/>
      <c r="D27" s="2780"/>
      <c r="E27" s="2780"/>
      <c r="F27" s="2780"/>
      <c r="G27" s="2781"/>
      <c r="I27" s="2797">
        <v>35</v>
      </c>
      <c r="J27" s="2797">
        <v>93.8</v>
      </c>
      <c r="K27" s="2797">
        <f t="shared" si="2"/>
        <v>3.2999999999999972</v>
      </c>
      <c r="L27" s="2797" t="s">
        <v>2570</v>
      </c>
      <c r="N27" s="3150">
        <v>3</v>
      </c>
    </row>
    <row r="28" spans="1:14">
      <c r="A28" s="2779" t="s">
        <v>2529</v>
      </c>
      <c r="B28" s="2780"/>
      <c r="C28" s="2780"/>
      <c r="D28" s="2780"/>
      <c r="E28" s="2780"/>
      <c r="F28" s="2780"/>
      <c r="G28" s="2781"/>
      <c r="I28" s="2797">
        <v>40</v>
      </c>
      <c r="J28" s="2797">
        <v>96.4</v>
      </c>
      <c r="K28" s="2797">
        <f t="shared" si="2"/>
        <v>2.6000000000000085</v>
      </c>
      <c r="L28" s="2797" t="s">
        <v>2571</v>
      </c>
      <c r="N28" s="3150">
        <v>2</v>
      </c>
    </row>
    <row r="29" spans="1:14">
      <c r="A29" s="2779" t="s">
        <v>2530</v>
      </c>
      <c r="B29" s="2780"/>
      <c r="C29" s="2780"/>
      <c r="D29" s="2780"/>
      <c r="E29" s="2780"/>
      <c r="F29" s="2780"/>
      <c r="G29" s="2781"/>
      <c r="I29" s="2797">
        <v>45</v>
      </c>
      <c r="J29" s="2797">
        <v>98.4</v>
      </c>
      <c r="K29" s="2797">
        <f t="shared" si="2"/>
        <v>2</v>
      </c>
    </row>
    <row r="30" spans="1:14">
      <c r="A30" s="2779" t="s">
        <v>2531</v>
      </c>
      <c r="B30" s="2780"/>
      <c r="C30" s="2780"/>
      <c r="D30" s="2780"/>
      <c r="E30" s="2780"/>
      <c r="F30" s="2780"/>
      <c r="G30" s="2781"/>
      <c r="I30" s="2797">
        <v>50</v>
      </c>
      <c r="J30" s="2797">
        <v>100</v>
      </c>
      <c r="K30" s="2797">
        <f t="shared" si="2"/>
        <v>1.5999999999999943</v>
      </c>
    </row>
    <row r="31" spans="1:14">
      <c r="A31" s="2779" t="s">
        <v>2532</v>
      </c>
      <c r="B31" s="2780"/>
      <c r="C31" s="2780"/>
      <c r="D31" s="2780"/>
      <c r="E31" s="2780"/>
      <c r="F31" s="2780"/>
      <c r="G31" s="2781"/>
      <c r="I31" s="2797" t="s">
        <v>2563</v>
      </c>
    </row>
    <row r="32" spans="1:14">
      <c r="A32" s="2779" t="s">
        <v>2533</v>
      </c>
      <c r="B32" s="2780"/>
      <c r="C32" s="2780"/>
      <c r="D32" s="2780"/>
      <c r="E32" s="2780"/>
      <c r="F32" s="2780"/>
      <c r="G32" s="2781"/>
    </row>
    <row r="33" spans="1:14">
      <c r="A33" s="2779" t="s">
        <v>2534</v>
      </c>
      <c r="B33" s="2780"/>
      <c r="C33" s="2780"/>
      <c r="D33" s="2780"/>
      <c r="E33" s="2780"/>
      <c r="F33" s="2780"/>
      <c r="G33" s="2781"/>
      <c r="I33" s="2797" t="s">
        <v>2562</v>
      </c>
      <c r="J33" s="2797" t="s">
        <v>2572</v>
      </c>
    </row>
    <row r="34" spans="1:14">
      <c r="A34" s="2779" t="s">
        <v>2535</v>
      </c>
      <c r="B34" s="2780"/>
      <c r="C34" s="2780"/>
      <c r="D34" s="2780"/>
      <c r="E34" s="2780"/>
      <c r="F34" s="2780"/>
      <c r="G34" s="2781"/>
      <c r="I34" s="2797">
        <v>5</v>
      </c>
      <c r="J34" s="2797">
        <v>55.1</v>
      </c>
    </row>
    <row r="35" spans="1:14">
      <c r="A35" s="2779" t="s">
        <v>2536</v>
      </c>
      <c r="B35" s="2780"/>
      <c r="C35" s="2780"/>
      <c r="D35" s="2780"/>
      <c r="E35" s="2780"/>
      <c r="F35" s="2780"/>
      <c r="G35" s="2781"/>
      <c r="I35" s="2797">
        <v>10</v>
      </c>
      <c r="J35" s="2797">
        <v>67</v>
      </c>
      <c r="K35" s="2797">
        <f>J35-J34</f>
        <v>11.899999999999999</v>
      </c>
    </row>
    <row r="36" spans="1:14">
      <c r="A36" s="2779" t="s">
        <v>2537</v>
      </c>
      <c r="B36" s="2780"/>
      <c r="C36" s="2780"/>
      <c r="D36" s="2780"/>
      <c r="E36" s="2780"/>
      <c r="F36" s="2780"/>
      <c r="G36" s="2781"/>
      <c r="I36" s="2797">
        <v>15</v>
      </c>
      <c r="J36" s="2797">
        <v>76.3</v>
      </c>
      <c r="K36" s="2797">
        <f t="shared" ref="K36:K41" si="3">J36-J35</f>
        <v>9.2999999999999972</v>
      </c>
      <c r="L36" s="2797" t="s">
        <v>2565</v>
      </c>
      <c r="N36" s="3150" t="s">
        <v>2566</v>
      </c>
    </row>
    <row r="37" spans="1:14">
      <c r="A37" s="2779" t="s">
        <v>2538</v>
      </c>
      <c r="B37" s="2780"/>
      <c r="C37" s="2780"/>
      <c r="D37" s="2780"/>
      <c r="E37" s="2780"/>
      <c r="F37" s="2780"/>
      <c r="G37" s="2781"/>
      <c r="I37" s="2797">
        <v>20</v>
      </c>
      <c r="J37" s="2797">
        <v>83.6</v>
      </c>
      <c r="K37" s="2797">
        <f t="shared" si="3"/>
        <v>7.2999999999999972</v>
      </c>
      <c r="L37" s="2797" t="s">
        <v>2564</v>
      </c>
      <c r="N37" s="3150">
        <v>10</v>
      </c>
    </row>
    <row r="38" spans="1:14">
      <c r="A38" s="2779" t="s">
        <v>2539</v>
      </c>
      <c r="B38" s="2780"/>
      <c r="C38" s="2780"/>
      <c r="D38" s="2780"/>
      <c r="E38" s="2780"/>
      <c r="F38" s="2780"/>
      <c r="G38" s="2781"/>
      <c r="I38" s="2797">
        <v>25</v>
      </c>
      <c r="J38" s="2797">
        <v>89.3</v>
      </c>
      <c r="K38" s="2797">
        <f t="shared" si="3"/>
        <v>5.7000000000000028</v>
      </c>
      <c r="L38" s="2797" t="s">
        <v>2568</v>
      </c>
      <c r="N38" s="3150">
        <v>8</v>
      </c>
    </row>
    <row r="39" spans="1:14">
      <c r="A39" s="2779"/>
      <c r="B39" s="2780"/>
      <c r="C39" s="2780"/>
      <c r="D39" s="2780"/>
      <c r="E39" s="2780"/>
      <c r="F39" s="2780"/>
      <c r="G39" s="2781"/>
      <c r="I39" s="2797">
        <v>30</v>
      </c>
      <c r="J39" s="2797">
        <v>93.8</v>
      </c>
      <c r="K39" s="2797">
        <f t="shared" si="3"/>
        <v>4.5</v>
      </c>
      <c r="L39" s="2797" t="s">
        <v>2569</v>
      </c>
      <c r="N39" s="3150">
        <v>6</v>
      </c>
    </row>
    <row r="40" spans="1:14">
      <c r="A40" s="2782" t="s">
        <v>2540</v>
      </c>
      <c r="B40" s="2783"/>
      <c r="C40" s="2783"/>
      <c r="D40" s="2783"/>
      <c r="E40" s="2783"/>
      <c r="F40" s="2783"/>
      <c r="G40" s="2784"/>
      <c r="I40" s="2797">
        <v>35</v>
      </c>
      <c r="J40" s="2797">
        <v>97.2</v>
      </c>
      <c r="K40" s="2797">
        <f t="shared" si="3"/>
        <v>3.4000000000000057</v>
      </c>
      <c r="L40" s="2797" t="s">
        <v>2570</v>
      </c>
      <c r="N40" s="3150">
        <v>3</v>
      </c>
    </row>
    <row r="41" spans="1:14">
      <c r="A41" s="2785" t="s">
        <v>2541</v>
      </c>
      <c r="B41" s="2786" t="s">
        <v>2542</v>
      </c>
      <c r="C41" s="2787" t="s">
        <v>2543</v>
      </c>
      <c r="D41" s="2787" t="s">
        <v>2544</v>
      </c>
      <c r="E41" s="2788"/>
      <c r="F41" s="2789"/>
      <c r="G41" s="2790"/>
      <c r="I41" s="2797">
        <v>40</v>
      </c>
      <c r="J41" s="2797">
        <v>100</v>
      </c>
      <c r="K41" s="2797">
        <f t="shared" si="3"/>
        <v>2.7999999999999972</v>
      </c>
    </row>
    <row r="42" spans="1:14">
      <c r="A42" s="2785" t="s">
        <v>2545</v>
      </c>
      <c r="B42" s="2786" t="s">
        <v>2546</v>
      </c>
      <c r="C42" s="2787" t="s">
        <v>2547</v>
      </c>
      <c r="D42" s="2791" t="s">
        <v>2548</v>
      </c>
      <c r="E42" s="2783" t="s">
        <v>2549</v>
      </c>
      <c r="F42" s="2783"/>
      <c r="G42" s="2784"/>
    </row>
    <row r="43" spans="1:14">
      <c r="A43" s="2785" t="s">
        <v>2550</v>
      </c>
      <c r="B43" s="2786" t="s">
        <v>2551</v>
      </c>
      <c r="C43" s="2787" t="s">
        <v>2552</v>
      </c>
      <c r="D43" s="2787" t="s">
        <v>2553</v>
      </c>
      <c r="E43" s="2788" t="s">
        <v>2554</v>
      </c>
      <c r="F43" s="2789"/>
      <c r="G43" s="2790"/>
      <c r="I43" s="2797" t="s">
        <v>2562</v>
      </c>
      <c r="J43" s="2797" t="s">
        <v>2573</v>
      </c>
    </row>
    <row r="44" spans="1:14">
      <c r="A44" s="2785" t="s">
        <v>2555</v>
      </c>
      <c r="B44" s="2786" t="s">
        <v>2556</v>
      </c>
      <c r="C44" s="2787" t="s">
        <v>2557</v>
      </c>
      <c r="D44" s="2791">
        <v>0.5</v>
      </c>
      <c r="E44" s="2788" t="s">
        <v>2558</v>
      </c>
      <c r="F44" s="2789"/>
      <c r="G44" s="2790"/>
      <c r="I44" s="2797">
        <v>30</v>
      </c>
      <c r="J44" s="2797">
        <v>81.7</v>
      </c>
    </row>
    <row r="45" spans="1:14" ht="15" thickBot="1">
      <c r="A45" s="2792" t="s">
        <v>2559</v>
      </c>
      <c r="B45" s="2793" t="s">
        <v>2546</v>
      </c>
      <c r="C45" s="2794" t="s">
        <v>2546</v>
      </c>
      <c r="D45" s="2794" t="s">
        <v>2560</v>
      </c>
      <c r="E45" s="2795" t="s">
        <v>2561</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3384</v>
      </c>
    </row>
    <row r="50" spans="1:4">
      <c r="A50" s="3142" t="s">
        <v>3385</v>
      </c>
      <c r="B50" s="3142" t="s">
        <v>3386</v>
      </c>
      <c r="C50" s="3142" t="s">
        <v>3387</v>
      </c>
      <c r="D50" s="3142" t="s">
        <v>3388</v>
      </c>
    </row>
    <row r="51" spans="1:4">
      <c r="A51" s="3142" t="s">
        <v>3389</v>
      </c>
      <c r="B51" s="2762">
        <f>B52+B53</f>
        <v>15000</v>
      </c>
      <c r="C51" s="3143">
        <f>D51/B51</f>
        <v>2666.6666666666665</v>
      </c>
      <c r="D51" s="2762">
        <f>D52+D53</f>
        <v>40000000</v>
      </c>
    </row>
    <row r="52" spans="1:4">
      <c r="A52" s="3144" t="s">
        <v>3390</v>
      </c>
      <c r="B52" s="3145">
        <v>10000</v>
      </c>
      <c r="C52" s="3145">
        <v>1500</v>
      </c>
      <c r="D52" s="3146">
        <f>C52*B52</f>
        <v>15000000</v>
      </c>
    </row>
    <row r="53" spans="1:4">
      <c r="A53" s="3144" t="s">
        <v>3391</v>
      </c>
      <c r="B53" s="3145">
        <v>5000</v>
      </c>
      <c r="C53" s="3145">
        <v>5000</v>
      </c>
      <c r="D53" s="3146">
        <f>C53*B53</f>
        <v>25000000</v>
      </c>
    </row>
    <row r="54" spans="1:4">
      <c r="A54" s="3142" t="s">
        <v>3392</v>
      </c>
      <c r="B54" s="2762">
        <f>B51</f>
        <v>15000</v>
      </c>
      <c r="C54" s="2768">
        <v>700</v>
      </c>
      <c r="D54" s="2762">
        <f t="shared" ref="D54:D55" si="5">C54*B54</f>
        <v>10500000</v>
      </c>
    </row>
    <row r="55" spans="1:4">
      <c r="A55" s="3142" t="s">
        <v>3393</v>
      </c>
      <c r="B55" s="2762">
        <f>B51</f>
        <v>15000</v>
      </c>
      <c r="C55" s="2768">
        <v>1500</v>
      </c>
      <c r="D55" s="2762">
        <f t="shared" si="5"/>
        <v>22500000</v>
      </c>
    </row>
    <row r="56" spans="1:4">
      <c r="A56" s="3142" t="s">
        <v>3394</v>
      </c>
      <c r="B56" s="2762">
        <f>B51</f>
        <v>15000</v>
      </c>
      <c r="C56" s="3147">
        <f>C51+C54+C55</f>
        <v>4866.6666666666661</v>
      </c>
      <c r="D56" s="2762">
        <f>D51+D54+D55</f>
        <v>73000000</v>
      </c>
    </row>
    <row r="58" spans="1:4">
      <c r="A58" s="3142" t="s">
        <v>3395</v>
      </c>
      <c r="B58" s="3148">
        <v>0.05</v>
      </c>
      <c r="C58" s="2762">
        <f>C56*(1+B58)</f>
        <v>5110</v>
      </c>
      <c r="D58" s="2762">
        <f>D56*B58</f>
        <v>3650000</v>
      </c>
    </row>
    <row r="60" spans="1:4">
      <c r="A60" s="3142" t="s">
        <v>3396</v>
      </c>
      <c r="B60" s="2768">
        <v>3500</v>
      </c>
      <c r="C60" s="2768">
        <f>C53</f>
        <v>5000</v>
      </c>
      <c r="D60" s="2762">
        <f>C60*B60</f>
        <v>17500000</v>
      </c>
    </row>
    <row r="62" spans="1:4">
      <c r="A62" s="3142" t="s">
        <v>3397</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9" sqref="L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2166</v>
      </c>
      <c r="B1" s="3245" t="str">
        <f>IF(B10="北京市","北京市",C10)&amp;F10&amp;IF(结果表!G1="在建","出让国有建设用地使用权及在建建筑物",IF(结果表!G1="土地","出让国有建设用地使用权",))&amp;B9&amp;"预评估"</f>
        <v>北京市密云区滨河路178号院3号楼2层2单元201等共计156套房地产抵押价值预评估</v>
      </c>
      <c r="C1" s="3246"/>
      <c r="D1" s="3246"/>
      <c r="E1" s="3246"/>
      <c r="F1" s="3246"/>
      <c r="G1" s="3246"/>
      <c r="H1" s="3246"/>
      <c r="I1" s="3247"/>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北京市密云区滨河路178号院3号楼2层2单元201等共计156套房地产抵押价值</v>
      </c>
      <c r="T1" s="1618"/>
      <c r="U1" s="1618"/>
      <c r="V1" s="1618"/>
      <c r="W1" s="1618"/>
      <c r="X1" s="1618"/>
      <c r="Y1" s="1618"/>
      <c r="Z1" s="1618"/>
      <c r="AA1" s="1618"/>
      <c r="AB1" s="1618"/>
    </row>
    <row r="2" spans="1:30">
      <c r="A2" s="2181" t="s">
        <v>2167</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北京市密云区滨河路178号院3号楼2层2单元201等共计156套房地产</v>
      </c>
      <c r="T2" s="1618"/>
      <c r="U2" s="1618"/>
      <c r="V2" s="1618"/>
      <c r="W2" s="1618"/>
      <c r="X2" s="1618"/>
      <c r="Y2" s="1618"/>
      <c r="Z2" s="1618"/>
      <c r="AA2" s="1618"/>
      <c r="AB2" s="1618"/>
    </row>
    <row r="3" spans="1:30">
      <c r="A3" s="294" t="s">
        <v>2168</v>
      </c>
      <c r="B3" s="2184">
        <v>45875</v>
      </c>
      <c r="C3" s="2185" t="s">
        <v>2169</v>
      </c>
      <c r="D3" s="2184">
        <f>B3</f>
        <v>45875</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2170</v>
      </c>
      <c r="B4" s="2186" t="s">
        <v>3902</v>
      </c>
      <c r="C4" s="2187">
        <f ca="1">SUMIF(注册房地产估价师,B4,估价师及机构信息!B3:B24)</f>
        <v>1120070131</v>
      </c>
      <c r="D4" s="2186" t="s">
        <v>3903</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郑燚（注册号：1120070131)、吴薇（注册号：1419970001)</v>
      </c>
      <c r="L4" s="2183"/>
      <c r="M4" s="2183"/>
      <c r="N4" s="2181"/>
      <c r="O4" s="1466"/>
      <c r="P4" s="2181"/>
      <c r="Q4" s="2181"/>
      <c r="R4" s="2181"/>
      <c r="S4" s="1561"/>
      <c r="T4" s="1618"/>
      <c r="U4" s="1618"/>
      <c r="V4" s="1618"/>
      <c r="W4" s="1618"/>
      <c r="X4" s="1618"/>
      <c r="Y4" s="1618"/>
      <c r="Z4" s="1618"/>
      <c r="AA4" s="1618"/>
      <c r="AB4" s="1618"/>
    </row>
    <row r="5" spans="1:30" ht="13.8" thickTop="1">
      <c r="A5" s="2189" t="s">
        <v>2171</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2172</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2173</v>
      </c>
      <c r="B7" s="2197"/>
      <c r="C7" s="2195"/>
      <c r="D7" s="2196"/>
      <c r="E7" s="2439"/>
      <c r="F7" s="2440"/>
      <c r="G7" s="2440"/>
      <c r="H7" s="2440"/>
      <c r="I7" s="2440"/>
      <c r="J7" s="2243"/>
      <c r="K7" s="2400"/>
      <c r="L7" s="2397"/>
      <c r="M7" s="2397"/>
      <c r="N7" s="2243"/>
      <c r="O7" s="1670"/>
      <c r="P7" s="2243"/>
      <c r="Q7" s="2243"/>
      <c r="R7" s="2243"/>
    </row>
    <row r="8" spans="1:30">
      <c r="A8" s="2198" t="s">
        <v>2174</v>
      </c>
      <c r="B8" s="2199" t="s">
        <v>3904</v>
      </c>
      <c r="C8" s="2200"/>
      <c r="D8" s="3248" t="s">
        <v>2175</v>
      </c>
      <c r="E8" s="2201" t="s">
        <v>3905</v>
      </c>
      <c r="F8" s="2202"/>
      <c r="G8" s="2440"/>
      <c r="H8" s="2440"/>
      <c r="I8" s="2440"/>
      <c r="J8" s="2243"/>
      <c r="K8" s="2398"/>
      <c r="L8" s="2397"/>
      <c r="M8" s="2397"/>
      <c r="N8" s="2243"/>
      <c r="O8" s="1670"/>
      <c r="P8" s="2243"/>
      <c r="Q8" s="2243"/>
      <c r="R8" s="2243"/>
    </row>
    <row r="9" spans="1:30" ht="13.8" thickBot="1">
      <c r="A9" s="2203" t="s">
        <v>2176</v>
      </c>
      <c r="B9" s="2204" t="s">
        <v>3905</v>
      </c>
      <c r="C9" s="2205"/>
      <c r="D9" s="3249"/>
      <c r="E9" s="2204" t="s">
        <v>587</v>
      </c>
      <c r="F9" s="2206"/>
      <c r="G9" s="2441"/>
      <c r="H9" s="2441"/>
      <c r="I9" s="2441"/>
      <c r="J9" s="2243"/>
      <c r="K9" s="2400"/>
      <c r="L9" s="2397"/>
      <c r="M9" s="2397"/>
      <c r="N9" s="2243"/>
      <c r="O9" s="1670"/>
      <c r="P9" s="2243"/>
      <c r="Q9" s="2243"/>
      <c r="R9" s="2243"/>
    </row>
    <row r="10" spans="1:30" ht="13.8" thickTop="1">
      <c r="A10" s="2207" t="s">
        <v>2177</v>
      </c>
      <c r="B10" s="2208" t="s">
        <v>3906</v>
      </c>
      <c r="C10" s="2209"/>
      <c r="D10" s="2192"/>
      <c r="E10" s="2210" t="s">
        <v>2178</v>
      </c>
      <c r="F10" s="3201" t="s">
        <v>3995</v>
      </c>
      <c r="G10" s="2442"/>
      <c r="H10" s="2443"/>
      <c r="I10" s="2444"/>
      <c r="J10" s="2243"/>
      <c r="K10" s="2400"/>
      <c r="L10" s="2397"/>
      <c r="M10" s="2397"/>
      <c r="N10" s="2243"/>
      <c r="O10" s="1670"/>
      <c r="P10" s="2243"/>
      <c r="Q10" s="2243"/>
      <c r="R10" s="2243"/>
    </row>
    <row r="11" spans="1:30" ht="48">
      <c r="A11" s="2211" t="s">
        <v>2179</v>
      </c>
      <c r="B11" s="2212" t="s">
        <v>3907</v>
      </c>
      <c r="C11" s="3200" t="s">
        <v>3994</v>
      </c>
      <c r="D11" s="2213"/>
      <c r="E11" s="2181"/>
      <c r="F11" s="2181"/>
      <c r="G11" s="2181"/>
      <c r="H11" s="2181"/>
      <c r="I11" s="2181"/>
      <c r="J11" s="2799"/>
      <c r="K11" s="2397"/>
      <c r="L11" s="2397"/>
      <c r="M11" s="2397"/>
      <c r="N11" s="2243"/>
      <c r="O11" s="1670"/>
      <c r="P11" s="2243"/>
      <c r="Q11" s="2243"/>
      <c r="R11" s="2243"/>
    </row>
    <row r="12" spans="1:30">
      <c r="A12" s="2214" t="s">
        <v>2180</v>
      </c>
      <c r="B12" s="315" t="s">
        <v>2181</v>
      </c>
      <c r="C12" s="2215" t="s">
        <v>2182</v>
      </c>
      <c r="D12" s="2215" t="s">
        <v>2183</v>
      </c>
      <c r="E12" s="2215" t="s">
        <v>2184</v>
      </c>
      <c r="F12" s="2215" t="s">
        <v>2185</v>
      </c>
      <c r="G12" s="2215" t="s">
        <v>2186</v>
      </c>
      <c r="H12" s="2215" t="s">
        <v>2187</v>
      </c>
      <c r="I12" s="2798" t="s">
        <v>2574</v>
      </c>
      <c r="J12" s="2800"/>
      <c r="K12" s="2397"/>
      <c r="L12" s="2397"/>
      <c r="M12" s="2243"/>
      <c r="N12" s="1670"/>
      <c r="O12" s="2243"/>
      <c r="P12" s="2243"/>
      <c r="Q12" s="2243"/>
      <c r="AD12" s="1618"/>
    </row>
    <row r="13" spans="1:30">
      <c r="A13" s="3119" t="s">
        <v>3329</v>
      </c>
      <c r="B13" s="2216" t="s">
        <v>2188</v>
      </c>
      <c r="C13" s="803"/>
      <c r="D13" s="803"/>
      <c r="E13" s="803">
        <v>59522</v>
      </c>
      <c r="F13" s="803"/>
      <c r="G13" s="803"/>
      <c r="H13" s="803"/>
      <c r="I13" s="803"/>
      <c r="J13" s="2800"/>
      <c r="K13" s="2397"/>
      <c r="L13" s="2397"/>
      <c r="M13" s="2243"/>
      <c r="N13" s="1670"/>
      <c r="O13" s="2243"/>
      <c r="P13" s="2243"/>
      <c r="Q13" s="2243"/>
      <c r="AD13" s="1618"/>
    </row>
    <row r="14" spans="1:30">
      <c r="A14" s="1018"/>
      <c r="B14" s="2216" t="s">
        <v>2189</v>
      </c>
      <c r="C14" s="2217"/>
      <c r="D14" s="2217"/>
      <c r="E14" s="2217">
        <v>50</v>
      </c>
      <c r="F14" s="2217"/>
      <c r="G14" s="2217"/>
      <c r="H14" s="2217"/>
      <c r="I14" s="2217"/>
      <c r="J14" s="2801"/>
      <c r="K14" s="2397"/>
      <c r="L14" s="2397"/>
      <c r="M14" s="2243"/>
      <c r="N14" s="1670"/>
      <c r="O14" s="2243"/>
      <c r="P14" s="2243"/>
      <c r="Q14" s="2243"/>
      <c r="AD14" s="1618"/>
    </row>
    <row r="15" spans="1:30">
      <c r="A15" s="312"/>
      <c r="B15" s="2218" t="s">
        <v>2190</v>
      </c>
      <c r="C15" s="2219" t="str">
        <f>IF(A13="出让",IF(C13="","",ROUNDDOWN(MIN((C13-$D$3)/365,C14),2)),C14)</f>
        <v/>
      </c>
      <c r="D15" s="2219" t="str">
        <f>IF(A13="出让",IF(D13="","",ROUNDDOWN(MIN((D13-$D$3)/365,D14),2)),D14)</f>
        <v/>
      </c>
      <c r="E15" s="2219">
        <f>IF(A13="出让",IF(E13="","",ROUNDDOWN(MIN((E13-$D$3)/365,E14),2)),E14)</f>
        <v>37.380000000000003</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2191</v>
      </c>
      <c r="B16" s="3255" t="s">
        <v>3908</v>
      </c>
      <c r="C16" s="3256"/>
      <c r="D16" s="3257"/>
      <c r="E16" s="2220" t="s">
        <v>2192</v>
      </c>
      <c r="F16" s="3258"/>
      <c r="G16" s="3259"/>
      <c r="H16" s="3259"/>
      <c r="I16" s="3260"/>
      <c r="J16" s="2243"/>
      <c r="K16" s="2401"/>
      <c r="L16" s="1670"/>
      <c r="M16" s="1670"/>
      <c r="N16" s="2243"/>
      <c r="O16" s="1670"/>
      <c r="P16" s="2243"/>
      <c r="Q16" s="2243"/>
      <c r="R16" s="2243"/>
    </row>
    <row r="17" spans="1:28">
      <c r="A17" s="305" t="s">
        <v>2193</v>
      </c>
      <c r="B17" s="294" t="s">
        <v>2194</v>
      </c>
      <c r="C17" s="8">
        <f>'数据-汇总表'!E3</f>
        <v>81.709999999999994</v>
      </c>
      <c r="D17" s="1256" t="s">
        <v>2195</v>
      </c>
      <c r="E17" s="3261" t="s">
        <v>2196</v>
      </c>
      <c r="F17" s="3262"/>
      <c r="G17" s="3262"/>
      <c r="H17" s="3262"/>
      <c r="I17" s="3263"/>
      <c r="J17" s="2243"/>
      <c r="K17" s="2402"/>
      <c r="L17" s="1670"/>
      <c r="M17" s="1670"/>
      <c r="N17" s="2243"/>
      <c r="O17" s="1670"/>
      <c r="P17" s="2243"/>
      <c r="Q17" s="2243"/>
      <c r="R17" s="2243"/>
      <c r="S17" s="2243"/>
      <c r="T17" s="2243"/>
      <c r="U17" s="2243"/>
      <c r="V17" s="2243"/>
    </row>
    <row r="18" spans="1:28" ht="24.6" thickBot="1">
      <c r="A18" s="2221" t="s">
        <v>2197</v>
      </c>
      <c r="B18" s="1027" t="s">
        <v>2198</v>
      </c>
      <c r="C18" s="2222">
        <f>'数据-汇总表'!D3</f>
        <v>0</v>
      </c>
      <c r="D18" s="1029" t="s">
        <v>2199</v>
      </c>
      <c r="E18" s="3264" t="s">
        <v>2200</v>
      </c>
      <c r="F18" s="3265"/>
      <c r="G18" s="3265"/>
      <c r="H18" s="3265"/>
      <c r="I18" s="3266"/>
      <c r="J18" s="2243"/>
      <c r="K18" s="2402"/>
      <c r="L18" s="1670"/>
      <c r="M18" s="1670"/>
      <c r="N18" s="2243"/>
      <c r="O18" s="1670"/>
      <c r="P18" s="2243"/>
      <c r="Q18" s="2243"/>
      <c r="R18" s="2243"/>
      <c r="S18" s="2243"/>
      <c r="T18" s="2243"/>
      <c r="U18" s="2243"/>
      <c r="V18" s="2243"/>
    </row>
    <row r="19" spans="1:28" ht="37.200000000000003" thickTop="1" thickBot="1">
      <c r="A19" s="319" t="s">
        <v>1055</v>
      </c>
      <c r="B19" s="299" t="s">
        <v>2201</v>
      </c>
      <c r="C19" s="1455" t="s">
        <v>3909</v>
      </c>
      <c r="D19" s="1456" t="s">
        <v>2202</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2203</v>
      </c>
      <c r="B20" s="3251" t="s">
        <v>2204</v>
      </c>
      <c r="C20" s="3252"/>
      <c r="D20" s="3253" t="s">
        <v>2205</v>
      </c>
      <c r="E20" s="3254"/>
      <c r="F20" s="2428" t="s">
        <v>1056</v>
      </c>
      <c r="G20" s="2440"/>
      <c r="H20" s="2440"/>
      <c r="I20" s="2440"/>
      <c r="J20" s="2243"/>
      <c r="K20" s="3250"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2207</v>
      </c>
      <c r="C21" s="2294" t="s">
        <v>1057</v>
      </c>
      <c r="D21" s="1460" t="s">
        <v>2208</v>
      </c>
      <c r="E21" s="2417" t="s">
        <v>1057</v>
      </c>
      <c r="F21" s="2429"/>
      <c r="G21" s="2440"/>
      <c r="H21" s="2440"/>
      <c r="I21" s="2440"/>
      <c r="J21" s="2243"/>
      <c r="K21" s="325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2209</v>
      </c>
      <c r="C22" s="2294" t="s">
        <v>1058</v>
      </c>
      <c r="D22" s="2440"/>
      <c r="E22" s="2440"/>
      <c r="F22" s="2440"/>
      <c r="G22" s="2440"/>
      <c r="H22" s="2440"/>
      <c r="I22" s="2440"/>
      <c r="J22" s="2243"/>
      <c r="K22" s="325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2210</v>
      </c>
      <c r="B23" s="2291" t="s">
        <v>2211</v>
      </c>
      <c r="C23" s="2420"/>
      <c r="D23" s="2421" t="s">
        <v>2211</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68" t="s">
        <v>2212</v>
      </c>
      <c r="B27" s="312" t="s">
        <v>2213</v>
      </c>
      <c r="C27" s="2223" t="s">
        <v>3910</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68"/>
      <c r="B28" s="294" t="s">
        <v>2214</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68"/>
      <c r="B29" s="294" t="s">
        <v>2215</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69"/>
      <c r="B30" s="294" t="s">
        <v>2216</v>
      </c>
      <c r="C30" s="3270"/>
      <c r="D30" s="3271"/>
      <c r="E30" s="2440"/>
      <c r="F30" s="2440"/>
      <c r="G30" s="2440"/>
      <c r="H30" s="2440"/>
      <c r="I30" s="2440"/>
      <c r="J30" s="2243"/>
      <c r="K30" s="2400"/>
      <c r="L30" s="2397"/>
      <c r="M30" s="2397"/>
      <c r="N30" s="2243"/>
      <c r="O30" s="1670"/>
      <c r="P30" s="2243"/>
      <c r="Q30" s="2243"/>
      <c r="R30" s="2243"/>
      <c r="S30" s="2243"/>
      <c r="T30" s="2243"/>
      <c r="U30" s="2243"/>
      <c r="V30" s="2243"/>
    </row>
    <row r="31" spans="1:28">
      <c r="A31" s="3272" t="s">
        <v>2217</v>
      </c>
      <c r="B31" s="2229" t="s">
        <v>3911</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73"/>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73"/>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2218</v>
      </c>
      <c r="B34" s="1870"/>
      <c r="C34" s="1870"/>
      <c r="D34" s="1870"/>
      <c r="E34" s="1870"/>
      <c r="F34" s="1870"/>
      <c r="G34" s="1870"/>
      <c r="H34" s="1870"/>
      <c r="I34" s="2440"/>
      <c r="J34" s="2243"/>
      <c r="K34" s="8">
        <f>COUNTIF(B34:H34,"——")</f>
        <v>0</v>
      </c>
      <c r="L34" s="315" t="s">
        <v>2219</v>
      </c>
      <c r="M34" s="315" t="s">
        <v>2220</v>
      </c>
      <c r="N34" s="315" t="s">
        <v>2221</v>
      </c>
      <c r="O34" s="315" t="s">
        <v>2222</v>
      </c>
      <c r="P34" s="315" t="s">
        <v>2223</v>
      </c>
      <c r="Q34" s="315" t="s">
        <v>2224</v>
      </c>
      <c r="R34" s="315" t="s">
        <v>2225</v>
      </c>
      <c r="S34" s="3267" t="s">
        <v>2226</v>
      </c>
      <c r="T34" s="315" t="str">
        <f>NUMBERSTRING(7-K34,1)&amp;"通"</f>
        <v>七通</v>
      </c>
      <c r="U34" s="2243"/>
      <c r="V34" s="2243"/>
    </row>
    <row r="35" spans="1:30">
      <c r="A35" s="2234"/>
      <c r="B35" s="3267" t="s">
        <v>2227</v>
      </c>
      <c r="C35" s="3267"/>
      <c r="D35" s="3267"/>
      <c r="E35" s="3267"/>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7"/>
      <c r="T35" s="138" t="str">
        <f>IF(T34="一通",L35,IF(T34="二通",M35,IF(T34="三通",N35,IF(T34="四通",O35,IF(T34="五通",P35,IF(T34="六通",Q35,R35))))))</f>
        <v>、、、、、、</v>
      </c>
      <c r="U35" s="2243"/>
      <c r="V35" s="2243"/>
    </row>
    <row r="36" spans="1:30">
      <c r="A36" s="2182"/>
      <c r="B36" s="8" t="s">
        <v>2183</v>
      </c>
      <c r="C36" s="8" t="s">
        <v>2184</v>
      </c>
      <c r="D36" s="8" t="s">
        <v>2182</v>
      </c>
      <c r="E36" s="8" t="s">
        <v>2187</v>
      </c>
      <c r="F36" s="2798" t="s">
        <v>2577</v>
      </c>
      <c r="G36" s="2440"/>
      <c r="H36" s="2440"/>
      <c r="I36" s="2440"/>
      <c r="J36" s="2243"/>
      <c r="K36" s="2400"/>
      <c r="L36" s="2397"/>
      <c r="M36" s="2397"/>
      <c r="N36" s="2243"/>
      <c r="O36" s="1670"/>
      <c r="P36" s="2243"/>
      <c r="Q36" s="2243"/>
      <c r="R36" s="2243"/>
      <c r="S36" s="2243"/>
      <c r="T36" s="2243"/>
      <c r="U36" s="2243"/>
      <c r="V36" s="2243"/>
    </row>
    <row r="37" spans="1:30">
      <c r="A37" s="2413" t="s">
        <v>2228</v>
      </c>
      <c r="B37" s="2235"/>
      <c r="C37" s="2235" t="s">
        <v>306</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2229</v>
      </c>
      <c r="B38" s="2236"/>
      <c r="C38" s="2236" t="s">
        <v>3912</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2230</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2231</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2232</v>
      </c>
      <c r="B42" s="8" t="s">
        <v>2233</v>
      </c>
      <c r="C42" s="8" t="s">
        <v>2234</v>
      </c>
      <c r="D42" s="8" t="s">
        <v>2235</v>
      </c>
      <c r="E42" s="8" t="s">
        <v>2236</v>
      </c>
      <c r="F42" s="8" t="s">
        <v>2237</v>
      </c>
      <c r="G42" s="8" t="s">
        <v>2238</v>
      </c>
      <c r="H42" s="8" t="s">
        <v>2239</v>
      </c>
      <c r="I42" s="8" t="s">
        <v>2240</v>
      </c>
      <c r="J42" s="2409" t="s">
        <v>2241</v>
      </c>
      <c r="K42" s="2410" t="s">
        <v>2242</v>
      </c>
      <c r="L42" s="2410" t="s">
        <v>2243</v>
      </c>
      <c r="M42" s="2410" t="s">
        <v>2244</v>
      </c>
      <c r="N42" s="2403" t="s">
        <v>2245</v>
      </c>
      <c r="O42" s="2403" t="s">
        <v>2246</v>
      </c>
      <c r="P42" s="2403" t="s">
        <v>2247</v>
      </c>
      <c r="Q42" s="2404" t="s">
        <v>2248</v>
      </c>
      <c r="R42" s="2404" t="s">
        <v>2249</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81.709999999999994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81.709999999999994</v>
      </c>
      <c r="H5" s="13">
        <f t="shared" ref="H5:AT5" si="0">SUM(H13:H656)</f>
        <v>81.709999999999994</v>
      </c>
      <c r="I5" s="13">
        <f t="shared" si="0"/>
        <v>81.709999999999994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81.709999999999994</v>
      </c>
      <c r="BA5" s="15">
        <f t="shared" si="1"/>
        <v>81.709999999999994</v>
      </c>
      <c r="BB5" s="15">
        <f t="shared" si="1"/>
        <v>81.709999999999994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3914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面积清单!H4</f>
        <v>2单元203</v>
      </c>
      <c r="D13" s="1513" t="s">
        <v>3913</v>
      </c>
      <c r="E13" s="13">
        <f>IF($C$3="是",ROUND($A$3*G13/$B$3,2),ROUND($A$3*(G13-AT13)/$B$3,2))</f>
        <v>0</v>
      </c>
      <c r="F13" s="29"/>
      <c r="G13" s="30">
        <f>H13+AC13+AT13</f>
        <v>81.709999999999994</v>
      </c>
      <c r="H13" s="17">
        <f>SUMIF(I$12:AB$12,"总值",I13:AB13)</f>
        <v>81.709999999999994</v>
      </c>
      <c r="I13" s="1514">
        <f>面积清单!J4</f>
        <v>81.709999999999994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2单元203</v>
      </c>
      <c r="AY13" s="1260">
        <f>ROUND($AY$6*AZ13/$AZ$5,2)</f>
        <v>0</v>
      </c>
      <c r="AZ13" s="13">
        <f>BA13+BL13</f>
        <v>81.709999999999994</v>
      </c>
      <c r="BA13" s="13">
        <f>SUM(BB13:BK13)</f>
        <v>81.709999999999994</v>
      </c>
      <c r="BB13" s="13">
        <f>IF($D13="是",I13-J13,0)</f>
        <v>81.709999999999994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83" t="s">
        <v>1131</v>
      </c>
      <c r="B2" s="3283"/>
      <c r="C2" s="3283"/>
      <c r="D2" s="748" t="s">
        <v>1107</v>
      </c>
      <c r="E2" s="1523" t="s">
        <v>1108</v>
      </c>
      <c r="F2" s="2437"/>
      <c r="G2" s="2430"/>
      <c r="H2" s="2431"/>
      <c r="I2" s="2145" t="s">
        <v>1132</v>
      </c>
      <c r="J2" s="2437"/>
      <c r="K2" s="2437"/>
      <c r="L2" s="2437"/>
      <c r="M2" s="2437"/>
      <c r="N2" s="2438"/>
      <c r="O2" s="2437"/>
      <c r="P2" s="2437"/>
    </row>
    <row r="3" spans="1:16" ht="15" thickBot="1">
      <c r="A3" s="3284" t="s">
        <v>1105</v>
      </c>
      <c r="B3" s="3284"/>
      <c r="C3" s="3284"/>
      <c r="D3" s="41">
        <f>'数据-基础表'!AY6</f>
        <v>0</v>
      </c>
      <c r="E3" s="41">
        <f>'数据-基础表'!AZ5</f>
        <v>81.709999999999994</v>
      </c>
      <c r="F3" s="2437"/>
      <c r="G3" s="42"/>
      <c r="H3" s="43" t="s">
        <v>1106</v>
      </c>
      <c r="I3" s="802" t="e">
        <f>ROUND('数据-基础表'!B3/'数据-基础表'!A3,2)</f>
        <v>#DIV/0!</v>
      </c>
      <c r="J3" s="2437"/>
      <c r="K3" s="2437"/>
      <c r="L3" s="2437"/>
      <c r="M3" s="2437"/>
      <c r="N3" s="2438"/>
      <c r="O3" s="2437"/>
      <c r="P3" s="2437"/>
    </row>
    <row r="4" spans="1:16" ht="14.4">
      <c r="A4" s="3285"/>
      <c r="B4" s="3286"/>
      <c r="C4" s="328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88" t="s">
        <v>1110</v>
      </c>
      <c r="C5" s="3288"/>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88" t="s">
        <v>1111</v>
      </c>
      <c r="C6" s="3288"/>
      <c r="D6" s="43">
        <f>ROUND($D$3*E6/$E$3,2)</f>
        <v>0</v>
      </c>
      <c r="E6" s="44">
        <f>E3-E5</f>
        <v>81.709999999999994</v>
      </c>
      <c r="F6" s="2437"/>
      <c r="G6" s="1529" t="s">
        <v>1112</v>
      </c>
      <c r="H6" s="45" t="s">
        <v>1113</v>
      </c>
      <c r="I6" s="2433" t="e">
        <f>ROUND(F31/D31,2)</f>
        <v>#DIV/0!</v>
      </c>
      <c r="J6" s="2437"/>
      <c r="K6" s="2437"/>
      <c r="L6" s="2437"/>
      <c r="M6" s="2437"/>
      <c r="N6" s="2437"/>
      <c r="O6" s="2437"/>
      <c r="P6" s="2437"/>
    </row>
    <row r="7" spans="1:16" ht="15" thickBot="1">
      <c r="A7" s="3280"/>
      <c r="B7" s="3281"/>
      <c r="C7" s="3282"/>
      <c r="D7" s="1524" t="s">
        <v>1107</v>
      </c>
      <c r="E7" s="1528" t="s">
        <v>1114</v>
      </c>
      <c r="F7" s="2437"/>
      <c r="G7" s="2434" t="s">
        <v>1115</v>
      </c>
      <c r="H7" s="95"/>
      <c r="I7" s="2435">
        <v>2.6</v>
      </c>
      <c r="J7" s="3174" t="s">
        <v>3921</v>
      </c>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81.709999999999994</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81.709999999999994</v>
      </c>
      <c r="F16" s="2437"/>
      <c r="G16" s="2437"/>
      <c r="H16" s="1531" t="s">
        <v>1135</v>
      </c>
      <c r="I16" s="1532"/>
      <c r="J16" s="1071"/>
      <c r="K16" s="3277" t="s">
        <v>1135</v>
      </c>
      <c r="L16" s="3278"/>
      <c r="M16" s="3278"/>
      <c r="N16" s="3278"/>
      <c r="O16" s="3278"/>
      <c r="P16" s="3279"/>
    </row>
    <row r="17" spans="1:19" ht="14.4">
      <c r="A17" s="1533" t="s">
        <v>1136</v>
      </c>
      <c r="B17" s="1534" t="s">
        <v>1137</v>
      </c>
      <c r="C17" s="1535" t="s">
        <v>1138</v>
      </c>
      <c r="D17" s="1536" t="s">
        <v>1126</v>
      </c>
      <c r="E17" s="1537" t="s">
        <v>1127</v>
      </c>
      <c r="F17" s="1538"/>
      <c r="G17" s="1539"/>
      <c r="H17" s="1540" t="s">
        <v>1139</v>
      </c>
      <c r="I17" s="1541" t="s">
        <v>1124</v>
      </c>
      <c r="J17" s="1071"/>
      <c r="K17" s="3274" t="s">
        <v>1140</v>
      </c>
      <c r="L17" s="3275"/>
      <c r="M17" s="3276"/>
      <c r="N17" s="3274" t="s">
        <v>1141</v>
      </c>
      <c r="O17" s="3275"/>
      <c r="P17" s="327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tr">
        <f>面积清单!H4</f>
        <v>2单元203</v>
      </c>
      <c r="D19" s="43">
        <f>ROUND($D$3*E19/$E$3,2)</f>
        <v>0</v>
      </c>
      <c r="E19" s="51">
        <f t="shared" ref="E19:E26" si="1">SUM(F19:G19)</f>
        <v>81.709999999999994</v>
      </c>
      <c r="F19" s="2555">
        <f>'数据-基础表'!G13</f>
        <v>81.709999999999994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81.709999999999994</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81.709999999999994</v>
      </c>
      <c r="F27" s="1072">
        <f>IF(SUM(F19:F26)=E8,SUM(F19:F26),"地上面积有误")</f>
        <v>81.709999999999994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81.709999999999994</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81.709999999999994</v>
      </c>
      <c r="F31" s="644">
        <f>F27+F30</f>
        <v>81.709999999999994</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I6" activePane="bottomRight" state="frozen"/>
      <selection activeCell="C50" sqref="C50"/>
      <selection pane="topRight" activeCell="C50" sqref="C50"/>
      <selection pane="bottomLeft" activeCell="C50" sqref="C50"/>
      <selection pane="bottomRight" activeCell="B36" sqref="B3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45875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3915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2单元203</v>
      </c>
      <c r="B6" s="1587" t="str">
        <f>IF(A6=0,"","经营性")</f>
        <v>经营性</v>
      </c>
      <c r="C6" s="1588" t="s">
        <v>21</v>
      </c>
      <c r="D6" s="805">
        <f>SUMIF(项目基本情况!C$12:I$12,C6,项目基本情况!C$14:I$14)</f>
        <v>50</v>
      </c>
      <c r="E6" s="804">
        <f>IF(B6="","",SUMIF(项目基本情况!C$12:I$12,C6,项目基本情况!C$13:I$13))</f>
        <v>59522</v>
      </c>
      <c r="F6" s="61">
        <f>SUMIF(项目基本情况!C$12:I$12,C6,项目基本情况!C$15:I$15)</f>
        <v>37.380000000000003</v>
      </c>
      <c r="G6" s="62">
        <f>IF(ISERROR(ROUND(POWER(1+H6,D6-F6)*(POWER(1+H6,F6)-1)/(POWER(1+H6,D6)-1),3)),0,ROUND(POWER(1+H6,D6-F6)*(POWER(1+H6,F6)-1)/(POWER(1+H6,D6)-1),3))</f>
        <v>0.91900000000000004</v>
      </c>
      <c r="H6" s="691">
        <v>0.05</v>
      </c>
      <c r="I6" s="691">
        <v>5.5E-2</v>
      </c>
      <c r="J6" s="63">
        <v>7.0000000000000007E-2</v>
      </c>
      <c r="K6" s="970">
        <f>SUMIF('数据-汇总表'!C$19:C$33,A6,'数据-汇总表'!E$19:E$33)</f>
        <v>81.709999999999994</v>
      </c>
      <c r="L6" s="692">
        <v>4000</v>
      </c>
      <c r="M6" s="64">
        <f t="shared" ref="M6:M14" si="0">ROUND(K6*L6/10000,0)</f>
        <v>33</v>
      </c>
      <c r="N6" s="690">
        <f>N19</f>
        <v>0.88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86">
        <v>1.5</v>
      </c>
      <c r="V6" s="67">
        <v>0.02</v>
      </c>
      <c r="W6" s="67">
        <v>0.1</v>
      </c>
      <c r="X6" s="979"/>
      <c r="Y6" s="68">
        <f>N6</f>
        <v>0.88</v>
      </c>
      <c r="Z6" s="69"/>
      <c r="AA6" s="63"/>
      <c r="AB6" s="63"/>
      <c r="AC6" s="979"/>
      <c r="AD6" s="70"/>
      <c r="AE6" s="980">
        <f ca="1">IF(AN6="",0,SUMIF(INDIRECT("'"&amp;AN6&amp;"'"&amp;"!E:E"),$AE$5,INDIRECT("'"&amp;AN6&amp;"'"&amp;"!F:F")))</f>
        <v>37.380000000000003</v>
      </c>
      <c r="AF6" s="74"/>
      <c r="AG6" s="130">
        <f>IF(AF6="",0,AE6-AF6)</f>
        <v>0</v>
      </c>
      <c r="AH6" s="71"/>
      <c r="AI6" s="73">
        <v>365</v>
      </c>
      <c r="AJ6" s="74"/>
      <c r="AK6" s="75">
        <v>5.0000000000000001E-3</v>
      </c>
      <c r="AL6" s="76">
        <v>1E-3</v>
      </c>
      <c r="AM6" s="77">
        <v>0.01</v>
      </c>
      <c r="AN6" s="1589" t="s">
        <v>3960</v>
      </c>
      <c r="AO6" s="50">
        <f ca="1">SUMIF(INDIRECT("'"&amp;AN6&amp;"'"&amp;"!A:A"),"总价",INDIRECT("'"&amp;AN6&amp;"'"&amp;"!B:B"))</f>
        <v>63.436300000000003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0.91900000000000004</v>
      </c>
      <c r="H16" s="84">
        <f>ROUND(SUMPRODUCT(H6:H13,K6:K13)/SUMPRODUCT((H6:H13&gt;0)*(K6:K13)),3)</f>
        <v>0.05</v>
      </c>
      <c r="I16" s="85"/>
      <c r="J16" s="85"/>
      <c r="K16" s="86">
        <f>SUM(K6:K15)</f>
        <v>81.709999999999994</v>
      </c>
      <c r="L16" s="87">
        <f>ROUND(M16*10000/SUM(K6:K14),0)</f>
        <v>4039</v>
      </c>
      <c r="M16" s="87">
        <f>SUM(M6:M14)</f>
        <v>33</v>
      </c>
      <c r="N16" s="88">
        <f>ROUND(SUMPRODUCT(M6:M14,N6:N14)/M16,3)</f>
        <v>0.88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72" t="s">
        <v>3916</v>
      </c>
      <c r="N18" s="2446">
        <v>2018</v>
      </c>
      <c r="O18" s="3172" t="s">
        <v>3917</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2300</v>
      </c>
      <c r="D19" s="2449"/>
      <c r="E19" s="2437"/>
      <c r="F19" s="2437"/>
      <c r="G19" s="2437"/>
      <c r="H19" s="2437"/>
      <c r="I19" s="2437"/>
      <c r="J19" s="2437"/>
      <c r="K19" s="2447"/>
      <c r="L19" s="2447"/>
      <c r="M19" s="2446"/>
      <c r="N19" s="2446">
        <f>ROUND(1-(1-0)*(2025-N18)/60,2)</f>
        <v>0.88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2298</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150</v>
      </c>
      <c r="C27" s="2560" t="s">
        <v>2302</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190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 ca="1">'成本法 (元)'!C8/10000</f>
        <v>1.5525</v>
      </c>
      <c r="C29" s="2561" t="s">
        <v>2292</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3380</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2293</v>
      </c>
      <c r="D34" s="2457" t="s">
        <v>2299</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2294</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3398</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3381</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3382</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2308</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3173" t="s">
        <v>3918</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3383</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2295</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2296</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2295</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2297</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2301</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89" t="s">
        <v>2284</v>
      </c>
      <c r="B1" s="3290"/>
      <c r="C1" s="3290"/>
      <c r="D1" s="3290"/>
      <c r="E1" s="3290"/>
      <c r="F1" s="3290"/>
      <c r="G1" s="329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2279</v>
      </c>
      <c r="D2" s="1595"/>
      <c r="E2" s="2258"/>
      <c r="F2" s="2261"/>
      <c r="G2" s="2260" t="s">
        <v>2280</v>
      </c>
      <c r="H2" s="751"/>
      <c r="I2" s="751"/>
      <c r="J2" s="751"/>
      <c r="K2" s="751"/>
      <c r="L2" s="751"/>
      <c r="M2" s="751"/>
      <c r="N2" s="751"/>
      <c r="O2" s="751"/>
      <c r="P2" s="751"/>
      <c r="Q2" s="751"/>
    </row>
    <row r="3" spans="1:29" ht="48">
      <c r="A3" s="2245" t="s">
        <v>2281</v>
      </c>
      <c r="B3" s="2262" t="s">
        <v>2250</v>
      </c>
      <c r="C3" s="2263" t="s">
        <v>2282</v>
      </c>
      <c r="D3" s="2264"/>
      <c r="E3" s="2246" t="s">
        <v>2281</v>
      </c>
      <c r="F3" s="2265" t="s">
        <v>2251</v>
      </c>
      <c r="G3" s="2266" t="s">
        <v>2283</v>
      </c>
      <c r="H3" s="751"/>
      <c r="I3" s="751"/>
      <c r="J3" s="751"/>
      <c r="K3" s="751"/>
      <c r="L3" s="751"/>
      <c r="M3" s="751"/>
      <c r="N3" s="751"/>
      <c r="O3" s="751"/>
      <c r="P3" s="751"/>
      <c r="Q3" s="751"/>
    </row>
    <row r="4" spans="1:29" ht="37.200000000000003">
      <c r="A4" s="2246"/>
      <c r="B4" s="315" t="s">
        <v>2252</v>
      </c>
      <c r="C4" s="2267" t="s">
        <v>2253</v>
      </c>
      <c r="D4" s="2264"/>
      <c r="E4" s="2268"/>
      <c r="F4" s="1281" t="s">
        <v>2254</v>
      </c>
      <c r="G4" s="2269" t="s">
        <v>2255</v>
      </c>
      <c r="H4" s="751"/>
      <c r="I4" s="751"/>
      <c r="J4" s="751"/>
      <c r="K4" s="751"/>
      <c r="L4" s="751"/>
      <c r="M4" s="751"/>
      <c r="N4" s="751"/>
      <c r="O4" s="751"/>
      <c r="P4" s="751"/>
      <c r="Q4" s="751"/>
    </row>
    <row r="5" spans="1:29" ht="37.200000000000003">
      <c r="A5" s="2246"/>
      <c r="B5" s="315" t="s">
        <v>2256</v>
      </c>
      <c r="C5" s="2267" t="s">
        <v>2257</v>
      </c>
      <c r="D5" s="2264"/>
      <c r="E5" s="2268"/>
      <c r="F5" s="315" t="s">
        <v>2258</v>
      </c>
      <c r="G5" s="2269" t="s">
        <v>2259</v>
      </c>
      <c r="H5" s="751"/>
      <c r="I5" s="751"/>
      <c r="J5" s="751"/>
      <c r="K5" s="751"/>
      <c r="L5" s="751"/>
      <c r="M5" s="751"/>
      <c r="N5" s="751"/>
      <c r="O5" s="751"/>
      <c r="P5" s="751"/>
      <c r="Q5" s="751"/>
    </row>
    <row r="6" spans="1:29" ht="48">
      <c r="A6" s="2246"/>
      <c r="B6" s="315" t="s">
        <v>2260</v>
      </c>
      <c r="C6" s="2269" t="s">
        <v>2255</v>
      </c>
      <c r="D6" s="2264"/>
      <c r="E6" s="2268"/>
      <c r="F6" s="315" t="s">
        <v>2261</v>
      </c>
      <c r="G6" s="2269" t="s">
        <v>2262</v>
      </c>
      <c r="H6" s="751"/>
      <c r="I6" s="751"/>
      <c r="J6" s="751"/>
      <c r="K6" s="751"/>
      <c r="L6" s="751"/>
      <c r="M6" s="751"/>
      <c r="N6" s="751"/>
      <c r="O6" s="751"/>
      <c r="P6" s="751"/>
      <c r="Q6" s="751"/>
    </row>
    <row r="7" spans="1:29" ht="36.6" thickBot="1">
      <c r="A7" s="2246"/>
      <c r="B7" s="315" t="s">
        <v>2258</v>
      </c>
      <c r="C7" s="2269" t="s">
        <v>2259</v>
      </c>
      <c r="D7" s="2243"/>
      <c r="E7" s="2270"/>
      <c r="F7" s="2271" t="s">
        <v>2263</v>
      </c>
      <c r="G7" s="2272" t="s">
        <v>2264</v>
      </c>
      <c r="H7" s="751"/>
      <c r="I7" s="751"/>
      <c r="J7" s="751"/>
      <c r="K7" s="751"/>
      <c r="L7" s="751"/>
      <c r="M7" s="751"/>
      <c r="N7" s="751"/>
      <c r="O7" s="751"/>
      <c r="P7" s="751"/>
      <c r="Q7" s="751"/>
    </row>
    <row r="8" spans="1:29" ht="24">
      <c r="A8" s="2246"/>
      <c r="B8" s="315" t="s">
        <v>2261</v>
      </c>
      <c r="C8" s="2269" t="s">
        <v>2262</v>
      </c>
      <c r="D8" s="2243"/>
      <c r="E8" s="2243"/>
      <c r="F8" s="121"/>
      <c r="G8" s="121"/>
      <c r="H8" s="751"/>
      <c r="I8" s="751"/>
      <c r="J8" s="751"/>
      <c r="K8" s="751"/>
      <c r="L8" s="751"/>
      <c r="M8" s="751"/>
      <c r="N8" s="751"/>
      <c r="O8" s="751"/>
      <c r="P8" s="751"/>
      <c r="Q8" s="751"/>
    </row>
    <row r="9" spans="1:29" ht="24">
      <c r="A9" s="2246"/>
      <c r="B9" s="315" t="s">
        <v>2265</v>
      </c>
      <c r="C9" s="2267" t="s">
        <v>2266</v>
      </c>
      <c r="D9" s="2264"/>
      <c r="E9" s="2243"/>
      <c r="F9" s="121"/>
      <c r="G9" s="121"/>
      <c r="H9" s="751"/>
      <c r="I9" s="751"/>
      <c r="J9" s="751"/>
      <c r="K9" s="751"/>
      <c r="L9" s="751"/>
      <c r="M9" s="751"/>
      <c r="N9" s="751"/>
      <c r="O9" s="751"/>
      <c r="P9" s="751"/>
      <c r="Q9" s="751"/>
    </row>
    <row r="10" spans="1:29" ht="14.4" thickBot="1">
      <c r="A10" s="2247"/>
      <c r="B10" s="2273" t="s">
        <v>2267</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2285</v>
      </c>
      <c r="B13" s="2278"/>
      <c r="C13" s="2278"/>
      <c r="D13" s="2277"/>
      <c r="E13" s="2278"/>
      <c r="F13" s="2278"/>
      <c r="G13" s="2278"/>
    </row>
    <row r="14" spans="1:29" ht="14.4" thickBot="1">
      <c r="A14" s="2283"/>
      <c r="B14" s="2283"/>
      <c r="C14" s="2284" t="s">
        <v>2268</v>
      </c>
      <c r="D14" s="2264"/>
      <c r="E14" s="2285"/>
      <c r="F14" s="2285"/>
      <c r="G14" s="2260" t="s">
        <v>2269</v>
      </c>
    </row>
    <row r="15" spans="1:29" ht="52.8">
      <c r="A15" s="2248" t="s">
        <v>2270</v>
      </c>
      <c r="B15" s="2286" t="s">
        <v>2250</v>
      </c>
      <c r="C15" s="2287" t="str">
        <f>C3</f>
        <v>估价对象周边居住用地比例、居住小区规模和社区发展完善程度，综合评价居住社区成熟度一般</v>
      </c>
      <c r="D15" s="2264"/>
      <c r="E15" s="2249" t="s">
        <v>2271</v>
      </c>
      <c r="F15" s="2286" t="s">
        <v>2272</v>
      </c>
      <c r="G15" s="2288" t="str">
        <f>G3</f>
        <v>估价对象位于XX开发区，园区建设成熟度XX，产业集聚程度XX</v>
      </c>
    </row>
    <row r="16" spans="1:29" ht="39.6">
      <c r="A16" s="2250"/>
      <c r="B16" s="2289" t="s">
        <v>2252</v>
      </c>
      <c r="C16" s="2290" t="str">
        <f>C4</f>
        <v>估价对象位于XX商圈，周边商业氛围成熟，人流量大，商业繁华度好</v>
      </c>
      <c r="D16" s="2264"/>
      <c r="E16" s="2251"/>
      <c r="F16" s="2291" t="s">
        <v>2254</v>
      </c>
      <c r="G16" s="2292" t="str">
        <f>G4</f>
        <v>估价对象周边道路状况、公共交通通达情况、停车便捷程度，综合评价交通便捷度较好</v>
      </c>
    </row>
    <row r="17" spans="1:17" ht="39.6">
      <c r="A17" s="2250"/>
      <c r="B17" s="2289" t="s">
        <v>2256</v>
      </c>
      <c r="C17" s="2290" t="str">
        <f>C5</f>
        <v>估价对象位于XX商圈，周边办公楼项目较多，入驻率高，办公集聚程度较好</v>
      </c>
      <c r="D17" s="2243"/>
      <c r="E17" s="2251"/>
      <c r="F17" s="2291" t="s">
        <v>2273</v>
      </c>
      <c r="G17" s="2293"/>
    </row>
    <row r="18" spans="1:17" ht="52.8">
      <c r="A18" s="2250"/>
      <c r="B18" s="2291" t="s">
        <v>2260</v>
      </c>
      <c r="C18" s="2292" t="str">
        <f>C6</f>
        <v>估价对象周边道路状况、公共交通通达情况、停车便捷程度，综合评价交通便捷度较好</v>
      </c>
      <c r="D18" s="2243"/>
      <c r="E18" s="2251"/>
      <c r="F18" s="2291" t="s">
        <v>2263</v>
      </c>
      <c r="G18" s="2292" t="str">
        <f>G7</f>
        <v>该园区内是否有污染型企业，绿化情况，卫生条件，整体环境状况判断</v>
      </c>
    </row>
    <row r="19" spans="1:17" ht="26.4">
      <c r="A19" s="2250"/>
      <c r="B19" s="2291" t="s">
        <v>2274</v>
      </c>
      <c r="C19" s="2293"/>
      <c r="D19" s="2264"/>
      <c r="E19" s="2251"/>
      <c r="F19" s="315" t="s">
        <v>2258</v>
      </c>
      <c r="G19" s="2292" t="str">
        <f>G5</f>
        <v>估价对象所在区域公共配套设施齐备情况</v>
      </c>
    </row>
    <row r="20" spans="1:17" ht="26.4">
      <c r="A20" s="2250"/>
      <c r="B20" s="2291" t="s">
        <v>2275</v>
      </c>
      <c r="C20" s="2290" t="str">
        <f>C9</f>
        <v>区域自然环境：；人文环境；综合评价环境状况一般</v>
      </c>
      <c r="D20" s="2243"/>
      <c r="E20" s="2251"/>
      <c r="F20" s="315" t="s">
        <v>2261</v>
      </c>
      <c r="G20" s="2292" t="str">
        <f>G6</f>
        <v>估价对象所在区域基础设施水平</v>
      </c>
    </row>
    <row r="21" spans="1:17" ht="26.4">
      <c r="A21" s="2250"/>
      <c r="B21" s="315" t="s">
        <v>2258</v>
      </c>
      <c r="C21" s="2292" t="str">
        <f>C7</f>
        <v>估价对象所在区域公共配套设施齐备情况</v>
      </c>
      <c r="D21" s="2264"/>
      <c r="E21" s="2251"/>
      <c r="F21" s="2291" t="s">
        <v>2276</v>
      </c>
      <c r="G21" s="2294"/>
    </row>
    <row r="22" spans="1:17" ht="13.5" customHeight="1">
      <c r="A22" s="2250"/>
      <c r="B22" s="315" t="s">
        <v>2261</v>
      </c>
      <c r="C22" s="2292" t="str">
        <f>C8</f>
        <v>估价对象所在区域基础设施水平</v>
      </c>
      <c r="D22" s="2264"/>
      <c r="E22" s="2251"/>
      <c r="F22" s="2291" t="s">
        <v>2267</v>
      </c>
      <c r="G22" s="2293"/>
    </row>
    <row r="23" spans="1:17" s="751" customFormat="1" ht="14.4" thickBot="1">
      <c r="A23" s="2250"/>
      <c r="B23" s="2291" t="s">
        <v>2276</v>
      </c>
      <c r="C23" s="2294"/>
      <c r="D23" s="1614"/>
      <c r="E23" s="2252"/>
      <c r="F23" s="2295" t="s">
        <v>2277</v>
      </c>
      <c r="G23" s="2296"/>
      <c r="H23" s="2275"/>
      <c r="I23" s="2275"/>
      <c r="J23" s="2275"/>
      <c r="K23" s="2275"/>
      <c r="L23" s="2275"/>
      <c r="M23" s="2275"/>
      <c r="N23" s="2275"/>
      <c r="O23" s="2275"/>
      <c r="P23" s="2275"/>
      <c r="Q23" s="2275"/>
    </row>
    <row r="24" spans="1:17" s="751" customFormat="1" ht="14.4" thickBot="1">
      <c r="A24" s="2253"/>
      <c r="B24" s="2295" t="s">
        <v>2278</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12035.710000000005</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45875</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11489.858200000001</v>
      </c>
      <c r="C5" s="2298">
        <f ca="1">IF(B5=D14,结果表!H102,ROUND(B5*10000/$B$1,0))</f>
        <v>9453</v>
      </c>
      <c r="D5" s="2298" t="e">
        <f ca="1">ROUND(B5*10000/$B$2,0)</f>
        <v>#DIV/0!</v>
      </c>
      <c r="E5" s="2459"/>
      <c r="F5" s="2460"/>
      <c r="G5" s="2460"/>
      <c r="H5" s="2460"/>
      <c r="I5" s="2460"/>
      <c r="J5" s="2460"/>
      <c r="K5" s="2460"/>
    </row>
    <row r="6" spans="1:11" ht="15.6">
      <c r="A6" s="2298" t="s">
        <v>656</v>
      </c>
      <c r="B6" s="2298">
        <f ca="1">SUM(G14:G23)</f>
        <v>11489.858200000001</v>
      </c>
      <c r="C6" s="2298">
        <f ca="1">IF(B6=G14,结果表!H108,ROUND(B6*10000/$B$1,0))</f>
        <v>9453</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 ca="1">SUM(I14:I23)</f>
        <v>10335.128699999996</v>
      </c>
      <c r="C8" s="2298">
        <f ca="1">IF(B8=I14,结果表!H112,ROUND(B8*10000/$B$1,0))</f>
        <v>9301</v>
      </c>
      <c r="D8" s="2298" t="e">
        <f ca="1">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3353</v>
      </c>
      <c r="D10" s="2298" t="s">
        <v>3354</v>
      </c>
      <c r="E10" s="3134"/>
      <c r="F10" s="3138" t="s">
        <v>3355</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典型户型修正!B22</f>
        <v>12035.710000000005</v>
      </c>
      <c r="C14" s="2304"/>
      <c r="D14" s="2304">
        <f ca="1">典型户型修正!S22</f>
        <v>11489.858200000001</v>
      </c>
      <c r="E14" s="2304">
        <f ca="1">典型户型修正!R22</f>
        <v>9546</v>
      </c>
      <c r="F14" s="2304" t="e">
        <f ca="1">ROUND(D14*10000/C14,0)</f>
        <v>#DIV/0!</v>
      </c>
      <c r="G14" s="2304">
        <f ca="1">D14</f>
        <v>11489.858200000001</v>
      </c>
      <c r="H14" s="2304"/>
      <c r="I14" s="2304">
        <f ca="1">典型户型修正!X181</f>
        <v>10335.128699999996</v>
      </c>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0" zoomScale="70" zoomScaleNormal="100" zoomScaleSheetLayoutView="70" zoomScalePageLayoutView="80" workbookViewId="0">
      <selection activeCell="K22" sqref="K2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3959</v>
      </c>
      <c r="D1" s="646"/>
      <c r="E1" s="646"/>
      <c r="F1" s="1621" t="s">
        <v>1263</v>
      </c>
      <c r="G1" s="1453" t="s">
        <v>3911</v>
      </c>
      <c r="H1" s="1621" t="str">
        <f>IF(G1="现房","——","估价对象范围")</f>
        <v>——</v>
      </c>
      <c r="I1" s="1622"/>
    </row>
    <row r="2" spans="1:12" ht="21.75" customHeight="1" thickBot="1">
      <c r="A2" s="3358" t="str">
        <f>项目基本情况!S2</f>
        <v>北京市密云区滨河路178号院3号楼2层2单元201等共计156套房地产</v>
      </c>
      <c r="B2" s="3359"/>
      <c r="C2" s="3359"/>
      <c r="D2" s="3359"/>
      <c r="E2" s="3359"/>
      <c r="F2" s="3359"/>
      <c r="G2" s="3359"/>
      <c r="H2" s="3359"/>
      <c r="I2" s="3360"/>
    </row>
    <row r="3" spans="1:12" ht="13.2">
      <c r="A3" s="3362" t="s">
        <v>1264</v>
      </c>
      <c r="B3" s="3363"/>
      <c r="C3" s="3363"/>
      <c r="D3" s="3363"/>
      <c r="E3" s="3363"/>
      <c r="F3" s="3363"/>
      <c r="G3" s="3363"/>
      <c r="H3" s="3363"/>
      <c r="I3" s="3363"/>
    </row>
    <row r="4" spans="1:12" ht="14.4">
      <c r="A4" s="1624" t="s">
        <v>1265</v>
      </c>
      <c r="B4" s="1625" t="s">
        <v>1266</v>
      </c>
      <c r="C4" s="1626" t="s">
        <v>3961</v>
      </c>
      <c r="D4" s="1626" t="s">
        <v>3960</v>
      </c>
      <c r="E4" s="3367" t="s">
        <v>1267</v>
      </c>
      <c r="F4" s="3368"/>
      <c r="G4" s="3368"/>
      <c r="H4" s="3368"/>
      <c r="I4" s="336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6" t="s">
        <v>1268</v>
      </c>
      <c r="B5" s="3361">
        <v>25</v>
      </c>
      <c r="C5" s="3364"/>
      <c r="D5" s="3352"/>
      <c r="E5" s="123" t="s">
        <v>1269</v>
      </c>
      <c r="F5" s="1627"/>
      <c r="G5" s="1627"/>
      <c r="H5" s="1627"/>
      <c r="I5" s="1281"/>
    </row>
    <row r="6" spans="1:12" ht="13.2">
      <c r="A6" s="3306"/>
      <c r="B6" s="3361"/>
      <c r="C6" s="3366"/>
      <c r="D6" s="3352"/>
      <c r="E6" s="123" t="s">
        <v>1270</v>
      </c>
      <c r="F6" s="1627"/>
      <c r="G6" s="1627"/>
      <c r="H6" s="1627"/>
      <c r="I6" s="1281"/>
    </row>
    <row r="7" spans="1:12" ht="13.2">
      <c r="A7" s="3306"/>
      <c r="B7" s="3361"/>
      <c r="C7" s="3365"/>
      <c r="D7" s="3352"/>
      <c r="E7" s="123" t="s">
        <v>1271</v>
      </c>
      <c r="F7" s="1627"/>
      <c r="G7" s="1627"/>
      <c r="H7" s="1627"/>
      <c r="I7" s="1281"/>
    </row>
    <row r="8" spans="1:12" ht="13.2">
      <c r="A8" s="3306" t="s">
        <v>1272</v>
      </c>
      <c r="B8" s="3361">
        <v>15</v>
      </c>
      <c r="C8" s="3364"/>
      <c r="D8" s="3352"/>
      <c r="E8" s="123" t="s">
        <v>1273</v>
      </c>
      <c r="F8" s="1627"/>
      <c r="G8" s="1627"/>
      <c r="H8" s="1627"/>
      <c r="I8" s="1281"/>
    </row>
    <row r="9" spans="1:12" ht="13.2">
      <c r="A9" s="3306"/>
      <c r="B9" s="3361"/>
      <c r="C9" s="3365"/>
      <c r="D9" s="3352"/>
      <c r="E9" s="123" t="s">
        <v>1274</v>
      </c>
      <c r="F9" s="1627"/>
      <c r="G9" s="1627"/>
      <c r="H9" s="1627"/>
      <c r="I9" s="1281"/>
    </row>
    <row r="10" spans="1:12" ht="13.2">
      <c r="A10" s="3306" t="s">
        <v>1275</v>
      </c>
      <c r="B10" s="3361">
        <v>15</v>
      </c>
      <c r="C10" s="3364"/>
      <c r="D10" s="3352"/>
      <c r="E10" s="123" t="s">
        <v>1276</v>
      </c>
      <c r="F10" s="1627"/>
      <c r="G10" s="1627"/>
      <c r="H10" s="1627"/>
      <c r="I10" s="1281"/>
    </row>
    <row r="11" spans="1:12" ht="13.2">
      <c r="A11" s="3306"/>
      <c r="B11" s="3361"/>
      <c r="C11" s="3365"/>
      <c r="D11" s="3352"/>
      <c r="E11" s="123" t="s">
        <v>1277</v>
      </c>
      <c r="F11" s="1627"/>
      <c r="G11" s="1627"/>
      <c r="H11" s="1627"/>
      <c r="I11" s="1281"/>
    </row>
    <row r="12" spans="1:12" ht="13.2">
      <c r="A12" s="3306" t="s">
        <v>1278</v>
      </c>
      <c r="B12" s="3361">
        <v>15</v>
      </c>
      <c r="C12" s="3364"/>
      <c r="D12" s="3352"/>
      <c r="E12" s="123" t="s">
        <v>1279</v>
      </c>
      <c r="F12" s="1627"/>
      <c r="G12" s="1627"/>
      <c r="H12" s="1627"/>
      <c r="I12" s="1281"/>
    </row>
    <row r="13" spans="1:12" ht="13.2">
      <c r="A13" s="3306"/>
      <c r="B13" s="3361"/>
      <c r="C13" s="3365"/>
      <c r="D13" s="3352"/>
      <c r="E13" s="123" t="s">
        <v>1280</v>
      </c>
      <c r="F13" s="1627"/>
      <c r="G13" s="1627"/>
      <c r="H13" s="1627"/>
      <c r="I13" s="1281"/>
    </row>
    <row r="14" spans="1:12" ht="13.2">
      <c r="A14" s="3306" t="s">
        <v>1281</v>
      </c>
      <c r="B14" s="3361">
        <v>30</v>
      </c>
      <c r="C14" s="3364">
        <v>4</v>
      </c>
      <c r="D14" s="3352">
        <v>6</v>
      </c>
      <c r="E14" s="123" t="s">
        <v>1282</v>
      </c>
      <c r="F14" s="1627"/>
      <c r="G14" s="1627"/>
      <c r="H14" s="1627"/>
      <c r="I14" s="1281"/>
    </row>
    <row r="15" spans="1:12" ht="13.2">
      <c r="A15" s="3306"/>
      <c r="B15" s="3361"/>
      <c r="C15" s="3366"/>
      <c r="D15" s="3352"/>
      <c r="E15" s="123" t="s">
        <v>1283</v>
      </c>
      <c r="F15" s="1627"/>
      <c r="G15" s="1627"/>
      <c r="H15" s="1627"/>
      <c r="I15" s="1281"/>
    </row>
    <row r="16" spans="1:12" ht="13.2">
      <c r="A16" s="3306"/>
      <c r="B16" s="3361"/>
      <c r="C16" s="3365"/>
      <c r="D16" s="3352"/>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83" t="s">
        <v>2129</v>
      </c>
      <c r="F18" s="3384"/>
      <c r="G18" s="3384"/>
      <c r="H18" s="3384"/>
      <c r="I18" s="3384"/>
      <c r="K18" s="294" t="s">
        <v>1289</v>
      </c>
      <c r="L18" s="294">
        <f>IF(C1="",'数据-汇总表'!E3,SUMIF(项目类型,C1,'数据-汇总表'!E17:E26)+SUMIF(项目类型,C1,'数据-汇总表'!I17:I26))</f>
        <v>81.709999999999994</v>
      </c>
      <c r="M18" s="294">
        <f>IF(C1="",'数据-汇总表'!E3,SUMIF(项目类型,C1,'数据-汇总表'!E17:E26))</f>
        <v>81.709999999999994</v>
      </c>
    </row>
    <row r="19" spans="1:36" ht="14.4">
      <c r="A19" s="1630" t="s">
        <v>1290</v>
      </c>
      <c r="B19" s="1631" t="s">
        <v>1291</v>
      </c>
      <c r="C19" s="126">
        <f ca="1">SUMIF(INDIRECT("'"&amp;C4&amp;"'"&amp;"!A:A"),结果表!B19,INDIRECT("'"&amp;C4&amp;"'"&amp;"!B:B"))</f>
        <v>97.949399999999997</v>
      </c>
      <c r="D19" s="127">
        <f ca="1">SUMIF(INDIRECT("'"&amp;D4&amp;"'"&amp;"!A:A"),结果表!B19,INDIRECT("'"&amp;D4&amp;"'"&amp;"!B:B"))</f>
        <v>63.436300000000003</v>
      </c>
      <c r="E19" s="1630" t="s">
        <v>1292</v>
      </c>
      <c r="F19" s="1631" t="s">
        <v>1291</v>
      </c>
      <c r="G19" s="128">
        <f ca="1">ROUND(C19*$C$18+D19*$D$18,0)</f>
        <v>77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11987</v>
      </c>
      <c r="D20" s="130">
        <f ca="1">SUMIF(INDIRECT("'"&amp;D4&amp;"'"&amp;"!A:A"),结果表!B20,INDIRECT("'"&amp;D4&amp;"'"&amp;"!B:B"))</f>
        <v>7764</v>
      </c>
      <c r="E20" s="1633"/>
      <c r="F20" s="43" t="s">
        <v>1295</v>
      </c>
      <c r="G20" s="131">
        <f ca="1">ROUND(C20*$C$18+D20*$D$18,0)</f>
        <v>9453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0.54405915855748188</v>
      </c>
      <c r="E22" s="121"/>
      <c r="F22" s="121"/>
      <c r="G22" s="121"/>
      <c r="H22" s="121"/>
      <c r="I22" s="121"/>
    </row>
    <row r="23" spans="1:36" ht="13.8" thickBot="1">
      <c r="A23" s="646"/>
      <c r="B23" s="646"/>
      <c r="C23" s="646"/>
      <c r="D23" s="646"/>
      <c r="E23" s="121"/>
      <c r="F23" s="121"/>
      <c r="G23" s="3196" t="s">
        <v>3983</v>
      </c>
      <c r="H23" s="121"/>
      <c r="I23" s="121"/>
    </row>
    <row r="24" spans="1:36" ht="14.4">
      <c r="A24" s="3376" t="s">
        <v>1299</v>
      </c>
      <c r="B24" s="1631" t="s">
        <v>1291</v>
      </c>
      <c r="C24" s="128">
        <f>IF(B30=0,0,D30)</f>
        <v>0</v>
      </c>
      <c r="D24" s="1637"/>
      <c r="E24" s="121"/>
      <c r="F24" s="121"/>
      <c r="G24" s="3197" t="s">
        <v>3984</v>
      </c>
      <c r="H24" s="121"/>
      <c r="I24" s="121"/>
    </row>
    <row r="25" spans="1:36" ht="14.4">
      <c r="A25" s="337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2130</v>
      </c>
      <c r="F30" s="121"/>
      <c r="G30" s="121"/>
      <c r="H30" s="121"/>
      <c r="I30" s="121"/>
    </row>
    <row r="31" spans="1:36" s="2132" customFormat="1" ht="26.4" customHeight="1" thickTop="1" thickBot="1">
      <c r="A31" s="2127"/>
      <c r="B31" s="2128"/>
      <c r="C31" s="2128"/>
      <c r="D31" s="2128"/>
      <c r="E31" s="2128"/>
      <c r="F31" s="2128"/>
      <c r="G31" s="2128"/>
      <c r="H31" s="2128"/>
      <c r="I31" s="2129" t="s">
        <v>2131</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9453</v>
      </c>
      <c r="D32" s="1641" t="s">
        <v>3932</v>
      </c>
      <c r="E32" s="121"/>
      <c r="F32" s="121"/>
      <c r="G32" s="121"/>
      <c r="H32" s="121"/>
      <c r="I32" s="121"/>
    </row>
    <row r="33" spans="1:15" ht="14.4">
      <c r="A33" s="740" t="s">
        <v>1306</v>
      </c>
      <c r="B33" s="123"/>
      <c r="C33" s="1642" t="s">
        <v>3933</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53" t="s">
        <v>1312</v>
      </c>
      <c r="B36" s="1652" t="s">
        <v>1313</v>
      </c>
      <c r="C36" s="137"/>
      <c r="D36" s="1653"/>
      <c r="E36" s="1567"/>
      <c r="F36" s="1654"/>
      <c r="G36" s="121"/>
      <c r="H36" s="121"/>
      <c r="I36" s="121"/>
    </row>
    <row r="37" spans="1:15" ht="15" thickBot="1">
      <c r="A37" s="3354"/>
      <c r="B37" s="1555" t="s">
        <v>1314</v>
      </c>
      <c r="C37" s="139"/>
      <c r="D37" s="1071"/>
      <c r="E37" s="1071"/>
      <c r="F37" s="1654"/>
      <c r="G37" s="121"/>
      <c r="H37" s="121"/>
      <c r="I37" s="121"/>
    </row>
    <row r="38" spans="1:15" ht="15" thickBot="1">
      <c r="A38" s="335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73" t="s">
        <v>1326</v>
      </c>
      <c r="B45" s="3374"/>
      <c r="C45" s="3375"/>
      <c r="D45" s="147">
        <f ca="1">ROUND(H101*F45,0)</f>
        <v>77</v>
      </c>
      <c r="E45" s="148" t="s">
        <v>1327</v>
      </c>
      <c r="F45" s="149">
        <v>1</v>
      </c>
      <c r="G45" s="150" t="s">
        <v>1328</v>
      </c>
      <c r="H45" s="121"/>
      <c r="I45" s="121"/>
      <c r="J45" s="3293" t="s">
        <v>1329</v>
      </c>
      <c r="K45" s="3293"/>
      <c r="L45" s="3293"/>
      <c r="M45" s="3293"/>
      <c r="N45" s="3293"/>
      <c r="O45" s="3293"/>
    </row>
    <row r="46" spans="1:15" ht="14.25" customHeight="1">
      <c r="A46" s="3370" t="s">
        <v>1330</v>
      </c>
      <c r="B46" s="3371"/>
      <c r="C46" s="3371"/>
      <c r="D46" s="3371"/>
      <c r="E46" s="3371"/>
      <c r="F46" s="3371"/>
      <c r="G46" s="3372"/>
      <c r="H46" s="1668"/>
      <c r="I46" s="151"/>
      <c r="J46" s="2308">
        <v>1</v>
      </c>
      <c r="K46" s="3294" t="s">
        <v>1331</v>
      </c>
      <c r="L46" s="3294"/>
      <c r="M46" s="3295"/>
      <c r="N46" s="3295"/>
      <c r="O46" s="3295"/>
    </row>
    <row r="47" spans="1:15" ht="12" customHeight="1">
      <c r="A47" s="152" t="s">
        <v>1332</v>
      </c>
      <c r="B47" s="153"/>
      <c r="C47" s="154"/>
      <c r="D47" s="1024" t="s">
        <v>1333</v>
      </c>
      <c r="E47" s="294" t="s">
        <v>1334</v>
      </c>
      <c r="F47" s="155" t="s">
        <v>1335</v>
      </c>
      <c r="G47" s="2331" t="s">
        <v>1336</v>
      </c>
      <c r="H47" s="2332"/>
      <c r="I47" s="151"/>
      <c r="J47" s="2308">
        <v>2</v>
      </c>
      <c r="K47" s="3294" t="s">
        <v>1337</v>
      </c>
      <c r="L47" s="3294"/>
      <c r="M47" s="3296">
        <f>'数据-取费表'!B2</f>
        <v>45875</v>
      </c>
      <c r="N47" s="3296"/>
      <c r="O47" s="3296"/>
    </row>
    <row r="48" spans="1:15" ht="26.4">
      <c r="A48" s="3356" t="s">
        <v>1338</v>
      </c>
      <c r="B48" s="3357"/>
      <c r="C48" s="3357"/>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94" t="s">
        <v>1340</v>
      </c>
      <c r="L48" s="3294"/>
      <c r="M48" s="3297">
        <f ca="1">H101</f>
        <v>77</v>
      </c>
      <c r="N48" s="3297"/>
      <c r="O48" s="3297"/>
    </row>
    <row r="49" spans="1:35" ht="25.5" customHeight="1">
      <c r="A49" s="2151" t="s">
        <v>1341</v>
      </c>
      <c r="B49" s="3342" t="s">
        <v>1342</v>
      </c>
      <c r="C49" s="3342"/>
      <c r="D49" s="1478">
        <v>0</v>
      </c>
      <c r="E49" s="316" t="s">
        <v>1343</v>
      </c>
      <c r="F49" s="2231" t="s">
        <v>28</v>
      </c>
      <c r="G49" s="3325"/>
      <c r="H49" s="2133" t="s">
        <v>2132</v>
      </c>
      <c r="I49" s="2134"/>
      <c r="J49" s="2308">
        <v>4</v>
      </c>
      <c r="K49" s="3294" t="str">
        <f>IF(项目基本情况!E8="房地产抵押价值","房地产抵押价值","抵押担保权已注销时的房地产抵押价值")</f>
        <v>房地产抵押价值</v>
      </c>
      <c r="L49" s="3294"/>
      <c r="M49" s="3297">
        <f ca="1">IF(项目基本情况!E8="房地产抵押价值",H107,H109)</f>
        <v>77</v>
      </c>
      <c r="N49" s="3297"/>
      <c r="O49" s="3297"/>
    </row>
    <row r="50" spans="1:35" ht="25.5" customHeight="1">
      <c r="A50" s="2336"/>
      <c r="B50" s="3342" t="s">
        <v>1344</v>
      </c>
      <c r="C50" s="3342"/>
      <c r="D50" s="2188"/>
      <c r="E50" s="323"/>
      <c r="F50" s="2231"/>
      <c r="G50" s="3326"/>
      <c r="H50" s="2135" t="s">
        <v>2133</v>
      </c>
      <c r="I50" s="2134"/>
      <c r="J50" s="3293" t="s">
        <v>1345</v>
      </c>
      <c r="K50" s="3293"/>
      <c r="L50" s="3293"/>
      <c r="M50" s="3293"/>
      <c r="N50" s="3293"/>
      <c r="O50" s="3293"/>
    </row>
    <row r="51" spans="1:35" ht="20.399999999999999" customHeight="1">
      <c r="A51" s="2337"/>
      <c r="B51" s="3342" t="s">
        <v>1346</v>
      </c>
      <c r="C51" s="3342"/>
      <c r="D51" s="1024"/>
      <c r="E51" s="319"/>
      <c r="F51" s="2231"/>
      <c r="G51" s="3327"/>
      <c r="H51" s="2135" t="s">
        <v>2134</v>
      </c>
      <c r="I51" s="2134"/>
      <c r="J51" s="2309" t="s">
        <v>1347</v>
      </c>
      <c r="K51" s="3294" t="s">
        <v>1348</v>
      </c>
      <c r="L51" s="3294"/>
      <c r="M51" s="2309" t="s">
        <v>1349</v>
      </c>
      <c r="N51" s="2309" t="s">
        <v>1350</v>
      </c>
      <c r="O51" s="2309" t="s">
        <v>1351</v>
      </c>
    </row>
    <row r="52" spans="1:35" ht="24" customHeight="1">
      <c r="A52" s="2152" t="s">
        <v>1352</v>
      </c>
      <c r="B52" s="3342" t="s">
        <v>1353</v>
      </c>
      <c r="C52" s="3342"/>
      <c r="D52" s="1024">
        <f ca="1">ROUND(D45*'数据-取费表'!B41/(1+'数据-取费表'!C42),0)</f>
        <v>4</v>
      </c>
      <c r="E52" s="1256" t="s">
        <v>1354</v>
      </c>
      <c r="F52" s="2338">
        <f>'数据-取费表'!B41</f>
        <v>5.6000000000000001E-2</v>
      </c>
      <c r="G52" s="2339"/>
      <c r="H52" s="2329"/>
      <c r="I52" s="1669"/>
      <c r="J52" s="2308">
        <v>1</v>
      </c>
      <c r="K52" s="3319" t="s">
        <v>1355</v>
      </c>
      <c r="L52" s="3319"/>
      <c r="M52" s="2310" t="b">
        <f>D48</f>
        <v>0</v>
      </c>
      <c r="N52" s="2308" t="str">
        <f>E48</f>
        <v>销售额×税（费）率</v>
      </c>
      <c r="O52" s="2311">
        <f>F48</f>
        <v>5.6000000000000001E-2</v>
      </c>
    </row>
    <row r="53" spans="1:35" ht="12" customHeight="1">
      <c r="A53" s="2152" t="s">
        <v>1356</v>
      </c>
      <c r="B53" s="3343" t="s">
        <v>2289</v>
      </c>
      <c r="C53" s="3344"/>
      <c r="D53" s="1024">
        <f ca="1">ROUND(D45*'数据-取费表'!B41/(1+'数据-取费表'!C42),0)</f>
        <v>4</v>
      </c>
      <c r="E53" s="1256" t="s">
        <v>1354</v>
      </c>
      <c r="F53" s="2338">
        <f>'数据-取费表'!B41</f>
        <v>5.6000000000000001E-2</v>
      </c>
      <c r="G53" s="2339"/>
      <c r="H53" s="2329"/>
      <c r="I53" s="1669"/>
      <c r="J53" s="2308">
        <v>2</v>
      </c>
      <c r="K53" s="3319" t="s">
        <v>1357</v>
      </c>
      <c r="L53" s="3319"/>
      <c r="M53" s="2310">
        <f t="shared" ref="M53:O54" ca="1" si="0">D55</f>
        <v>0</v>
      </c>
      <c r="N53" s="2308" t="str">
        <f t="shared" si="0"/>
        <v>销售额×税（费）率</v>
      </c>
      <c r="O53" s="2311" t="str">
        <f t="shared" si="0"/>
        <v>免征</v>
      </c>
    </row>
    <row r="54" spans="1:35" ht="12" customHeight="1">
      <c r="A54" s="2152" t="s">
        <v>1358</v>
      </c>
      <c r="B54" s="3343" t="s">
        <v>2290</v>
      </c>
      <c r="C54" s="3344"/>
      <c r="D54" s="1024">
        <f ca="1">C68</f>
        <v>4</v>
      </c>
      <c r="E54" s="319" t="s">
        <v>1359</v>
      </c>
      <c r="F54" s="2338">
        <f>'数据-取费表'!B41</f>
        <v>5.6000000000000001E-2</v>
      </c>
      <c r="G54" s="2339"/>
      <c r="H54" s="2340"/>
      <c r="I54" s="1669"/>
      <c r="J54" s="2308">
        <v>3</v>
      </c>
      <c r="K54" s="3319" t="s">
        <v>1360</v>
      </c>
      <c r="L54" s="3319"/>
      <c r="M54" s="2310" t="e">
        <f t="shared" ca="1" si="0"/>
        <v>#DIV/0!</v>
      </c>
      <c r="N54" s="2308" t="str">
        <f t="shared" si="0"/>
        <v>增值额×税（费）率</v>
      </c>
      <c r="O54" s="2312" t="str">
        <f t="shared" si="0"/>
        <v>免征</v>
      </c>
    </row>
    <row r="55" spans="1:35" ht="24" customHeight="1">
      <c r="A55" s="3379" t="s">
        <v>1361</v>
      </c>
      <c r="B55" s="3357"/>
      <c r="C55" s="3357"/>
      <c r="D55" s="12">
        <f ca="1">IF(H55="个人住宅",0,ROUND(D45*I55,0))</f>
        <v>0</v>
      </c>
      <c r="E55" s="1256" t="s">
        <v>1362</v>
      </c>
      <c r="F55" s="2338" t="str">
        <f>IF(H55="正常",I55,"免征")</f>
        <v>免征</v>
      </c>
      <c r="G55" s="2339"/>
      <c r="H55" s="2335"/>
      <c r="I55" s="157">
        <f>'数据-取费表'!B49</f>
        <v>5.0000000000000001E-4</v>
      </c>
      <c r="J55" s="2308">
        <f>IF(H59="非个人房产","",4)</f>
        <v>4</v>
      </c>
      <c r="K55" s="3319" t="str">
        <f>IF(H59="非个人房产","——","个人所得税")</f>
        <v>个人所得税</v>
      </c>
      <c r="L55" s="3319"/>
      <c r="M55" s="2313">
        <f ca="1">D59</f>
        <v>1</v>
      </c>
      <c r="N55" s="1883" t="str">
        <f>E59</f>
        <v>差额计税</v>
      </c>
      <c r="O55" s="2314">
        <f>F59</f>
        <v>0.01</v>
      </c>
    </row>
    <row r="56" spans="1:35" ht="25.2">
      <c r="A56" s="3379" t="s">
        <v>1363</v>
      </c>
      <c r="B56" s="3357"/>
      <c r="C56" s="3357"/>
      <c r="D56" s="12" t="e">
        <f ca="1">IF(H56="个人住宅",D57,D58)</f>
        <v>#DIV/0!</v>
      </c>
      <c r="E56" s="1256" t="s">
        <v>1364</v>
      </c>
      <c r="F56" s="2338" t="str">
        <f>IF(H56="正常",F58,"免征")</f>
        <v>免征</v>
      </c>
      <c r="G56" s="2341" t="s">
        <v>1365</v>
      </c>
      <c r="H56" s="2342"/>
      <c r="I56" s="1670"/>
      <c r="J56" s="2308" t="str">
        <f>IF(项目基本情况!K6="上海银行",IF(J55="",4,J55+1),"")</f>
        <v/>
      </c>
      <c r="K56" s="3300" t="str">
        <f>IF(项目基本情况!K6="上海银行","其他处置费用","")</f>
        <v/>
      </c>
      <c r="L56" s="3301"/>
      <c r="M56" s="2310" t="str">
        <f>IF(项目基本情况!K6="上海银行",M69,"")</f>
        <v/>
      </c>
      <c r="N56" s="3300" t="str">
        <f>IF(项目基本情况!K6="上海银行","包含处置中涉及的律师、诉讼、拍卖、评估等费用","")</f>
        <v/>
      </c>
      <c r="O56" s="3303"/>
    </row>
    <row r="57" spans="1:35" ht="13.2">
      <c r="A57" s="2152" t="s">
        <v>1341</v>
      </c>
      <c r="B57" s="3343" t="s">
        <v>1366</v>
      </c>
      <c r="C57" s="3344"/>
      <c r="D57" s="1478">
        <v>0</v>
      </c>
      <c r="E57" s="316" t="s">
        <v>1343</v>
      </c>
      <c r="F57" s="294"/>
      <c r="G57" s="2339"/>
      <c r="H57" s="2343"/>
      <c r="I57" s="1670"/>
      <c r="J57" s="3319">
        <f>IF(AND(J55="",J56=""),4,IF(项目基本情况!K6="上海银行",结果表!J56+1,结果表!J55+1))</f>
        <v>5</v>
      </c>
      <c r="K57" s="3319" t="s">
        <v>1367</v>
      </c>
      <c r="L57" s="2315" t="s">
        <v>1368</v>
      </c>
      <c r="M57" s="2316"/>
      <c r="N57" s="2317">
        <f ca="1">SUMIF(M52:M56,"&lt;9e307")</f>
        <v>1</v>
      </c>
      <c r="O57" s="2318"/>
      <c r="P57" s="2462">
        <f ca="1">N57/M49</f>
        <v>1.2987012987012988E-2</v>
      </c>
    </row>
    <row r="58" spans="1:35" ht="25.2">
      <c r="A58" s="2152" t="s">
        <v>1352</v>
      </c>
      <c r="B58" s="3343" t="s">
        <v>1369</v>
      </c>
      <c r="C58" s="3342"/>
      <c r="D58" s="12" t="e">
        <f ca="1">IF(H58="转让取得",C81,C97)</f>
        <v>#DIV/0!</v>
      </c>
      <c r="E58" s="1256" t="s">
        <v>1364</v>
      </c>
      <c r="F58" s="294" t="s">
        <v>28</v>
      </c>
      <c r="G58" s="2339"/>
      <c r="H58" s="2342"/>
      <c r="I58" s="1670"/>
      <c r="J58" s="3319"/>
      <c r="K58" s="3319"/>
      <c r="L58" s="2315" t="s">
        <v>1370</v>
      </c>
      <c r="M58" s="2319"/>
      <c r="N58" s="2320" t="str">
        <f ca="1">NUMBERSTRING(INT(N57*10000),2)&amp;"元整"</f>
        <v>壹万元整</v>
      </c>
      <c r="O58" s="2321"/>
    </row>
    <row r="59" spans="1:35" ht="24.6" thickBot="1">
      <c r="A59" s="3323" t="s">
        <v>1371</v>
      </c>
      <c r="B59" s="3324"/>
      <c r="C59" s="3324"/>
      <c r="D59" s="2344">
        <f ca="1">IF(H59="非个人房产","——",IF(H59="个人住宅（满五唯一有凭证）",0,IF(H59="个人其他（无凭证）",ROUND(D45*F59,0),ROUND(C67*F59,0))))</f>
        <v>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2135</v>
      </c>
      <c r="J59" s="3321">
        <f>J57+1</f>
        <v>6</v>
      </c>
      <c r="K59" s="3319" t="s">
        <v>1372</v>
      </c>
      <c r="L59" s="2308" t="s">
        <v>1368</v>
      </c>
      <c r="M59" s="2322"/>
      <c r="N59" s="2323">
        <f ca="1">M49-N57</f>
        <v>76</v>
      </c>
      <c r="O59" s="2324"/>
    </row>
    <row r="60" spans="1:35" ht="12" customHeight="1">
      <c r="A60" s="1671"/>
      <c r="B60" s="646"/>
      <c r="C60" s="646"/>
      <c r="D60" s="646"/>
      <c r="E60" s="1466"/>
      <c r="F60" s="1670"/>
      <c r="G60" s="1670"/>
      <c r="H60" s="151"/>
      <c r="I60" s="121"/>
      <c r="J60" s="3322"/>
      <c r="K60" s="3319"/>
      <c r="L60" s="2315" t="s">
        <v>1370</v>
      </c>
      <c r="M60" s="2319"/>
      <c r="N60" s="2320" t="str">
        <f ca="1">NUMBERSTRING(INT(N59*10000),2)&amp;"元整"</f>
        <v>柒拾陆万元整</v>
      </c>
      <c r="O60" s="2321"/>
    </row>
    <row r="61" spans="1:35" ht="13.8" thickBot="1">
      <c r="A61" s="3378" t="s">
        <v>1373</v>
      </c>
      <c r="B61" s="3378"/>
      <c r="C61" s="3378"/>
      <c r="D61" s="3378"/>
      <c r="E61" s="3378"/>
      <c r="F61" s="1670"/>
      <c r="G61" s="1670"/>
      <c r="H61" s="151"/>
      <c r="I61" s="121"/>
      <c r="J61" s="2308">
        <f>J59+1</f>
        <v>7</v>
      </c>
      <c r="K61" s="3319" t="s">
        <v>1374</v>
      </c>
      <c r="L61" s="3319"/>
      <c r="M61" s="2325"/>
      <c r="N61" s="2326">
        <f ca="1">ROUND(N59*10000/'数据-汇总表'!E3,0)</f>
        <v>9301</v>
      </c>
      <c r="O61" s="2327"/>
    </row>
    <row r="62" spans="1:35" ht="13.2">
      <c r="A62" s="3338" t="s">
        <v>1375</v>
      </c>
      <c r="B62" s="3339"/>
      <c r="C62" s="1865"/>
      <c r="D62" s="1865" t="s">
        <v>1376</v>
      </c>
      <c r="E62" s="158" t="s">
        <v>1377</v>
      </c>
      <c r="F62" s="1670"/>
      <c r="G62" s="1670"/>
      <c r="H62" s="151"/>
      <c r="I62" s="121"/>
    </row>
    <row r="63" spans="1:35" ht="13.2">
      <c r="A63" s="165" t="s">
        <v>330</v>
      </c>
      <c r="B63" s="159" t="s">
        <v>1378</v>
      </c>
      <c r="C63" s="2348">
        <f ca="1">ROUND((C64+C65)/(1+'数据-取费表'!C42),0)</f>
        <v>73</v>
      </c>
      <c r="D63" s="159"/>
      <c r="E63" s="160"/>
      <c r="F63" s="1670"/>
      <c r="G63" s="1670"/>
      <c r="H63" s="151"/>
      <c r="I63" s="121"/>
      <c r="J63" s="3302" t="s">
        <v>1379</v>
      </c>
      <c r="K63" s="1245" t="s">
        <v>1380</v>
      </c>
      <c r="L63" s="1245">
        <f ca="1">IF(M49&gt;10000,M49*0.5%,IF(AND(M49&gt;1000,M49&lt;=10000),M49*1%,IF(AND(M49&gt;100,M49&lt;=1000),M49*3%,IF(AND(M49&gt;10,M49&lt;=100),M49*5%,M49*8%))))</f>
        <v>3.85</v>
      </c>
      <c r="M63" s="294">
        <f ca="1">ROUND(L63,1)</f>
        <v>3.9</v>
      </c>
      <c r="N63" s="2328"/>
      <c r="Z63" s="1623"/>
      <c r="AI63" s="1561"/>
    </row>
    <row r="64" spans="1:35" ht="14.25" customHeight="1">
      <c r="A64" s="161" t="s">
        <v>325</v>
      </c>
      <c r="B64" s="162" t="s">
        <v>1381</v>
      </c>
      <c r="C64" s="2349">
        <f ca="1">D45</f>
        <v>77</v>
      </c>
      <c r="D64" s="162" t="s">
        <v>26</v>
      </c>
      <c r="E64" s="164"/>
      <c r="F64" s="1670"/>
      <c r="G64" s="1670"/>
      <c r="H64" s="151"/>
      <c r="I64" s="121"/>
      <c r="J64" s="3302"/>
      <c r="K64" s="1245" t="s">
        <v>1382</v>
      </c>
      <c r="L64" s="1245">
        <f ca="1">IF(M49&gt;2000,M49*0.5%,IF(AND(M49&gt;1000,M49&lt;=2000),M49*0.6%,IF(AND(M49&gt;500,M49&lt;=1000),M49*0.7%,IF(AND(M49&gt;200,M49&lt;=500),M49*0.8%,IF(AND(M49&gt;100,M49&lt;=200),M49*0.9%,IF(AND(M49&gt;50,M49&lt;=100),M49*1%,IF(AND(M49&gt;20,M49&lt;=50),M49*1.5%,IF(AND(M49&gt;10,M49&lt;=20),M49*2%,IF(AND(M49&gt;1,M49&lt;=10),M49*2.5%)))))))))</f>
        <v>0.77</v>
      </c>
      <c r="M64" s="294">
        <f t="shared" ref="M64:M65" ca="1" si="1">ROUND(L64,1)</f>
        <v>0.8</v>
      </c>
      <c r="N64" s="2329" t="s">
        <v>1383</v>
      </c>
      <c r="Z64" s="1623"/>
      <c r="AI64" s="1561"/>
    </row>
    <row r="65" spans="1:35" ht="14.25" customHeight="1">
      <c r="A65" s="161" t="s">
        <v>326</v>
      </c>
      <c r="B65" s="162" t="s">
        <v>1384</v>
      </c>
      <c r="C65" s="2350"/>
      <c r="D65" s="162"/>
      <c r="E65" s="164"/>
      <c r="F65" s="1670"/>
      <c r="G65" s="1670"/>
      <c r="H65" s="151"/>
      <c r="I65" s="121"/>
      <c r="J65" s="3302"/>
      <c r="K65" s="1245" t="s">
        <v>1385</v>
      </c>
      <c r="L65" s="1245">
        <f ca="1">IF(M49&gt;1000,M49*0.1%,IF(AND(M49&gt;500,M49&lt;=1000),M49*0.5%,IF(AND(M49&gt;50,M49&lt;=500),M49*1%,IF(AND(M49&gt;1,M49&lt;=50),M49*1.5%))))</f>
        <v>0.77</v>
      </c>
      <c r="M65" s="294">
        <f t="shared" ca="1" si="1"/>
        <v>0.8</v>
      </c>
      <c r="N65" s="2329" t="s">
        <v>1383</v>
      </c>
      <c r="Z65" s="1623"/>
      <c r="AI65" s="1561"/>
    </row>
    <row r="66" spans="1:35" ht="14.25" customHeight="1">
      <c r="A66" s="165" t="s">
        <v>327</v>
      </c>
      <c r="B66" s="166" t="s">
        <v>1386</v>
      </c>
      <c r="C66" s="2351"/>
      <c r="D66" s="166" t="s">
        <v>26</v>
      </c>
      <c r="E66" s="1251" t="s">
        <v>671</v>
      </c>
      <c r="F66" s="1670"/>
      <c r="G66" s="1670"/>
      <c r="H66" s="151"/>
      <c r="I66" s="121"/>
      <c r="J66" s="3302"/>
      <c r="K66" s="1245" t="s">
        <v>1387</v>
      </c>
      <c r="L66" s="1245">
        <f ca="1">M49*0.5%</f>
        <v>0.38500000000000001</v>
      </c>
      <c r="M66" s="294">
        <f ca="1">IF(L66&gt;0.5,0.5,ROUND(L66,0))</f>
        <v>0</v>
      </c>
      <c r="N66" s="2329" t="s">
        <v>1388</v>
      </c>
      <c r="Z66" s="1623"/>
      <c r="AI66" s="1561"/>
    </row>
    <row r="67" spans="1:35" ht="14.25" customHeight="1">
      <c r="A67" s="165" t="s">
        <v>328</v>
      </c>
      <c r="B67" s="166" t="s">
        <v>1389</v>
      </c>
      <c r="C67" s="2352">
        <f ca="1">C63-C66</f>
        <v>73</v>
      </c>
      <c r="D67" s="162" t="s">
        <v>26</v>
      </c>
      <c r="E67" s="164"/>
      <c r="F67" s="1670"/>
      <c r="G67" s="1670"/>
      <c r="H67" s="151"/>
      <c r="I67" s="121"/>
      <c r="J67" s="3302"/>
      <c r="K67" s="1245" t="s">
        <v>1390</v>
      </c>
      <c r="L67" s="1245">
        <f ca="1">IF(M49&gt;=10000,(8.25+(M49-10000)*0.01%),IF(AND(M49&gt;=8000,M49&lt;10000),(7.85+(M49-8000)*0.02%),IF(AND(M49&gt;=5000,M49&lt;8000),(6.65+(M49-5000)*0.04%),IF(AND(M49&gt;=2000,M49&lt;5000),(4.25+(PM49-2000)*0.08%),IF(AND(M49&gt;=1000,M49&lt;2000),(2.75+(M49-1000)*0.15%),IF(AND(M49&gt;=100,M49&lt;1000),(0.5+(M49-100)*0.25%),IF(AND(M49&gt;0,M49&lt;100),M49*0.5%)))))))</f>
        <v>0.38500000000000001</v>
      </c>
      <c r="M67" s="294">
        <f ca="1">ROUND(L67*0.9,1)</f>
        <v>0.3</v>
      </c>
      <c r="N67" s="2328"/>
      <c r="Z67" s="1623"/>
      <c r="AI67" s="1561"/>
    </row>
    <row r="68" spans="1:35" ht="14.25" customHeight="1" thickBot="1">
      <c r="A68" s="168" t="s">
        <v>329</v>
      </c>
      <c r="B68" s="169" t="s">
        <v>1391</v>
      </c>
      <c r="C68" s="2353">
        <f ca="1">IF(C67&lt;=0,0,ROUND(C67*D68,0))</f>
        <v>4</v>
      </c>
      <c r="D68" s="2354">
        <f>'数据-取费表'!B41</f>
        <v>5.6000000000000001E-2</v>
      </c>
      <c r="E68" s="170"/>
      <c r="F68" s="1670"/>
      <c r="G68" s="1670"/>
      <c r="H68" s="151"/>
      <c r="I68" s="121"/>
      <c r="J68" s="3302"/>
      <c r="K68" s="1245" t="s">
        <v>1392</v>
      </c>
      <c r="L68" s="1245">
        <f ca="1">IF(M49&gt;10000,M49*0.5%,IF(AND(M49&gt;5000,M49&lt;=10000),M49*1%,IF(AND(M49&gt;1000,M49&lt;=5000),M49*2%,IF(AND(M49&gt;200,M49&lt;=1000),M49*3%,M49*5%))))</f>
        <v>3.85</v>
      </c>
      <c r="M68" s="294">
        <f ca="1">ROUND(L68,1)</f>
        <v>3.9</v>
      </c>
      <c r="N68" s="2328"/>
      <c r="Z68" s="1623"/>
      <c r="AI68" s="1561"/>
    </row>
    <row r="69" spans="1:35" ht="16.5" customHeight="1">
      <c r="A69" s="1672"/>
      <c r="B69" s="1673"/>
      <c r="C69" s="1674"/>
      <c r="D69" s="1675"/>
      <c r="E69" s="1676"/>
      <c r="F69" s="1466"/>
      <c r="G69" s="1466"/>
      <c r="H69" s="1467"/>
      <c r="I69" s="646"/>
      <c r="J69" s="3302"/>
      <c r="K69" s="1245" t="s">
        <v>1393</v>
      </c>
      <c r="L69" s="1245"/>
      <c r="M69" s="294">
        <f ca="1">ROUND(SUM(M63:M68),0)</f>
        <v>10</v>
      </c>
      <c r="N69" s="2330">
        <f ca="1">M69/M49</f>
        <v>0.12987012987012986</v>
      </c>
      <c r="Z69" s="1623"/>
      <c r="AI69" s="1561"/>
    </row>
    <row r="70" spans="1:35" s="642" customFormat="1" ht="14.4" thickBot="1">
      <c r="A70" s="3346" t="s">
        <v>1394</v>
      </c>
      <c r="B70" s="3347"/>
      <c r="C70" s="3347"/>
      <c r="D70" s="3347"/>
      <c r="E70" s="3347"/>
      <c r="F70" s="3347"/>
      <c r="G70" s="3347"/>
      <c r="H70" s="334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38" t="s">
        <v>1375</v>
      </c>
      <c r="B71" s="333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73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43" t="s">
        <v>1402</v>
      </c>
      <c r="F76" s="3342"/>
      <c r="G76" s="3342"/>
      <c r="H76" s="334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6.000000000000001E-3</v>
      </c>
      <c r="E78" s="3335" t="s">
        <v>1406</v>
      </c>
      <c r="F78" s="3336"/>
      <c r="G78" s="3336"/>
      <c r="H78" s="333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73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t="e">
        <f ca="1">ROUND(IF(C79&lt;=0,0,IF(C80&gt;=200%,C79*60%-C73*35%,IF(C80&gt;=100%,C79*50%-C73*15%,IF(C80&gt;=50%,C79*40%-C73*5%,IF(C80&lt;50%,C79*30%,0))))),0)</f>
        <v>#DIV/0!</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46" t="s">
        <v>1410</v>
      </c>
      <c r="B83" s="3347"/>
      <c r="C83" s="3347"/>
      <c r="D83" s="3347"/>
      <c r="E83" s="3347"/>
      <c r="F83" s="3347"/>
      <c r="G83" s="3347"/>
      <c r="H83" s="334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38" t="s">
        <v>1375</v>
      </c>
      <c r="B84" s="333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73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04" t="s">
        <v>2127</v>
      </c>
      <c r="H90" s="3305"/>
      <c r="I90" s="1681"/>
      <c r="J90" s="2306"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35" t="s">
        <v>1419</v>
      </c>
      <c r="F91" s="3336"/>
      <c r="G91" s="333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35" t="s">
        <v>1422</v>
      </c>
      <c r="F92" s="3336"/>
      <c r="G92" s="3336"/>
      <c r="H92" s="3337"/>
      <c r="I92" s="1681"/>
      <c r="J92" s="2307"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6.000000000000001E-3</v>
      </c>
      <c r="E93" s="3335" t="s">
        <v>1406</v>
      </c>
      <c r="F93" s="3336"/>
      <c r="G93" s="3336"/>
      <c r="H93" s="333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80" t="s">
        <v>1426</v>
      </c>
      <c r="F94" s="3381"/>
      <c r="G94" s="3381"/>
      <c r="H94" s="338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73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t="e">
        <f ca="1">ROUND(IF(C95&lt;=0,0,IF(C96&gt;=200%,C95*60%-C86*35%,IF(C96&gt;=100%,C95*50%-C86*15%,IF(C96&gt;=50%,C95*40%-C86*5%,IF(C96&lt;50%,C95*30%,0))))),0)</f>
        <v>#DIV/0!</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5" t="s">
        <v>1428</v>
      </c>
      <c r="B100" s="3286"/>
      <c r="C100" s="3286"/>
      <c r="D100" s="3320"/>
      <c r="E100" s="3286" t="s">
        <v>1429</v>
      </c>
      <c r="F100" s="3286"/>
      <c r="G100" s="3286"/>
      <c r="H100" s="3320"/>
      <c r="I100" s="121"/>
    </row>
    <row r="101" spans="1:35" ht="18.75" customHeight="1">
      <c r="A101" s="3328" t="s">
        <v>1430</v>
      </c>
      <c r="B101" s="3329"/>
      <c r="C101" s="2369" t="str">
        <f>C4</f>
        <v>成本法 (元)</v>
      </c>
      <c r="D101" s="2370" t="str">
        <f>D4</f>
        <v>收益法 (元)</v>
      </c>
      <c r="E101" s="3298" t="s">
        <v>1431</v>
      </c>
      <c r="F101" s="3299"/>
      <c r="G101" s="1687" t="s">
        <v>1432</v>
      </c>
      <c r="H101" s="2379">
        <f ca="1">H118</f>
        <v>77</v>
      </c>
      <c r="I101" s="121"/>
    </row>
    <row r="102" spans="1:35" ht="18.75" customHeight="1">
      <c r="A102" s="3330" t="s">
        <v>1433</v>
      </c>
      <c r="B102" s="2368" t="s">
        <v>1432</v>
      </c>
      <c r="C102" s="2369">
        <f ca="1">IF(D32="楼面单价",ROUND(C19,0),C19)</f>
        <v>98</v>
      </c>
      <c r="D102" s="2370">
        <f ca="1">IF(D32="楼面单价",ROUND(D19,0),D19)</f>
        <v>63</v>
      </c>
      <c r="E102" s="3298"/>
      <c r="F102" s="3299"/>
      <c r="G102" s="1687" t="s">
        <v>1434</v>
      </c>
      <c r="H102" s="2339">
        <f ca="1">I118</f>
        <v>9453</v>
      </c>
      <c r="I102" s="121"/>
    </row>
    <row r="103" spans="1:35" ht="42.75" customHeight="1">
      <c r="A103" s="3330"/>
      <c r="B103" s="2368" t="s">
        <v>1434</v>
      </c>
      <c r="C103" s="2371">
        <f ca="1">C20</f>
        <v>11987</v>
      </c>
      <c r="D103" s="2372">
        <f ca="1">D20</f>
        <v>7764</v>
      </c>
      <c r="E103" s="3291" t="s">
        <v>1435</v>
      </c>
      <c r="F103" s="3292"/>
      <c r="G103" s="1688" t="s">
        <v>1436</v>
      </c>
      <c r="H103" s="2379">
        <f>IF(D36="正常操作",H104+H105+H106,H105+H106)</f>
        <v>0</v>
      </c>
      <c r="I103" s="121"/>
    </row>
    <row r="104" spans="1:35" ht="18.75" customHeight="1">
      <c r="A104" s="3330" t="s">
        <v>1437</v>
      </c>
      <c r="B104" s="2373" t="s">
        <v>1432</v>
      </c>
      <c r="C104" s="2374">
        <f ca="1">H118</f>
        <v>77</v>
      </c>
      <c r="D104" s="2375"/>
      <c r="E104" s="1555" t="s">
        <v>1438</v>
      </c>
      <c r="F104" s="1548"/>
      <c r="G104" s="1688" t="s">
        <v>1436</v>
      </c>
      <c r="H104" s="2380">
        <f>IF(D36="同一抵押权人同一抵押物续贷",C36&amp;"（续贷，未扣减，详见特别提示）",C36)</f>
        <v>0</v>
      </c>
      <c r="I104" s="121"/>
    </row>
    <row r="105" spans="1:35" ht="18.75" customHeight="1" thickBot="1">
      <c r="A105" s="3340"/>
      <c r="B105" s="2376" t="s">
        <v>1434</v>
      </c>
      <c r="C105" s="2377">
        <f ca="1">I118</f>
        <v>9453</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31" t="str">
        <f>IF(项目基本情况!E8="已注销","——","3.房地产抵押价值")</f>
        <v>3.房地产抵押价值</v>
      </c>
      <c r="F107" s="3299"/>
      <c r="G107" s="1687" t="s">
        <v>1432</v>
      </c>
      <c r="H107" s="2379">
        <f ca="1">IF(E107="——","——",H101-H103)</f>
        <v>77</v>
      </c>
      <c r="I107" s="121"/>
    </row>
    <row r="108" spans="1:35" ht="18.75" customHeight="1">
      <c r="A108" s="121"/>
      <c r="B108" s="121"/>
      <c r="C108" s="121"/>
      <c r="D108" s="121"/>
      <c r="E108" s="3331"/>
      <c r="F108" s="3299"/>
      <c r="G108" s="1687" t="s">
        <v>1434</v>
      </c>
      <c r="H108" s="2339">
        <f ca="1">IF(H107=H101,H102,ROUND(H107*10000/'数据-汇总表'!E3,0))</f>
        <v>9453</v>
      </c>
      <c r="I108" s="121"/>
    </row>
    <row r="109" spans="1:35" ht="18.75" customHeight="1">
      <c r="A109" s="121"/>
      <c r="B109" s="121"/>
      <c r="C109" s="121"/>
      <c r="D109" s="121"/>
      <c r="E109" s="3331" t="str">
        <f>IF(项目基本情况!E8="已注销及未注销","4.抵押担保权已注销时的房地产抵押价值",IF(项目基本情况!E8="已注销","3.抵押担保权已注销时的房地产抵押价值","——"))</f>
        <v>——</v>
      </c>
      <c r="F109" s="3299"/>
      <c r="G109" s="1687" t="s">
        <v>1432</v>
      </c>
      <c r="H109" s="2382" t="str">
        <f>IF(E109="——","——",H101-H105-H106)</f>
        <v>——</v>
      </c>
      <c r="I109" s="121"/>
    </row>
    <row r="110" spans="1:35" ht="18.75" customHeight="1">
      <c r="A110" s="121"/>
      <c r="B110" s="121"/>
      <c r="C110" s="121"/>
      <c r="D110" s="121"/>
      <c r="E110" s="3331"/>
      <c r="F110" s="3299"/>
      <c r="G110" s="1687" t="s">
        <v>1434</v>
      </c>
      <c r="H110" s="2339"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4.抵押净值</v>
      </c>
      <c r="F111" s="3318"/>
      <c r="G111" s="1687" t="s">
        <v>1432</v>
      </c>
      <c r="H111" s="2379">
        <f ca="1">IF(E111="——","——",N59)</f>
        <v>76</v>
      </c>
      <c r="I111" s="121"/>
    </row>
    <row r="112" spans="1:35" ht="18.75" customHeight="1" thickBot="1">
      <c r="A112" s="121"/>
      <c r="B112" s="121"/>
      <c r="C112" s="121"/>
      <c r="D112" s="121"/>
      <c r="E112" s="3333"/>
      <c r="F112" s="3334"/>
      <c r="G112" s="1690" t="s">
        <v>1434</v>
      </c>
      <c r="H112" s="2383">
        <f ca="1">IF(E111="——","——",N61)</f>
        <v>9301</v>
      </c>
      <c r="I112" s="121"/>
    </row>
    <row r="113" spans="1:27" ht="18.75" customHeight="1">
      <c r="A113" s="121"/>
      <c r="B113" s="121"/>
      <c r="C113" s="121"/>
      <c r="D113" s="121"/>
      <c r="E113" s="3341" t="s">
        <v>1440</v>
      </c>
      <c r="F113" s="3341"/>
      <c r="G113" s="3341"/>
      <c r="H113" s="3341"/>
      <c r="I113" s="121"/>
    </row>
    <row r="114" spans="1:27" ht="3.75" customHeight="1">
      <c r="A114" s="646"/>
      <c r="B114" s="646"/>
      <c r="C114" s="646"/>
      <c r="D114" s="646"/>
      <c r="E114" s="1671"/>
      <c r="F114" s="1671"/>
      <c r="G114" s="1671"/>
      <c r="H114" s="1671"/>
      <c r="I114" s="646"/>
    </row>
    <row r="115" spans="1:27" ht="18.75" customHeight="1">
      <c r="A115" s="3349" t="s">
        <v>1442</v>
      </c>
      <c r="B115" s="3350"/>
      <c r="C115" s="3350"/>
      <c r="D115" s="3350"/>
      <c r="E115" s="3350"/>
      <c r="F115" s="3350"/>
      <c r="G115" s="3350"/>
      <c r="H115" s="3350"/>
      <c r="I115" s="3351"/>
    </row>
    <row r="116" spans="1:27" ht="27" customHeight="1">
      <c r="A116" s="3306" t="s">
        <v>1443</v>
      </c>
      <c r="B116" s="3310" t="s">
        <v>1444</v>
      </c>
      <c r="C116" s="3310" t="s">
        <v>1445</v>
      </c>
      <c r="D116" s="3316" t="s">
        <v>1446</v>
      </c>
      <c r="E116" s="3317"/>
      <c r="F116" s="3348" t="s">
        <v>1447</v>
      </c>
      <c r="G116" s="3348"/>
      <c r="H116" s="3306" t="s">
        <v>1448</v>
      </c>
      <c r="I116" s="3306"/>
    </row>
    <row r="117" spans="1:27" ht="18.75" customHeight="1">
      <c r="A117" s="3306"/>
      <c r="B117" s="3311"/>
      <c r="C117" s="3311"/>
      <c r="D117" s="2149" t="s">
        <v>1449</v>
      </c>
      <c r="E117" s="2149" t="s">
        <v>1450</v>
      </c>
      <c r="F117" s="2149" t="s">
        <v>1449</v>
      </c>
      <c r="G117" s="2149" t="s">
        <v>1451</v>
      </c>
      <c r="H117" s="2149" t="s">
        <v>1449</v>
      </c>
      <c r="I117" s="2149" t="s">
        <v>1451</v>
      </c>
    </row>
    <row r="118" spans="1:27" ht="24.75" customHeight="1">
      <c r="A118" s="2384" t="str">
        <f>项目基本情况!S2</f>
        <v>北京市密云区滨河路178号院3号楼2层2单元201等共计156套房地产</v>
      </c>
      <c r="B118" s="2149">
        <f>M18</f>
        <v>81.709999999999994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77</v>
      </c>
      <c r="I118" s="2149">
        <f ca="1">ROUND(IF(D32="楼面单价",C32,H118*10000/B118),0)</f>
        <v>9453</v>
      </c>
    </row>
    <row r="119" spans="1:27" ht="18.75" customHeight="1">
      <c r="A119" s="3306" t="s">
        <v>1452</v>
      </c>
      <c r="B119" s="3306"/>
      <c r="C119" s="3306"/>
      <c r="D119" s="3312" t="str">
        <f>NUMBERSTRING(INT(D118*10000),2)&amp;"元整"</f>
        <v>零元整</v>
      </c>
      <c r="E119" s="3313"/>
      <c r="F119" s="3312" t="str">
        <f>NUMBERSTRING(INT(F118*10000),2)&amp;"元整"</f>
        <v>零元整</v>
      </c>
      <c r="G119" s="3313"/>
      <c r="H119" s="3312" t="str">
        <f ca="1">NUMBERSTRING(INT(H118*10000),2)&amp;"元整"</f>
        <v>柒拾柒万元整</v>
      </c>
      <c r="I119" s="3313"/>
    </row>
    <row r="120" spans="1:27" ht="18.75" customHeight="1">
      <c r="A120" s="3307" t="str">
        <f>IF(项目基本情况!B9="房地产市场价值","",MID(E103,3,LEN(E103)-2))</f>
        <v>估价师知悉的法定优先受偿款</v>
      </c>
      <c r="B120" s="3308"/>
      <c r="C120" s="3309"/>
      <c r="D120" s="3307">
        <f>H103</f>
        <v>0</v>
      </c>
      <c r="E120" s="3308"/>
      <c r="F120" s="3308"/>
      <c r="G120" s="3308"/>
      <c r="H120" s="3308"/>
      <c r="I120" s="330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2" t="s">
        <v>1452</v>
      </c>
      <c r="B121" s="3314"/>
      <c r="C121" s="3313"/>
      <c r="D121" s="3312" t="str">
        <f>IF(D120=0,"零元整",NUMBERSTRING(INT(D120*10000),2)&amp;"元整")</f>
        <v>零元整</v>
      </c>
      <c r="E121" s="3314"/>
      <c r="F121" s="3314"/>
      <c r="G121" s="3314"/>
      <c r="H121" s="3314"/>
      <c r="I121" s="3313"/>
      <c r="AA121" s="684"/>
    </row>
    <row r="122" spans="1:27" ht="18.75" customHeight="1">
      <c r="A122" s="3318" t="str">
        <f>IF(项目基本情况!B9="房地产市场价值","",MID(E107,3,LEN(E107)-2))</f>
        <v>房地产抵押价值</v>
      </c>
      <c r="B122" s="3318"/>
      <c r="C122" s="3318"/>
      <c r="D122" s="3307">
        <f ca="1">H107</f>
        <v>77</v>
      </c>
      <c r="E122" s="3308"/>
      <c r="F122" s="3308"/>
      <c r="G122" s="3308"/>
      <c r="H122" s="3308"/>
      <c r="I122" s="3309"/>
      <c r="AA122" s="684"/>
    </row>
    <row r="123" spans="1:27" ht="18.75" customHeight="1">
      <c r="A123" s="3306" t="s">
        <v>1452</v>
      </c>
      <c r="B123" s="3306"/>
      <c r="C123" s="3306"/>
      <c r="D123" s="3312" t="str">
        <f ca="1">NUMBERSTRING(INT(D122*10000),2)&amp;"元整"</f>
        <v>柒拾柒万元整</v>
      </c>
      <c r="E123" s="3314"/>
      <c r="F123" s="3314"/>
      <c r="G123" s="3314"/>
      <c r="H123" s="3314"/>
      <c r="I123" s="3313"/>
      <c r="AA123" s="684"/>
    </row>
    <row r="124" spans="1:27" ht="18.75" customHeight="1">
      <c r="A124" s="3318" t="str">
        <f>IF(项目基本情况!B9="房地产市场价值","",MID(E109,3,LEN(E109)-2))</f>
        <v/>
      </c>
      <c r="B124" s="3318"/>
      <c r="C124" s="3318"/>
      <c r="D124" s="3307" t="str">
        <f>H109</f>
        <v>——</v>
      </c>
      <c r="E124" s="3308"/>
      <c r="F124" s="3308"/>
      <c r="G124" s="3308"/>
      <c r="H124" s="3308"/>
      <c r="I124" s="3309"/>
      <c r="AA124" s="684"/>
    </row>
    <row r="125" spans="1:27" ht="18.75" customHeight="1">
      <c r="A125" s="3306" t="s">
        <v>1452</v>
      </c>
      <c r="B125" s="3306"/>
      <c r="C125" s="3306"/>
      <c r="D125" s="3312" t="e">
        <f>NUMBERSTRING(INT(D124*10000),2)&amp;"元整"</f>
        <v>#VALUE!</v>
      </c>
      <c r="E125" s="3314"/>
      <c r="F125" s="3314"/>
      <c r="G125" s="3314"/>
      <c r="H125" s="3314"/>
      <c r="I125" s="3313"/>
      <c r="AA125" s="684"/>
    </row>
    <row r="126" spans="1:27" ht="18.75" customHeight="1">
      <c r="A126" s="3318" t="str">
        <f>IF(项目基本情况!B9="房地产市场价值","",MID(E111,3,LEN(E111)-2))</f>
        <v>抵押净值</v>
      </c>
      <c r="B126" s="3318"/>
      <c r="C126" s="3318"/>
      <c r="D126" s="3307">
        <f ca="1">H111</f>
        <v>76</v>
      </c>
      <c r="E126" s="3308"/>
      <c r="F126" s="3308"/>
      <c r="G126" s="3308"/>
      <c r="H126" s="3308"/>
      <c r="I126" s="3309"/>
      <c r="AA126" s="684"/>
    </row>
    <row r="127" spans="1:27" ht="18.75" customHeight="1">
      <c r="A127" s="3306" t="s">
        <v>1452</v>
      </c>
      <c r="B127" s="3306"/>
      <c r="C127" s="3306"/>
      <c r="D127" s="3312" t="str">
        <f ca="1">NUMBERSTRING(INT(D126*10000),2)&amp;"元整"</f>
        <v>柒拾陆万元整</v>
      </c>
      <c r="E127" s="3314"/>
      <c r="F127" s="3314"/>
      <c r="G127" s="3314"/>
      <c r="H127" s="3314"/>
      <c r="I127" s="3313"/>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G9" sqref="G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21</v>
      </c>
      <c r="C1" s="190"/>
      <c r="D1" s="190"/>
      <c r="E1" s="190"/>
      <c r="F1" s="190"/>
      <c r="G1" s="1062" t="e">
        <f>MATCH(B1,'数据-取费表'!A6:A16,0)+5</f>
        <v>#N/A</v>
      </c>
    </row>
    <row r="2" spans="1:9" s="192" customFormat="1" ht="18" customHeight="1">
      <c r="A2" s="193" t="s">
        <v>1462</v>
      </c>
      <c r="B2" s="194" t="e">
        <f ca="1">IF(D2="——",C52,C52-E2)</f>
        <v>#N/A</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#N/A</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#N/A</v>
      </c>
      <c r="D5" s="203" t="s">
        <v>1469</v>
      </c>
      <c r="E5" s="204" t="s">
        <v>1470</v>
      </c>
      <c r="F5" s="204" t="s">
        <v>1471</v>
      </c>
      <c r="G5" s="205"/>
    </row>
    <row r="6" spans="1:9" s="206" customFormat="1" ht="13.5" customHeight="1">
      <c r="A6" s="732" t="s">
        <v>1472</v>
      </c>
      <c r="B6" s="207" t="s">
        <v>1473</v>
      </c>
      <c r="C6" s="208">
        <f>基准地价修正!B2</f>
        <v>39</v>
      </c>
      <c r="D6" s="209"/>
      <c r="E6" s="210"/>
      <c r="F6" s="210"/>
      <c r="G6" s="211"/>
    </row>
    <row r="7" spans="1:9" s="206" customFormat="1" ht="13.5" customHeight="1">
      <c r="A7" s="732" t="s">
        <v>1474</v>
      </c>
      <c r="B7" s="207" t="s">
        <v>1475</v>
      </c>
      <c r="C7" s="212">
        <f>ROUND(C6*F7,0)</f>
        <v>1</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4" t="s">
        <v>3926</v>
      </c>
    </row>
    <row r="9" spans="1:9" s="206" customFormat="1" ht="13.5" customHeight="1">
      <c r="A9" s="733" t="s">
        <v>355</v>
      </c>
      <c r="B9" s="216" t="s">
        <v>1478</v>
      </c>
      <c r="C9" s="217" t="e">
        <f ca="1">ROUND(D9*E9/10000,0)</f>
        <v>#N/A</v>
      </c>
      <c r="D9" s="795" t="e">
        <f ca="1">IF(B1="",'数据-汇总表'!E5,IF(INDIRECT("'数据-取费表'!c"&amp;$G$1)="住宅",INDIRECT("'数据-取费表'!k"&amp;$G$1),0))</f>
        <v>#N/A</v>
      </c>
      <c r="E9" s="217">
        <f>'数据-取费表'!B27</f>
        <v>150</v>
      </c>
      <c r="F9" s="213"/>
      <c r="G9" s="1715" t="s">
        <v>3928</v>
      </c>
      <c r="H9" s="1070"/>
      <c r="I9" s="1716" t="s">
        <v>1479</v>
      </c>
    </row>
    <row r="10" spans="1:9" s="206" customFormat="1" ht="13.5" customHeight="1">
      <c r="A10" s="733" t="s">
        <v>356</v>
      </c>
      <c r="B10" s="216" t="s">
        <v>1480</v>
      </c>
      <c r="C10" s="217" t="e">
        <f ca="1">ROUND(D10*E10/10000,0)</f>
        <v>#N/A</v>
      </c>
      <c r="D10" s="795" t="e">
        <f ca="1">IF(B1="",'数据-汇总表'!E6,IF(INDIRECT("'数据-取费表'!c"&amp;$G$1)="住宅",INDIRECT("'数据-取费表'!s"&amp;$G$1),INDIRECT("'数据-取费表'!k"&amp;$G$1)+INDIRECT("'数据-取费表'!s"&amp;$G$1)))</f>
        <v>#N/A</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4" t="s">
        <v>3927</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#N/A</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t="e">
        <f ca="1">ROUND(IF('数据-取费表'!B22&lt;=1,C5*F22*'数据-取费表'!B23,C5*(POWER((1+F22),'数据-取费表'!B23)-1)),0)</f>
        <v>#N/A</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t="e">
        <f ca="1">ROUND(IF('数据-取费表'!B22&lt;=1,C20*F22*'数据-取费表'!B23/2,C20*(POWER((1+F22),'数据-取费表'!B23/2)-1)),0)</f>
        <v>#N/A</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ROUND((C5+C19+C20)*F27*'数据-取费表'!B21/'数据-取费表'!B20,0)</f>
        <v>#N/A</v>
      </c>
      <c r="D28" s="227"/>
      <c r="E28" s="228"/>
      <c r="F28" s="238"/>
      <c r="G28" s="239"/>
    </row>
    <row r="29" spans="1:7" s="206" customFormat="1" ht="13.5" customHeight="1">
      <c r="A29" s="734"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4"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4" t="s">
        <v>353</v>
      </c>
      <c r="B37" s="207" t="s">
        <v>1531</v>
      </c>
      <c r="C37" s="241" t="e">
        <f ca="1">ROUND(E37*D37*F34/10000,0)</f>
        <v>#N/A</v>
      </c>
      <c r="D37" s="209" t="e">
        <f ca="1">D19</f>
        <v>#N/A</v>
      </c>
      <c r="E37" s="241">
        <f>'数据-取费表'!B35</f>
        <v>200</v>
      </c>
      <c r="F37" s="251"/>
      <c r="G37" s="253" t="s">
        <v>1532</v>
      </c>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t="e">
        <f ca="1">ROUND(IF('数据-取费表'!B22&lt;=1,C33*F22*'数据-取费表'!B21/2,C33*(POWER((1+F22),'数据-取费表'!B21/2)-1)),0)</f>
        <v>#N/A</v>
      </c>
      <c r="D42" s="230"/>
      <c r="E42" s="230"/>
      <c r="F42" s="231"/>
      <c r="G42" s="3385" t="s">
        <v>1544</v>
      </c>
    </row>
    <row r="43" spans="1:7" ht="13.5" customHeight="1">
      <c r="A43" s="734" t="s">
        <v>347</v>
      </c>
      <c r="B43" s="207" t="s">
        <v>1545</v>
      </c>
      <c r="C43" s="230" t="e">
        <f ca="1">ROUND(IF('数据-取费表'!B22&lt;=1,C39*F22*'数据-取费表'!B21/2,C39*(POWER((1+F22),'数据-取费表'!B21/2)-1)),0)</f>
        <v>#N/A</v>
      </c>
      <c r="D43" s="230"/>
      <c r="E43" s="230"/>
      <c r="F43" s="231"/>
      <c r="G43" s="3386"/>
    </row>
    <row r="44" spans="1:7" ht="13.5" customHeight="1">
      <c r="A44" s="734" t="s">
        <v>348</v>
      </c>
      <c r="B44" s="207" t="s">
        <v>1546</v>
      </c>
      <c r="C44" s="230">
        <f ca="1">ROUND(IF('数据-取费表'!B22&lt;=1,C40*F22*'数据-取费表'!B21/2,C40*(POWER((1+F22),'数据-取费表'!B21/2)-1)),4)</f>
        <v>5.9999999999999995E-4</v>
      </c>
      <c r="D44" s="230"/>
      <c r="E44" s="230"/>
      <c r="F44" s="231"/>
      <c r="G44" s="3387"/>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3" t="str">
        <f>项目基本情况!B1</f>
        <v>北京市密云区滨河路178号院3号楼2层2单元201等共计156套房地产抵押价值预评估</v>
      </c>
      <c r="C37" s="3203"/>
      <c r="D37" s="3203"/>
      <c r="E37" s="3203"/>
      <c r="F37" s="3203"/>
      <c r="G37" s="3203"/>
      <c r="H37" s="3203"/>
      <c r="I37" s="320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B1" sqref="B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3959</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97.949399999999997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11987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418348</v>
      </c>
      <c r="D5" s="203" t="s">
        <v>1469</v>
      </c>
      <c r="E5" s="204" t="s">
        <v>1470</v>
      </c>
      <c r="F5" s="204" t="s">
        <v>1471</v>
      </c>
      <c r="G5" s="205"/>
    </row>
    <row r="6" spans="1:8" s="206" customFormat="1" ht="13.5" customHeight="1">
      <c r="A6" s="732" t="s">
        <v>1472</v>
      </c>
      <c r="B6" s="207" t="s">
        <v>1473</v>
      </c>
      <c r="C6" s="208">
        <f>ROUND(基准地价修正!D33*基准地价修正!C33,0)</f>
        <v>390901</v>
      </c>
      <c r="D6" s="209"/>
      <c r="E6" s="210"/>
      <c r="F6" s="210"/>
      <c r="G6" s="211"/>
    </row>
    <row r="7" spans="1:8" s="206" customFormat="1" ht="13.5" customHeight="1">
      <c r="A7" s="732" t="s">
        <v>1474</v>
      </c>
      <c r="B7" s="207" t="s">
        <v>1475</v>
      </c>
      <c r="C7" s="212">
        <f>ROUND(C6*F7,0)</f>
        <v>11922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15525</v>
      </c>
      <c r="D8" s="214"/>
      <c r="E8" s="212"/>
      <c r="F8" s="213"/>
      <c r="G8" s="1714" t="s">
        <v>3926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15525</v>
      </c>
      <c r="D10" s="795">
        <f ca="1">IF(B1="",'数据-汇总表'!E6,IF(INDIRECT("'数据-取费表'!c"&amp;$G$1)="住宅",INDIRECT("'数据-取费表'!s"&amp;$G$1),INDIRECT("'数据-取费表'!k"&amp;$G$1)+INDIRECT("'数据-取费表'!s"&amp;$G$1)))</f>
        <v>81.709999999999994</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81.709999999999994</v>
      </c>
      <c r="E19" s="203">
        <f>'数据-取费表'!B31</f>
        <v>200</v>
      </c>
      <c r="F19" s="223"/>
      <c r="G19" s="1714" t="s">
        <v>3927</v>
      </c>
    </row>
    <row r="20" spans="1:7" s="206" customFormat="1" ht="13.5" customHeight="1">
      <c r="A20" s="247" t="s">
        <v>1574</v>
      </c>
      <c r="B20" s="202" t="s">
        <v>1575</v>
      </c>
      <c r="C20" s="224">
        <f ca="1">ROUND((C5+C19)*F20,0)</f>
        <v>8367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25728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25477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251</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64007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64007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559474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366061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326840</v>
      </c>
      <c r="D34" s="209"/>
      <c r="E34" s="212"/>
      <c r="F34" s="249"/>
      <c r="G34" s="211"/>
    </row>
    <row r="35" spans="1:7" ht="13.5" customHeight="1">
      <c r="A35" s="734" t="s">
        <v>351</v>
      </c>
      <c r="B35" s="207" t="s">
        <v>1527</v>
      </c>
      <c r="C35" s="212">
        <f ca="1">ROUND(C34*F35,0)</f>
        <v>16342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16342</v>
      </c>
      <c r="D37" s="209">
        <f ca="1">D19</f>
        <v>81.709999999999994</v>
      </c>
      <c r="E37" s="241">
        <f>'数据-取费表'!B35</f>
        <v>200</v>
      </c>
      <c r="F37" s="251"/>
      <c r="G37" s="253"/>
    </row>
    <row r="38" spans="1:7" ht="13.5" customHeight="1">
      <c r="A38" s="734" t="s">
        <v>354</v>
      </c>
      <c r="B38" s="207" t="s">
        <v>1533</v>
      </c>
      <c r="C38" s="212">
        <f ca="1">ROUND(C34*F38,0)</f>
        <v>6537</v>
      </c>
      <c r="D38" s="212"/>
      <c r="E38" s="212"/>
      <c r="F38" s="251">
        <f>'数据-取费表'!B36</f>
        <v>0.02</v>
      </c>
      <c r="G38" s="211" t="s">
        <v>1528</v>
      </c>
    </row>
    <row r="39" spans="1:7" s="206" customFormat="1" ht="13.5" customHeight="1">
      <c r="A39" s="247" t="s">
        <v>1534</v>
      </c>
      <c r="B39" s="202" t="s">
        <v>1535</v>
      </c>
      <c r="C39" s="224">
        <f ca="1">ROUND(C33*F20,0)</f>
        <v>7321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11202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10982</v>
      </c>
      <c r="D42" s="230"/>
      <c r="E42" s="230"/>
      <c r="F42" s="231"/>
      <c r="G42" s="3385" t="s">
        <v>1591</v>
      </c>
    </row>
    <row r="43" spans="1:7" ht="13.5" customHeight="1">
      <c r="A43" s="734" t="s">
        <v>347</v>
      </c>
      <c r="B43" s="207" t="s">
        <v>1545</v>
      </c>
      <c r="C43" s="230">
        <f ca="1">ROUND(IF('数据-取费表'!B22&lt;=1,C39*F22*'数据-取费表'!B20/2,C39*(POWER((1+F22),'数据-取费表'!B20/2)-1)),0)</f>
        <v>220</v>
      </c>
      <c r="D43" s="230"/>
      <c r="E43" s="230"/>
      <c r="F43" s="231"/>
      <c r="G43" s="3386"/>
    </row>
    <row r="44" spans="1:7" ht="13.5" customHeight="1">
      <c r="A44" s="734" t="s">
        <v>348</v>
      </c>
      <c r="B44" s="207" t="s">
        <v>1546</v>
      </c>
      <c r="C44" s="230">
        <f ca="1">ROUND(IF('数据-取费表'!B22&lt;=1,C40*F22*'数据-取费表'!B20/2,C40*(POWER((1+F22),'数据-取费表'!B20/2)-1)),4)</f>
        <v>5.9999999999999995E-4</v>
      </c>
      <c r="D44" s="230"/>
      <c r="E44" s="230"/>
      <c r="F44" s="231"/>
      <c r="G44" s="3387"/>
    </row>
    <row r="45" spans="1:7" s="206" customFormat="1" ht="13.5" customHeight="1">
      <c r="A45" s="247" t="s">
        <v>1547</v>
      </c>
      <c r="B45" s="236" t="s">
        <v>1513</v>
      </c>
      <c r="C45" s="237">
        <f ca="1">C46</f>
        <v>56007</v>
      </c>
      <c r="D45" s="227">
        <f ca="1">C47</f>
        <v>3.0000000000000001E-3</v>
      </c>
      <c r="E45" s="228" t="s">
        <v>1539</v>
      </c>
      <c r="F45" s="238">
        <f ca="1">F27</f>
        <v>0.15</v>
      </c>
      <c r="G45" s="239" t="s">
        <v>1548</v>
      </c>
    </row>
    <row r="46" spans="1:7" s="206" customFormat="1" ht="13.5" customHeight="1">
      <c r="A46" s="734" t="s">
        <v>346</v>
      </c>
      <c r="B46" s="240" t="s">
        <v>1549</v>
      </c>
      <c r="C46" s="241">
        <f ca="1">ROUND((C33+C39)*F27,0)</f>
        <v>56007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477295</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420020</v>
      </c>
      <c r="D51" s="224"/>
      <c r="E51" s="224"/>
      <c r="F51" s="256"/>
      <c r="G51" s="226" t="s">
        <v>1560</v>
      </c>
    </row>
    <row r="52" spans="1:7" s="200" customFormat="1" ht="16.8" thickBot="1">
      <c r="A52" s="257" t="s">
        <v>1561</v>
      </c>
      <c r="B52" s="258"/>
      <c r="C52" s="259">
        <f ca="1">C31+C51</f>
        <v>979494</v>
      </c>
      <c r="D52" s="258"/>
      <c r="E52" s="258"/>
      <c r="F52" s="258"/>
      <c r="G52" s="260"/>
    </row>
    <row r="55" spans="1:7" ht="15">
      <c r="B55" s="262" t="s">
        <v>1562</v>
      </c>
      <c r="C55" s="263"/>
    </row>
    <row r="56" spans="1:7">
      <c r="B56" s="265" t="s">
        <v>802</v>
      </c>
      <c r="C56" s="267">
        <f ca="1">1-C57</f>
        <v>0.57099999999999995</v>
      </c>
    </row>
    <row r="57" spans="1:7">
      <c r="B57" s="265" t="s">
        <v>803</v>
      </c>
      <c r="C57" s="266">
        <f ca="1">ROUND(C51/C52,3)</f>
        <v>0.42899999999999999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81.709999999999994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81.709999999999994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0.44750000000000001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81.709999999999994</v>
      </c>
      <c r="E20" s="21">
        <f>'数据-取费表'!B28</f>
        <v>190</v>
      </c>
      <c r="F20" s="756"/>
      <c r="G20" s="12"/>
      <c r="H20" s="761"/>
      <c r="I20" s="761"/>
      <c r="J20" s="761"/>
      <c r="K20" s="762"/>
    </row>
    <row r="21" spans="1:33" s="755" customFormat="1" ht="13.5" customHeight="1">
      <c r="A21" s="744" t="s">
        <v>357</v>
      </c>
      <c r="B21" s="765" t="s">
        <v>1628</v>
      </c>
      <c r="C21" s="766">
        <f ca="1">C16+C17+C18</f>
        <v>0.44750000000000001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t="e">
        <f ca="1">J53</f>
        <v>#N/A</v>
      </c>
      <c r="G1" s="1286" t="e">
        <f>MATCH(C1,'数据-取费表'!A6:A16,0)+5</f>
        <v>#N/A</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#N/A</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#N/A</v>
      </c>
      <c r="D5" s="1273" t="s">
        <v>693</v>
      </c>
      <c r="E5" s="1008"/>
      <c r="F5" s="1009"/>
      <c r="G5" s="1292"/>
      <c r="H5" s="291">
        <v>1</v>
      </c>
      <c r="I5" s="292" t="s">
        <v>692</v>
      </c>
      <c r="J5" s="1007" t="e">
        <f ca="1">J6+J10+J12</f>
        <v>#N/A</v>
      </c>
      <c r="K5" s="1273" t="s">
        <v>693</v>
      </c>
      <c r="L5" s="1008"/>
      <c r="M5" s="1009"/>
    </row>
    <row r="6" spans="1:37" ht="18" customHeight="1">
      <c r="A6" s="1006" t="s">
        <v>398</v>
      </c>
      <c r="B6" s="3390" t="s">
        <v>694</v>
      </c>
      <c r="C6" s="1011" t="e">
        <f ca="1">ROUND(F6*F8*F7*(1-F9)/10000,0)</f>
        <v>#N/A</v>
      </c>
      <c r="D6" s="147" t="s">
        <v>2107</v>
      </c>
      <c r="E6" s="294" t="s">
        <v>696</v>
      </c>
      <c r="F6" s="295" t="e">
        <f ca="1">INDIRECT("'数据-取费表'!u"&amp;$G$1)</f>
        <v>#N/A</v>
      </c>
      <c r="G6" s="1292"/>
      <c r="H6" s="1006" t="s">
        <v>398</v>
      </c>
      <c r="I6" s="3390" t="s">
        <v>694</v>
      </c>
      <c r="J6" s="293" t="e">
        <f ca="1">ROUND(M6*M8*M7*(1-M9)/10000,0)</f>
        <v>#N/A</v>
      </c>
      <c r="K6" s="147" t="s">
        <v>2106</v>
      </c>
      <c r="L6" s="294" t="s">
        <v>696</v>
      </c>
      <c r="M6" s="295" t="e">
        <f ca="1">INDIRECT("'数据-取费表'!z"&amp;$G$1)</f>
        <v>#N/A</v>
      </c>
    </row>
    <row r="7" spans="1:37" ht="18" customHeight="1">
      <c r="A7" s="1010"/>
      <c r="B7" s="3391"/>
      <c r="C7" s="1012"/>
      <c r="D7" s="299"/>
      <c r="E7" s="1013" t="s">
        <v>697</v>
      </c>
      <c r="F7" s="295" t="e">
        <f ca="1">IF(INDIRECT("'数据-取费表'!ah"&amp;$G$1)="",INDIRECT("'数据-取费表'!k"&amp;$G$1),INDIRECT("'数据-取费表'!ah"&amp;$G$1))</f>
        <v>#N/A</v>
      </c>
      <c r="G7" s="1292"/>
      <c r="H7" s="296"/>
      <c r="I7" s="3391"/>
      <c r="J7" s="298"/>
      <c r="K7" s="299"/>
      <c r="L7" s="294" t="s">
        <v>697</v>
      </c>
      <c r="M7" s="295" t="e">
        <f ca="1">F7</f>
        <v>#N/A</v>
      </c>
    </row>
    <row r="8" spans="1:37" ht="18" customHeight="1">
      <c r="A8" s="296"/>
      <c r="B8" s="3391"/>
      <c r="C8" s="298"/>
      <c r="D8" s="299"/>
      <c r="E8" s="294" t="s">
        <v>698</v>
      </c>
      <c r="F8" s="295" t="e">
        <f ca="1">INDIRECT("'数据-取费表'!ai"&amp;$G$1)</f>
        <v>#N/A</v>
      </c>
      <c r="G8" s="1292"/>
      <c r="H8" s="296"/>
      <c r="I8" s="3391"/>
      <c r="J8" s="298"/>
      <c r="K8" s="299"/>
      <c r="L8" s="294" t="s">
        <v>698</v>
      </c>
      <c r="M8" s="295" t="e">
        <f ca="1">INDIRECT("'数据-取费表'!ai"&amp;$G$1)</f>
        <v>#N/A</v>
      </c>
    </row>
    <row r="9" spans="1:37" ht="18" customHeight="1">
      <c r="A9" s="296"/>
      <c r="B9" s="3392"/>
      <c r="C9" s="298"/>
      <c r="D9" s="299"/>
      <c r="E9" s="294" t="s">
        <v>699</v>
      </c>
      <c r="F9" s="304" t="e">
        <f ca="1">INDIRECT("'数据-取费表'!w"&amp;$G$1)</f>
        <v>#N/A</v>
      </c>
      <c r="G9" s="1292"/>
      <c r="H9" s="296"/>
      <c r="I9" s="3392"/>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2115</v>
      </c>
      <c r="E10" s="305" t="s">
        <v>701</v>
      </c>
      <c r="F10" s="1053" t="s">
        <v>3929</v>
      </c>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INDIRECT("'数据-取费表'!m"&amp;$G$1)+INDIRECT("'数据-取费表'!t"&amp;$G$1)</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ROUND(INDIRECT("'数据-取费表'!m"&amp;$G$1)*F16,0)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ROUND(F17*(F43+INDIRECT("'数据-取费表'!S"&amp;$G$1))/10000,0)</f>
        <v>#N/A</v>
      </c>
      <c r="D17" s="294" t="s">
        <v>717</v>
      </c>
      <c r="E17" s="294" t="s">
        <v>718</v>
      </c>
      <c r="F17" s="23">
        <f>'数据-取费表'!B35</f>
        <v>200</v>
      </c>
      <c r="G17" s="1303"/>
      <c r="H17" s="928" t="s">
        <v>398</v>
      </c>
      <c r="I17" s="294" t="s">
        <v>719</v>
      </c>
      <c r="J17" s="2139" t="e">
        <f ca="1">ROUND(IF(AND(项目基本情况!B11="自然人",项目基本情况!B10="北京市"),J6*M17/(1+'数据-取费表'!C42),J18+J19+J20),2)</f>
        <v>#N/A</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ROUND(J6*M18/(1+'数据-取费表'!C42),2)</f>
        <v>#N/A</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IF(K19="按租金收入计税",ROUND(J6*M19/(1+'数据-取费表'!C42),2),ROUND(C29*M19*0.7,2))</f>
        <v>#N/A</v>
      </c>
      <c r="K19" s="1278" t="s">
        <v>3333</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ROUND(M20*M21/10000,2)</f>
        <v>#N/A</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ROUND(J14*M22,2)</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t="e">
        <f ca="1">ROUND(J13*M23,2)</f>
        <v>#N/A</v>
      </c>
      <c r="K23" s="1256" t="s">
        <v>743</v>
      </c>
      <c r="L23" s="294" t="s">
        <v>744</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t="e">
        <f ca="1">ROUND(J5*M24,2)</f>
        <v>#N/A</v>
      </c>
      <c r="K24" s="1029" t="s">
        <v>748</v>
      </c>
      <c r="L24" s="1027" t="s">
        <v>744</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8"/>
      <c r="I30" s="1305"/>
      <c r="J30" s="1306"/>
      <c r="K30" s="121"/>
      <c r="L30" s="2469"/>
      <c r="M30" s="2470"/>
    </row>
    <row r="31" spans="1:37" ht="18" customHeight="1">
      <c r="A31" s="928" t="s">
        <v>398</v>
      </c>
      <c r="B31" s="294" t="s">
        <v>719</v>
      </c>
      <c r="C31" s="2139" t="e">
        <f ca="1">ROUND(IF(AND(项目基本情况!B11="自然人",项目基本情况!B10="北京市"),C6*F31/(1+'数据-取费表'!C42),C32+C33+C34),2)</f>
        <v>#N/A</v>
      </c>
      <c r="D31" s="1257" t="s">
        <v>720</v>
      </c>
      <c r="E31" s="1256" t="s">
        <v>770</v>
      </c>
      <c r="F31" s="2138"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t="e">
        <f ca="1">IF(项目基本情况!B11="自然人","——",ROUND(C6*F32/(1+'数据-取费表'!C42),2))</f>
        <v>#N/A</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e">
        <f ca="1">IF(项目基本情况!B11="自然人","——",IF(D33="按租金收入计税",ROUND(C6*F33/(1+'数据-取费表'!C42),2),IF(D33="按房产原值计税",ROUND(C29*F33*0.7,2),INDIRECT("'数据-取费表'!Aj"&amp;$G$1))))</f>
        <v>#N/A</v>
      </c>
      <c r="D33" s="1278" t="s">
        <v>3333</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e">
        <f ca="1">IF(项目基本情况!B11="自然人","——",ROUND(F34*F35/10000,2))</f>
        <v>#N/A</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t="e">
        <f ca="1">INDIRECT("'数据-取费表'!r"&amp;$G$1)</f>
        <v>#N/A</v>
      </c>
      <c r="G35" s="1292"/>
      <c r="H35" s="2468"/>
      <c r="I35" s="1305"/>
      <c r="J35" s="1306"/>
      <c r="K35" s="2472"/>
      <c r="L35" s="2471"/>
      <c r="M35" s="2471"/>
    </row>
    <row r="36" spans="1:18" ht="18" customHeight="1">
      <c r="A36" s="1039" t="s">
        <v>402</v>
      </c>
      <c r="B36" s="294" t="s">
        <v>738</v>
      </c>
      <c r="C36" s="21" t="e">
        <f ca="1">ROUND(C29*F36,2)</f>
        <v>#N/A</v>
      </c>
      <c r="D36" s="1256" t="s">
        <v>771</v>
      </c>
      <c r="E36" s="294" t="s">
        <v>712</v>
      </c>
      <c r="F36" s="320" t="e">
        <f ca="1">INDIRECT("'数据-取费表'!Ak"&amp;$G$1)</f>
        <v>#N/A</v>
      </c>
      <c r="G36" s="1292"/>
      <c r="H36" s="2471"/>
      <c r="I36" s="1305"/>
      <c r="J36" s="1306"/>
      <c r="K36" s="2329"/>
      <c r="L36" s="2471"/>
      <c r="M36" s="2471"/>
    </row>
    <row r="37" spans="1:18" ht="18" customHeight="1">
      <c r="A37" s="928" t="s">
        <v>437</v>
      </c>
      <c r="B37" s="294" t="s">
        <v>742</v>
      </c>
      <c r="C37" s="21" t="e">
        <f ca="1">ROUND(C13*F37,2)</f>
        <v>#N/A</v>
      </c>
      <c r="D37" s="1256" t="s">
        <v>743</v>
      </c>
      <c r="E37" s="294" t="s">
        <v>744</v>
      </c>
      <c r="F37" s="321" t="e">
        <f ca="1">INDIRECT("'数据-取费表'!Al"&amp;$G$1)</f>
        <v>#N/A</v>
      </c>
      <c r="G37" s="1292"/>
      <c r="H37" s="2471"/>
      <c r="I37" s="1305"/>
      <c r="J37" s="1306"/>
      <c r="K37" s="2329"/>
      <c r="L37" s="2471"/>
      <c r="M37" s="2471"/>
    </row>
    <row r="38" spans="1:18" ht="18" customHeight="1" thickBot="1">
      <c r="A38" s="1026" t="s">
        <v>684</v>
      </c>
      <c r="B38" s="1027" t="s">
        <v>728</v>
      </c>
      <c r="C38" s="1028" t="e">
        <f ca="1">ROUND(C5*F38,2)</f>
        <v>#N/A</v>
      </c>
      <c r="D38" s="1029" t="s">
        <v>748</v>
      </c>
      <c r="E38" s="1027" t="s">
        <v>744</v>
      </c>
      <c r="F38" s="1023" t="e">
        <f ca="1">INDIRECT("'数据-取费表'!Am"&amp;$G$1)</f>
        <v>#N/A</v>
      </c>
      <c r="G38" s="1292"/>
      <c r="H38" s="2471"/>
      <c r="I38" s="1305"/>
      <c r="J38" s="1306"/>
      <c r="K38" s="2469"/>
      <c r="L38" s="2471"/>
      <c r="M38" s="2471"/>
    </row>
    <row r="39" spans="1:18" ht="24.6" customHeight="1" thickTop="1">
      <c r="A39" s="1016" t="s">
        <v>394</v>
      </c>
      <c r="B39" s="1031" t="s">
        <v>772</v>
      </c>
      <c r="C39" s="302" t="e">
        <f ca="1">C5-C30</f>
        <v>#N/A</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#N/A</v>
      </c>
      <c r="D40" s="316" t="s">
        <v>758</v>
      </c>
      <c r="E40" s="294" t="s">
        <v>759</v>
      </c>
      <c r="F40" s="304" t="e">
        <f ca="1">INDIRECT("'数据-取费表'!I"&amp;$G$1)</f>
        <v>#N/A</v>
      </c>
      <c r="G40" s="1292"/>
      <c r="H40" s="1366" t="e">
        <f ca="1">C39/C5</f>
        <v>#N/A</v>
      </c>
      <c r="I40" s="1305"/>
      <c r="J40" s="1306"/>
      <c r="K40" s="2469"/>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9"/>
      <c r="L41" s="121"/>
      <c r="M41" s="121"/>
    </row>
    <row r="42" spans="1:18" ht="18" customHeight="1">
      <c r="A42" s="300"/>
      <c r="B42" s="301"/>
      <c r="C42" s="302"/>
      <c r="D42" s="319"/>
      <c r="E42" s="294" t="s">
        <v>766</v>
      </c>
      <c r="F42" s="304" t="e">
        <f ca="1">INDIRECT("'数据-取费表'!v"&amp;$G$1)</f>
        <v>#N/A</v>
      </c>
      <c r="G42" s="1292"/>
      <c r="H42" s="121"/>
      <c r="I42" s="1305"/>
      <c r="J42" s="1306"/>
      <c r="K42" s="2329"/>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#N/A</v>
      </c>
      <c r="D46" s="1313" t="str">
        <f>C2</f>
        <v>万元</v>
      </c>
      <c r="E46" s="1307"/>
      <c r="F46" s="1307"/>
      <c r="I46" s="1314" t="s">
        <v>810</v>
      </c>
      <c r="J46" s="1315"/>
      <c r="K46" s="1316"/>
      <c r="L46" s="1317" t="e">
        <f ca="1">IF(M47="住宅",0,IF(L48&gt;J51,L60,J60))</f>
        <v>#N/A</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3930</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40.200000000000003" thickBot="1">
      <c r="A48" s="1047" t="s">
        <v>438</v>
      </c>
      <c r="B48" s="292" t="s">
        <v>692</v>
      </c>
      <c r="C48" s="1268" t="e">
        <f ca="1">C49+C53+C55</f>
        <v>#N/A</v>
      </c>
      <c r="D48" s="1049"/>
      <c r="E48" s="1050"/>
      <c r="F48" s="908"/>
      <c r="G48" s="681"/>
      <c r="H48" s="682"/>
      <c r="I48" s="1328" t="s">
        <v>819</v>
      </c>
      <c r="J48" s="1329" t="s">
        <v>3931</v>
      </c>
      <c r="K48" s="1330" t="s">
        <v>820</v>
      </c>
      <c r="L48" s="1331" t="e">
        <f ca="1">INDIRECT("'数据-取费表'!f"&amp;$G$1)</f>
        <v>#N/A</v>
      </c>
      <c r="O48" s="1325" t="s">
        <v>404</v>
      </c>
      <c r="P48" s="1326" t="s">
        <v>821</v>
      </c>
      <c r="Q48" s="1327" t="e">
        <f ca="1">J60</f>
        <v>#N/A</v>
      </c>
      <c r="R48" s="1327" t="s">
        <v>822</v>
      </c>
    </row>
    <row r="49" spans="1:18" s="1292" customFormat="1" ht="13.8" thickBot="1">
      <c r="A49" s="921" t="s">
        <v>439</v>
      </c>
      <c r="B49" s="1279" t="s">
        <v>779</v>
      </c>
      <c r="C49" s="1051" t="e">
        <f ca="1">ROUND(F49*F51*F50*(1-F52)/10000,0)</f>
        <v>#N/A</v>
      </c>
      <c r="D49" s="992" t="s">
        <v>2108</v>
      </c>
      <c r="E49" s="1280" t="s">
        <v>780</v>
      </c>
      <c r="F49" s="997"/>
      <c r="H49" s="682"/>
      <c r="I49" s="1328" t="s">
        <v>823</v>
      </c>
      <c r="J49" s="1332">
        <f>'数据-取费表'!N18</f>
        <v>2018</v>
      </c>
      <c r="K49" s="1330" t="s">
        <v>824</v>
      </c>
      <c r="L49" s="1333"/>
      <c r="O49" s="1334" t="s">
        <v>405</v>
      </c>
      <c r="P49" s="1326" t="s">
        <v>825</v>
      </c>
      <c r="Q49" s="1327" t="e">
        <f ca="1">C29</f>
        <v>#N/A</v>
      </c>
      <c r="R49" s="1327" t="s">
        <v>818</v>
      </c>
    </row>
    <row r="50" spans="1:18" s="1292" customFormat="1" ht="13.8" thickBot="1">
      <c r="A50" s="922"/>
      <c r="B50" s="925"/>
      <c r="C50" s="1055"/>
      <c r="D50" s="899"/>
      <c r="E50" s="993" t="s">
        <v>697</v>
      </c>
      <c r="F50" s="994" t="e">
        <f ca="1">F7</f>
        <v>#N/A</v>
      </c>
      <c r="H50" s="682"/>
      <c r="I50" s="1328" t="s">
        <v>826</v>
      </c>
      <c r="J50" s="1335">
        <f>SUMPRODUCT((I63:I65=J47)*(J62:L62=J48)*(J63:L65))</f>
        <v>60</v>
      </c>
      <c r="K50" s="1330" t="s">
        <v>827</v>
      </c>
      <c r="L50" s="1333"/>
      <c r="M50" s="1336"/>
      <c r="O50" s="1334" t="s">
        <v>406</v>
      </c>
      <c r="P50" s="1326" t="s">
        <v>828</v>
      </c>
      <c r="Q50" s="1337" t="e">
        <f ca="1">J58</f>
        <v>#N/A</v>
      </c>
      <c r="R50" s="1327"/>
    </row>
    <row r="51" spans="1:18" s="1292" customFormat="1" ht="13.8" thickBot="1">
      <c r="A51" s="923"/>
      <c r="B51" s="925"/>
      <c r="C51" s="926"/>
      <c r="D51" s="899"/>
      <c r="E51" s="927" t="s">
        <v>698</v>
      </c>
      <c r="F51" s="295" t="e">
        <f ca="1">F8</f>
        <v>#N/A</v>
      </c>
      <c r="I51" s="1338" t="s">
        <v>829</v>
      </c>
      <c r="J51" s="1331">
        <f>IF(J49="",J50,J49+J50-YEAR('数据-取费表'!B2))</f>
        <v>53</v>
      </c>
      <c r="K51" s="1339" t="s">
        <v>830</v>
      </c>
      <c r="L51" s="1340" t="e">
        <f ca="1">ROUND(-PV(INDIRECT("'数据-取费表'!h"&amp;$G$1),J51,(C39-C13*C76),0),0)</f>
        <v>#N/A</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t="e">
        <f ca="1">J53</f>
        <v>#N/A</v>
      </c>
      <c r="R52" s="1327" t="s">
        <v>835</v>
      </c>
    </row>
    <row r="53" spans="1:18" s="1292" customFormat="1" ht="36.6" thickBot="1">
      <c r="A53" s="1079" t="s">
        <v>440</v>
      </c>
      <c r="B53" s="1281" t="s">
        <v>700</v>
      </c>
      <c r="C53" s="308">
        <f ca="1">ROUND(IF(F53="押一",C49/12*F11,IF(F53="押二",C49/12*2*F11,IF(F53="押三",C49/12*3*F11,C54*F11))),0)</f>
        <v>0</v>
      </c>
      <c r="D53" s="150" t="s">
        <v>2114</v>
      </c>
      <c r="E53" s="305" t="s">
        <v>701</v>
      </c>
      <c r="F53" s="1053"/>
      <c r="I53" s="1344" t="s">
        <v>836</v>
      </c>
      <c r="J53" s="2005" t="e">
        <f ca="1">IF(M47="住宅",IF(D1="——",MAX(J51,L48),MAX(J51,L48-'数据-取费表'!B24)),IF(D1="——",MIN(J51,L48),MIN(J51,L48-'数据-取费表'!B24)))</f>
        <v>#N/A</v>
      </c>
      <c r="K53" s="3388" t="s">
        <v>837</v>
      </c>
      <c r="L53" s="3389"/>
      <c r="O53" s="1325" t="s">
        <v>409</v>
      </c>
      <c r="P53" s="1326" t="s">
        <v>838</v>
      </c>
      <c r="Q53" s="1327" t="e">
        <f ca="1">Q47+Q48</f>
        <v>#N/A</v>
      </c>
      <c r="R53" s="1327" t="s">
        <v>410</v>
      </c>
    </row>
    <row r="54" spans="1:18" s="1292" customFormat="1" ht="24.6"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#N/A</v>
      </c>
      <c r="D56" s="1352"/>
      <c r="E56" s="1353"/>
      <c r="F56" s="1345"/>
      <c r="I56" s="1354" t="s">
        <v>842</v>
      </c>
      <c r="J56" s="1355" t="s">
        <v>3909</v>
      </c>
      <c r="K56" s="1328" t="s">
        <v>843</v>
      </c>
      <c r="L56" s="1331" t="e">
        <f ca="1">IF(L48&lt;J51,"——",L48-J53)</f>
        <v>#N/A</v>
      </c>
      <c r="O56" s="1325" t="s">
        <v>403</v>
      </c>
      <c r="P56" s="1326" t="s">
        <v>817</v>
      </c>
      <c r="Q56" s="1327" t="e">
        <f ca="1">C40+J29</f>
        <v>#N/A</v>
      </c>
      <c r="R56" s="1327" t="s">
        <v>818</v>
      </c>
    </row>
    <row r="57" spans="1:18" s="1292" customFormat="1" ht="24.6" thickBot="1">
      <c r="A57" s="1356"/>
      <c r="B57" s="896" t="s">
        <v>767</v>
      </c>
      <c r="C57" s="230" t="e">
        <f ca="1">C29</f>
        <v>#N/A</v>
      </c>
      <c r="D57" s="1357"/>
      <c r="E57" s="1358"/>
      <c r="F57" s="1359"/>
      <c r="I57" s="1360" t="s">
        <v>844</v>
      </c>
      <c r="J57" s="1361" t="e">
        <f ca="1">IF(OR(M47="住宅",J51&lt;L48,J56="是"),"——",J51-L48)</f>
        <v>#N/A</v>
      </c>
      <c r="K57" s="1328" t="s">
        <v>845</v>
      </c>
      <c r="L57" s="1331" t="e">
        <f ca="1">IF(L48&lt;J51,"——",IF(L55="比较法",L49,IF(L55="基准地价",L50,L51)))</f>
        <v>#N/A</v>
      </c>
      <c r="O57" s="1325" t="s">
        <v>404</v>
      </c>
      <c r="P57" s="1326" t="s">
        <v>846</v>
      </c>
      <c r="Q57" s="1327" t="e">
        <f ca="1">L60</f>
        <v>#N/A</v>
      </c>
      <c r="R57" s="1327" t="s">
        <v>847</v>
      </c>
    </row>
    <row r="58" spans="1:18" s="1292" customFormat="1" ht="24.6" thickBot="1">
      <c r="A58" s="307" t="s">
        <v>393</v>
      </c>
      <c r="B58" s="904" t="s">
        <v>714</v>
      </c>
      <c r="C58" s="308" t="e">
        <f ca="1">ROUND(C59+C64+C65+C66,0)</f>
        <v>#N/A</v>
      </c>
      <c r="D58" s="906" t="s">
        <v>715</v>
      </c>
      <c r="E58" s="907"/>
      <c r="F58" s="908"/>
      <c r="I58" s="1360" t="s">
        <v>848</v>
      </c>
      <c r="J58" s="1362" t="e">
        <f ca="1">IF(J55&lt;0.4,0.4,J55)</f>
        <v>#N/A</v>
      </c>
      <c r="K58" s="1339" t="s">
        <v>849</v>
      </c>
      <c r="L58" s="1331" t="e">
        <f ca="1">ROUND(POWER(1+L52,L47-L48)*(POWER(1+L52,L48)-1)/(POWER(1+L52,L47)-1),4)</f>
        <v>#N/A</v>
      </c>
      <c r="O58" s="1334" t="s">
        <v>405</v>
      </c>
      <c r="P58" s="1326" t="s">
        <v>850</v>
      </c>
      <c r="Q58" s="1327">
        <f>IF(L55="比较法",L49,IF(L55="基准地价",L50,0))</f>
        <v>0</v>
      </c>
      <c r="R58" s="1327" t="s">
        <v>818</v>
      </c>
    </row>
    <row r="59" spans="1:18" s="1292" customFormat="1" ht="24.6"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4" t="s">
        <v>406</v>
      </c>
      <c r="P59" s="1326" t="s">
        <v>852</v>
      </c>
      <c r="Q59" s="1337">
        <f>L52</f>
        <v>0</v>
      </c>
      <c r="R59" s="1327"/>
    </row>
    <row r="60" spans="1:18" s="1292" customFormat="1" ht="16.2" thickBot="1">
      <c r="A60" s="928" t="s">
        <v>397</v>
      </c>
      <c r="B60" s="896" t="s">
        <v>723</v>
      </c>
      <c r="C60" s="21" t="e">
        <f ca="1">IF(项目基本情况!B11="自然人","——",ROUND(C48*F60/(1+'数据-取费表'!C42),2))</f>
        <v>#N/A</v>
      </c>
      <c r="D60" s="910" t="s">
        <v>724</v>
      </c>
      <c r="E60" s="896" t="s">
        <v>712</v>
      </c>
      <c r="F60" s="322">
        <f t="shared" ref="F60:F66" si="0">F32</f>
        <v>5.6000000000000001E-2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8" thickBot="1">
      <c r="A61" s="928" t="s">
        <v>781</v>
      </c>
      <c r="B61" s="896" t="s">
        <v>782</v>
      </c>
      <c r="C61" s="21" t="e">
        <f ca="1">IF(项目基本情况!B11="自然人","——",IF(D61="按租金收入计税",ROUND(C49*F61/(1+'数据-取费表'!C42),2),IF(D61="按房产原值计税",ROUND(C57*F61*0.7,2),INDIRECT("'数据-取费表'!Aj"&amp;$G$1))))</f>
        <v>#N/A</v>
      </c>
      <c r="D61" s="1278" t="s">
        <v>3333</v>
      </c>
      <c r="E61" s="896" t="s">
        <v>783</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8" thickBot="1">
      <c r="A62" s="928" t="s">
        <v>784</v>
      </c>
      <c r="B62" s="895" t="s">
        <v>785</v>
      </c>
      <c r="C62" s="22" t="e">
        <f ca="1">IF(项目基本情况!B11="自然人","——",ROUND(F62*F63/10000,2))</f>
        <v>#N/A</v>
      </c>
      <c r="D62" s="911" t="s">
        <v>786</v>
      </c>
      <c r="E62" s="896" t="s">
        <v>787</v>
      </c>
      <c r="F62" s="317">
        <f t="shared" si="0"/>
        <v>1.5</v>
      </c>
      <c r="I62" s="1367" t="s">
        <v>858</v>
      </c>
      <c r="J62" s="610" t="s">
        <v>859</v>
      </c>
      <c r="K62" s="610" t="s">
        <v>860</v>
      </c>
      <c r="L62" s="610" t="s">
        <v>861</v>
      </c>
      <c r="M62" s="1368" t="s">
        <v>862</v>
      </c>
      <c r="O62" s="1325" t="s">
        <v>409</v>
      </c>
      <c r="P62" s="1326" t="s">
        <v>863</v>
      </c>
      <c r="Q62" s="1327" t="e">
        <f ca="1">Q56+Q57</f>
        <v>#N/A</v>
      </c>
      <c r="R62" s="1327" t="s">
        <v>410</v>
      </c>
    </row>
    <row r="63" spans="1:18" s="1292" customFormat="1" ht="13.8" thickBot="1">
      <c r="A63" s="318"/>
      <c r="B63" s="902"/>
      <c r="C63" s="26"/>
      <c r="D63" s="912"/>
      <c r="E63" s="896" t="s">
        <v>788</v>
      </c>
      <c r="F63" s="295" t="e">
        <f t="shared" ca="1" si="0"/>
        <v>#N/A</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#N/A</v>
      </c>
      <c r="D64" s="910" t="s">
        <v>791</v>
      </c>
      <c r="E64" s="896" t="s">
        <v>783</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#N/A</v>
      </c>
      <c r="D65" s="910" t="s">
        <v>743</v>
      </c>
      <c r="E65" s="896" t="s">
        <v>744</v>
      </c>
      <c r="F65" s="321" t="e">
        <f t="shared" ca="1" si="0"/>
        <v>#N/A</v>
      </c>
      <c r="I65" s="1367" t="s">
        <v>867</v>
      </c>
      <c r="J65" s="610">
        <v>40</v>
      </c>
      <c r="K65" s="610">
        <v>30</v>
      </c>
      <c r="L65" s="610">
        <v>50</v>
      </c>
      <c r="M65" s="1369">
        <v>0.02</v>
      </c>
      <c r="O65" s="1325" t="s">
        <v>403</v>
      </c>
      <c r="P65" s="1326" t="s">
        <v>868</v>
      </c>
      <c r="Q65" s="1327" t="e">
        <f ca="1">C40+J29</f>
        <v>#N/A</v>
      </c>
      <c r="R65" s="1327" t="s">
        <v>818</v>
      </c>
    </row>
    <row r="66" spans="1:18" s="1292" customFormat="1" ht="16.2" thickBot="1">
      <c r="A66" s="928" t="s">
        <v>793</v>
      </c>
      <c r="B66" s="896" t="s">
        <v>728</v>
      </c>
      <c r="C66" s="21" t="e">
        <f ca="1">ROUND(C48*F66,2)</f>
        <v>#N/A</v>
      </c>
      <c r="D66" s="910" t="s">
        <v>794</v>
      </c>
      <c r="E66" s="896" t="s">
        <v>712</v>
      </c>
      <c r="F66" s="304" t="e">
        <f t="shared" ca="1" si="0"/>
        <v>#N/A</v>
      </c>
      <c r="O66" s="1325" t="s">
        <v>404</v>
      </c>
      <c r="P66" s="1326" t="s">
        <v>846</v>
      </c>
      <c r="Q66" s="1327" t="e">
        <f ca="1">L60</f>
        <v>#N/A</v>
      </c>
      <c r="R66" s="1327" t="s">
        <v>869</v>
      </c>
    </row>
    <row r="67" spans="1:18" s="1292" customFormat="1" ht="24.6"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2"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8" thickBot="1">
      <c r="A69" s="897"/>
      <c r="B69" s="898"/>
      <c r="C69" s="298"/>
      <c r="D69" s="916" t="s">
        <v>762</v>
      </c>
      <c r="E69" s="896" t="s">
        <v>763</v>
      </c>
      <c r="F69" s="324" t="e">
        <f ca="1">F41</f>
        <v>#N/A</v>
      </c>
      <c r="O69" s="1334" t="s">
        <v>411</v>
      </c>
      <c r="P69" s="1371" t="s">
        <v>872</v>
      </c>
      <c r="Q69" s="1327" t="e">
        <f ca="1">C39</f>
        <v>#N/A</v>
      </c>
      <c r="R69" s="1327" t="s">
        <v>818</v>
      </c>
    </row>
    <row r="70" spans="1:18" s="1292" customFormat="1" ht="13.8" thickBot="1">
      <c r="A70" s="900"/>
      <c r="B70" s="901"/>
      <c r="C70" s="302"/>
      <c r="D70" s="912"/>
      <c r="E70" s="896" t="s">
        <v>766</v>
      </c>
      <c r="F70" s="991"/>
      <c r="O70" s="1334" t="s">
        <v>412</v>
      </c>
      <c r="P70" s="1371" t="s">
        <v>873</v>
      </c>
      <c r="Q70" s="1327" t="e">
        <f ca="1">C13</f>
        <v>#N/A</v>
      </c>
      <c r="R70" s="1327" t="s">
        <v>818</v>
      </c>
    </row>
    <row r="71" spans="1:18" s="1292" customFormat="1" ht="13.8" thickBot="1">
      <c r="A71" s="917" t="s">
        <v>396</v>
      </c>
      <c r="B71" s="918" t="s">
        <v>776</v>
      </c>
      <c r="C71" s="327" t="e">
        <f ca="1">ROUND(C68*10000/F71,0)</f>
        <v>#N/A</v>
      </c>
      <c r="D71" s="919" t="s">
        <v>777</v>
      </c>
      <c r="E71" s="920" t="s">
        <v>778</v>
      </c>
      <c r="F71" s="330" t="e">
        <f ca="1">F43</f>
        <v>#N/A</v>
      </c>
      <c r="O71" s="1334" t="s">
        <v>413</v>
      </c>
      <c r="P71" s="1371" t="s">
        <v>874</v>
      </c>
      <c r="Q71" s="1337" t="e">
        <f ca="1">C76</f>
        <v>#N/A</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#N/A</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8"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B13" zoomScale="80" zoomScaleNormal="80" zoomScaleSheetLayoutView="80" workbookViewId="0">
      <selection activeCell="N21" sqref="N21"/>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81.709999999999994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39</v>
      </c>
      <c r="C2" s="1846" t="s">
        <v>1935</v>
      </c>
      <c r="D2" s="162" t="s">
        <v>1936</v>
      </c>
      <c r="E2" s="3118"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Ⅸ-密1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8058</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4773</v>
      </c>
      <c r="C3" s="1846" t="s">
        <v>1941</v>
      </c>
      <c r="D3" s="162" t="s">
        <v>1942</v>
      </c>
      <c r="E3" s="3116" t="s">
        <v>3411</v>
      </c>
      <c r="F3" s="1848" t="s">
        <v>3919</v>
      </c>
      <c r="G3" s="708">
        <f>IF(F3="宗地容积率",'数据-汇总表'!I4,IF(F3="估价对象容积率",'数据-汇总表'!I6,'数据-汇总表'!I7))</f>
        <v>2.6</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6211</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00"/>
      <c r="B4" s="3401"/>
      <c r="C4" s="3401"/>
      <c r="D4" s="3402"/>
      <c r="E4" s="3402"/>
      <c r="F4" s="3402"/>
      <c r="G4" s="3402"/>
      <c r="H4" s="3402"/>
      <c r="I4" s="3402"/>
      <c r="J4" s="340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5066</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5600</v>
      </c>
      <c r="D5" s="1252">
        <f>ROUND(C6*C17+C20,0)</f>
        <v>5600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4301</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5580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3919</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九级</v>
      </c>
      <c r="Y7" s="1131" t="s">
        <v>1956</v>
      </c>
      <c r="Z7" s="1132">
        <f>G3</f>
        <v>2.6</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397" t="s">
        <v>1960</v>
      </c>
      <c r="X8" s="339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5580</v>
      </c>
      <c r="N9" s="813">
        <f>SUMPRODUCT((因素修正幅度!B277:B326=I2)*(因素修正幅度!C3:G3=E2)*(因素修正幅度!C277:G326))</f>
        <v>0.15</v>
      </c>
      <c r="O9" s="1056"/>
      <c r="P9" s="1056"/>
      <c r="Q9" s="1056"/>
      <c r="R9" s="1129">
        <v>8</v>
      </c>
      <c r="S9" s="1130"/>
      <c r="T9" s="3061">
        <f t="shared" si="0"/>
        <v>0</v>
      </c>
      <c r="U9" s="1130"/>
      <c r="V9" s="3061">
        <f t="shared" si="1"/>
        <v>0</v>
      </c>
      <c r="W9" s="3399"/>
      <c r="X9" s="3062" t="s">
        <v>3265</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39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3236</v>
      </c>
      <c r="B12" s="3011" t="s">
        <v>3237</v>
      </c>
      <c r="C12" s="3012">
        <v>1</v>
      </c>
      <c r="D12" s="3013" t="s">
        <v>3238</v>
      </c>
      <c r="E12" s="3014" t="s">
        <v>3239</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3240</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3242</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3243</v>
      </c>
      <c r="B17" s="3025" t="s">
        <v>3244</v>
      </c>
      <c r="C17" s="3034">
        <f>ROUND(IF(OR(E2="工业",E2="公共服务"),1,IF(AND(E18=0,E19=0),1,IF(AND(E18=J24,E19=G19),0.8,IF(E19=0,1+E17*(-0.2),1+E17*G17*(-0.2))))),4)</f>
        <v>1</v>
      </c>
      <c r="D17" s="3026" t="s">
        <v>3245</v>
      </c>
      <c r="E17" s="3034">
        <f>ROUND(G18/I18,2)</f>
        <v>0</v>
      </c>
      <c r="F17" s="3026" t="s">
        <v>3248</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3246</v>
      </c>
      <c r="E18" s="2355"/>
      <c r="F18" s="3028" t="s">
        <v>3249</v>
      </c>
      <c r="G18" s="3032">
        <f>ROUND(1-(1/(POWER(1+G24,E18))),4)</f>
        <v>0</v>
      </c>
      <c r="H18" s="3028" t="s">
        <v>3251</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3247</v>
      </c>
      <c r="E19" s="3041"/>
      <c r="F19" s="3042" t="s">
        <v>3250</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04" t="s">
        <v>3252</v>
      </c>
      <c r="B20" s="159" t="s">
        <v>1994</v>
      </c>
      <c r="C20" s="3029">
        <f>ROUND(IF(F21="与级别开发程度一致",0,(G21-E21)/C21),0)</f>
        <v>20</v>
      </c>
      <c r="D20" s="3044" t="s">
        <v>1998</v>
      </c>
      <c r="E20" s="3045"/>
      <c r="F20" s="3410" t="s">
        <v>1995</v>
      </c>
      <c r="G20" s="3411"/>
      <c r="H20" s="3030" t="s">
        <v>3986</v>
      </c>
      <c r="I20" s="3030" t="s">
        <v>3987</v>
      </c>
      <c r="J20" s="3031" t="s">
        <v>3988</v>
      </c>
      <c r="K20" s="1889" t="s">
        <v>3989</v>
      </c>
      <c r="L20" s="1889" t="s">
        <v>3990</v>
      </c>
      <c r="M20" s="1889" t="s">
        <v>3991</v>
      </c>
      <c r="N20" s="1889"/>
      <c r="O20" s="1890" t="s">
        <v>3992</v>
      </c>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05"/>
      <c r="B21" s="2001" t="s">
        <v>1997</v>
      </c>
      <c r="C21" s="2002">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3198" t="s">
        <v>3985</v>
      </c>
      <c r="G21" s="1994">
        <f>SUM(H21:O21)</f>
        <v>225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0</v>
      </c>
      <c r="O21" s="2004">
        <f>SUMPRODUCT((七通一平=O20)*(修正!B1:M1=G2)*(修正!B8:M16))</f>
        <v>10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6" t="s">
        <v>2002</v>
      </c>
      <c r="E23" s="717">
        <v>44197</v>
      </c>
      <c r="F23" s="1896" t="s">
        <v>2003</v>
      </c>
      <c r="G23" s="718">
        <f>'数据-取费表'!B2</f>
        <v>45875</v>
      </c>
      <c r="H23" s="3046" t="s">
        <v>3253</v>
      </c>
      <c r="I23" s="3047" t="str">
        <f>IF(H23="季度增幅（自定义）",SUMIF(N25:N28,E2,O25:O28),"")</f>
        <v/>
      </c>
      <c r="J23" s="3139" t="s">
        <v>3920</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0.92869999999999997</v>
      </c>
      <c r="D24" s="1902" t="s">
        <v>2007</v>
      </c>
      <c r="E24" s="1248">
        <f>存贷款利率!E28/100</f>
        <v>4.3499999999999997E-2</v>
      </c>
      <c r="F24" s="1902" t="s">
        <v>1999</v>
      </c>
      <c r="G24" s="724">
        <f>SUMIF(M30:Q30,E2,M33:Q33)</f>
        <v>5.5E-2</v>
      </c>
      <c r="H24" s="1902" t="s">
        <v>2008</v>
      </c>
      <c r="I24" s="725">
        <f>SUMIF('数据-取费表'!C6:C15,E2,'数据-取费表'!F6:F15)/COUNTIF('数据-取费表'!C6:C15,E2)</f>
        <v>37.380000000000003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3332</v>
      </c>
      <c r="C25" s="461">
        <f>IF(B25="容积率修正",IF(G3&lt;10,D26,J26),C27)</f>
        <v>0.91539999999999999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3254</v>
      </c>
      <c r="D26" s="1263">
        <f>IF(E26=G26,F26,IF(G3&lt;10,ROUND(F26+(H26-F26)*(G3-E26)/(G26-E26),4),"——"))</f>
        <v>0.91539999999999999</v>
      </c>
      <c r="E26" s="708">
        <f>ROUNDDOWN(G3,1)</f>
        <v>2.6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0.91539999999999999</v>
      </c>
      <c r="G26" s="708">
        <f>ROUNDUP(G3,1)</f>
        <v>2.6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0.91539999999999999</v>
      </c>
      <c r="I26" s="1912" t="s">
        <v>3255</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1.0081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39</v>
      </c>
      <c r="D30" s="1925"/>
      <c r="E30" s="1842"/>
      <c r="F30" s="1926"/>
      <c r="G30" s="1842"/>
      <c r="H30" s="1842"/>
      <c r="I30" s="1842"/>
      <c r="J30" s="1927"/>
      <c r="K30" s="1056"/>
      <c r="L30" s="3053" t="s">
        <v>1936</v>
      </c>
      <c r="M30" s="3054" t="s">
        <v>1990</v>
      </c>
      <c r="N30" s="3054" t="s">
        <v>1991</v>
      </c>
      <c r="O30" s="3054" t="s">
        <v>1992</v>
      </c>
      <c r="P30" s="3054" t="s">
        <v>1993</v>
      </c>
      <c r="Q30" s="3057"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4784</v>
      </c>
      <c r="D33" s="1940">
        <f>'数据-汇总表'!E19</f>
        <v>81.709999999999994</v>
      </c>
      <c r="E33" s="727">
        <f>ROUND(C33*D33/10000,0)</f>
        <v>39</v>
      </c>
      <c r="F33" s="3048" t="s">
        <v>3257</v>
      </c>
      <c r="G33" s="1941"/>
      <c r="H33" s="1941"/>
      <c r="I33" s="1941"/>
      <c r="J33" s="1942"/>
      <c r="K33" s="1056"/>
      <c r="L33" s="3051" t="s">
        <v>3260</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1196</v>
      </c>
      <c r="D34" s="1945"/>
      <c r="E34" s="727">
        <f>ROUND(IF(B25="楼层修正",SUM(V2:V16)*M40,C34*D34/10000),0)</f>
        <v>0</v>
      </c>
      <c r="F34" s="1946" t="s">
        <v>2032</v>
      </c>
      <c r="G34" s="1947"/>
      <c r="H34" s="1947"/>
      <c r="I34" s="1947"/>
      <c r="J34" s="1948"/>
      <c r="K34" s="1056"/>
      <c r="L34" s="3051" t="s">
        <v>3261</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3258</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3262</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08"/>
      <c r="B37" s="1955" t="s">
        <v>2036</v>
      </c>
      <c r="C37" s="167">
        <f>ROUND(D5*C22*C23*C24*C28*F37,0)</f>
        <v>2613</v>
      </c>
      <c r="D37" s="1940"/>
      <c r="E37" s="163">
        <f>ROUND(C37*D37/10000,0)</f>
        <v>0</v>
      </c>
      <c r="F37" s="163">
        <f>SUMIF(修正!A59:A70,G2,修正!B59:B70)</f>
        <v>0.5</v>
      </c>
      <c r="G37" s="163">
        <f>ROUND(IF(E2="工业",C37*$M$42,C37*$M$41),0)</f>
        <v>653</v>
      </c>
      <c r="H37" s="163">
        <f>D37</f>
        <v>0</v>
      </c>
      <c r="I37" s="163">
        <f>ROUND(G37*H37/10000,0)</f>
        <v>0</v>
      </c>
      <c r="J37" s="2752"/>
      <c r="K37" s="3059" t="s">
        <v>3263</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09"/>
      <c r="B38" s="1884" t="s">
        <v>2037</v>
      </c>
      <c r="C38" s="167">
        <f>ROUND(D5*C22*C23*C24*C28*F38,0)</f>
        <v>1045</v>
      </c>
      <c r="D38" s="1940"/>
      <c r="E38" s="163">
        <f t="shared" ref="E38:E42" si="4">ROUND(C38*D38/10000,0)</f>
        <v>0</v>
      </c>
      <c r="F38" s="163">
        <f>SUMIF(修正!A59:A70,G2,修正!C59:C70)</f>
        <v>0.2</v>
      </c>
      <c r="G38" s="163">
        <f>ROUND(IF(E2="工业",C38*$M$42,C38*$M$41),0)</f>
        <v>261</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09"/>
      <c r="B39" s="1884" t="s">
        <v>3256</v>
      </c>
      <c r="C39" s="167">
        <f>ROUND(D5*C22*C23*C24*C28*F39,0)</f>
        <v>1045</v>
      </c>
      <c r="D39" s="1940"/>
      <c r="E39" s="163">
        <f t="shared" si="4"/>
        <v>0</v>
      </c>
      <c r="F39" s="163">
        <f>SUMIF(修正!A59:A70,G2,修正!D59:D70)</f>
        <v>0.2</v>
      </c>
      <c r="G39" s="163">
        <f>ROUND(IF(E2="工业",C39*$M$42,C39*$M$41),0)</f>
        <v>261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1045</v>
      </c>
      <c r="D40" s="1940"/>
      <c r="E40" s="163">
        <f t="shared" si="4"/>
        <v>0</v>
      </c>
      <c r="F40" s="167">
        <f>SUMIF(修正!A59:A70,G2,修正!E59:E70)</f>
        <v>0.2</v>
      </c>
      <c r="G40" s="163">
        <f>ROUND(IF(E2="工业",C40*$M$42,C40*$M$41),0)</f>
        <v>261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0" t="s">
        <v>3264</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2120</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3266</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1.0081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3922</v>
      </c>
      <c r="D61" s="1002">
        <f t="shared" ref="D61:D69" si="12">SUMIF($J$60:$N$60,C61,J61:N61)</f>
        <v>-1.8700000000000001E-2</v>
      </c>
      <c r="E61" s="702">
        <f>ROUND(SUM(D61:D69),4)</f>
        <v>8.0999999999999996E-3</v>
      </c>
      <c r="F61" s="1675">
        <f>IF(E2="办公",SUMIF(L1:L12,G2,N1:N12),"——")</f>
        <v>0.15</v>
      </c>
      <c r="G61" s="1000">
        <v>1.8700000000000001E-2</v>
      </c>
      <c r="H61" s="1003">
        <f t="shared" ref="H61:H69" si="13">IFERROR(ROUNDDOWN($F$61*I61/2,4),"——")</f>
        <v>1.8700000000000001E-2</v>
      </c>
      <c r="I61" s="3066">
        <v>0.25</v>
      </c>
      <c r="J61" s="1001">
        <f t="shared" ref="J61:J69" si="14">K61+$G61</f>
        <v>3.7400000000000003E-2</v>
      </c>
      <c r="K61" s="1001">
        <f t="shared" ref="K61:K69" si="15">$L61+$G61</f>
        <v>1.8700000000000001E-2</v>
      </c>
      <c r="L61" s="1001">
        <v>0</v>
      </c>
      <c r="M61" s="1001">
        <f t="shared" ref="M61:N69" si="16">L61-$G61</f>
        <v>-1.8700000000000001E-2</v>
      </c>
      <c r="N61" s="1001">
        <f t="shared" si="16"/>
        <v>-3.7400000000000003E-2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3923</v>
      </c>
      <c r="D62" s="1002">
        <f t="shared" si="12"/>
        <v>0</v>
      </c>
      <c r="E62" s="703"/>
      <c r="F62" s="1675"/>
      <c r="G62" s="1000">
        <v>1.95E-2</v>
      </c>
      <c r="H62" s="1003">
        <f t="shared" si="13"/>
        <v>1.95E-2</v>
      </c>
      <c r="I62" s="3066">
        <v>0.26</v>
      </c>
      <c r="J62" s="1001">
        <f t="shared" si="14"/>
        <v>3.9E-2</v>
      </c>
      <c r="K62" s="1001">
        <f t="shared" si="15"/>
        <v>1.95E-2</v>
      </c>
      <c r="L62" s="1001">
        <v>0</v>
      </c>
      <c r="M62" s="1001">
        <f t="shared" si="16"/>
        <v>-1.95E-2</v>
      </c>
      <c r="N62" s="1001">
        <f t="shared" si="16"/>
        <v>-3.9E-2</v>
      </c>
      <c r="AA62" s="1057"/>
      <c r="AB62" s="1057"/>
      <c r="AC62" s="1057"/>
      <c r="AD62" s="1057"/>
      <c r="AE62" s="1057"/>
      <c r="AF62" s="1057"/>
      <c r="AG62" s="1057"/>
      <c r="AH62" s="1057"/>
      <c r="AI62" s="1057"/>
      <c r="AJ62" s="1057"/>
      <c r="AK62" s="1057"/>
    </row>
    <row r="63" spans="1:37" s="1056" customFormat="1" ht="48">
      <c r="A63" s="3068" t="s">
        <v>3266</v>
      </c>
      <c r="B63" s="1262">
        <f>估价对象房地状况!C19</f>
        <v>0</v>
      </c>
      <c r="C63" s="1887" t="s">
        <v>3923</v>
      </c>
      <c r="D63" s="1002">
        <f t="shared" si="12"/>
        <v>0</v>
      </c>
      <c r="E63" s="703"/>
      <c r="F63" s="1675"/>
      <c r="G63" s="1000">
        <v>8.2000000000000007E-3</v>
      </c>
      <c r="H63" s="1003">
        <f t="shared" si="13"/>
        <v>8.2000000000000007E-3</v>
      </c>
      <c r="I63" s="3066">
        <v>0.11</v>
      </c>
      <c r="J63" s="1001">
        <f t="shared" si="14"/>
        <v>1.6400000000000001E-2</v>
      </c>
      <c r="K63" s="1001">
        <f t="shared" si="15"/>
        <v>8.2000000000000007E-3</v>
      </c>
      <c r="L63" s="1001">
        <v>0</v>
      </c>
      <c r="M63" s="1001">
        <f t="shared" si="16"/>
        <v>-8.2000000000000007E-3</v>
      </c>
      <c r="N63" s="1001">
        <f t="shared" si="16"/>
        <v>-1.6400000000000001E-2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3923</v>
      </c>
      <c r="D64" s="1002">
        <f t="shared" si="12"/>
        <v>0</v>
      </c>
      <c r="E64" s="703"/>
      <c r="F64" s="1675"/>
      <c r="G64" s="1000">
        <v>3.7000000000000002E-3</v>
      </c>
      <c r="H64" s="1003">
        <f t="shared" si="13"/>
        <v>3.7000000000000002E-3</v>
      </c>
      <c r="I64" s="3066">
        <v>0.05</v>
      </c>
      <c r="J64" s="1001">
        <f t="shared" si="14"/>
        <v>7.4000000000000003E-3</v>
      </c>
      <c r="K64" s="1001">
        <f t="shared" si="15"/>
        <v>3.7000000000000002E-3</v>
      </c>
      <c r="L64" s="1001">
        <v>0</v>
      </c>
      <c r="M64" s="1001">
        <f t="shared" si="16"/>
        <v>-3.7000000000000002E-3</v>
      </c>
      <c r="N64" s="1001">
        <f t="shared" si="16"/>
        <v>-7.4000000000000003E-3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3924</v>
      </c>
      <c r="D65" s="1002">
        <f t="shared" si="12"/>
        <v>3.7000000000000002E-3</v>
      </c>
      <c r="E65" s="703"/>
      <c r="F65" s="1675"/>
      <c r="G65" s="1000">
        <v>3.7000000000000002E-3</v>
      </c>
      <c r="H65" s="1003">
        <f t="shared" si="13"/>
        <v>3.7000000000000002E-3</v>
      </c>
      <c r="I65" s="3066">
        <v>0.05</v>
      </c>
      <c r="J65" s="1001">
        <f t="shared" si="14"/>
        <v>7.4000000000000003E-3</v>
      </c>
      <c r="K65" s="1001">
        <f t="shared" si="15"/>
        <v>3.7000000000000002E-3</v>
      </c>
      <c r="L65" s="1001">
        <v>0</v>
      </c>
      <c r="M65" s="1001">
        <f t="shared" si="16"/>
        <v>-3.7000000000000002E-3</v>
      </c>
      <c r="N65" s="1001">
        <f t="shared" si="16"/>
        <v>-7.4000000000000003E-3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3923</v>
      </c>
      <c r="D66" s="1002">
        <f t="shared" si="12"/>
        <v>0</v>
      </c>
      <c r="E66" s="703"/>
      <c r="F66" s="1675"/>
      <c r="G66" s="1000">
        <v>4.4999999999999997E-3</v>
      </c>
      <c r="H66" s="1003">
        <f t="shared" si="13"/>
        <v>4.4999999999999997E-3</v>
      </c>
      <c r="I66" s="3066">
        <v>0.06</v>
      </c>
      <c r="J66" s="1001">
        <f t="shared" si="14"/>
        <v>8.9999999999999993E-3</v>
      </c>
      <c r="K66" s="1001">
        <f t="shared" si="15"/>
        <v>4.4999999999999997E-3</v>
      </c>
      <c r="L66" s="1001">
        <v>0</v>
      </c>
      <c r="M66" s="1001">
        <f t="shared" si="16"/>
        <v>-4.4999999999999997E-3</v>
      </c>
      <c r="N66" s="1001">
        <f t="shared" si="16"/>
        <v>-8.9999999999999993E-3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3924</v>
      </c>
      <c r="D67" s="1002">
        <f t="shared" si="12"/>
        <v>4.4999999999999997E-3</v>
      </c>
      <c r="E67" s="703"/>
      <c r="F67" s="1675"/>
      <c r="G67" s="1000">
        <v>4.4999999999999997E-3</v>
      </c>
      <c r="H67" s="1003">
        <f t="shared" si="13"/>
        <v>4.4999999999999997E-3</v>
      </c>
      <c r="I67" s="3066">
        <v>0.06</v>
      </c>
      <c r="J67" s="1001">
        <f t="shared" si="14"/>
        <v>8.9999999999999993E-3</v>
      </c>
      <c r="K67" s="1001">
        <f t="shared" si="15"/>
        <v>4.4999999999999997E-3</v>
      </c>
      <c r="L67" s="1001">
        <v>0</v>
      </c>
      <c r="M67" s="1001">
        <f t="shared" si="16"/>
        <v>-4.4999999999999997E-3</v>
      </c>
      <c r="N67" s="1001">
        <f t="shared" si="16"/>
        <v>-8.9999999999999993E-3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3925</v>
      </c>
      <c r="D68" s="1002">
        <f t="shared" si="12"/>
        <v>1.34E-2</v>
      </c>
      <c r="E68" s="703"/>
      <c r="F68" s="1675"/>
      <c r="G68" s="1000">
        <v>6.7000000000000002E-3</v>
      </c>
      <c r="H68" s="1003">
        <f t="shared" si="13"/>
        <v>6.7000000000000002E-3</v>
      </c>
      <c r="I68" s="3066">
        <v>0.09</v>
      </c>
      <c r="J68" s="1001">
        <f t="shared" si="14"/>
        <v>1.34E-2</v>
      </c>
      <c r="K68" s="1001">
        <f t="shared" si="15"/>
        <v>6.7000000000000002E-3</v>
      </c>
      <c r="L68" s="1001">
        <v>0</v>
      </c>
      <c r="M68" s="1001">
        <f t="shared" si="16"/>
        <v>-6.7000000000000002E-3</v>
      </c>
      <c r="N68" s="1001">
        <f t="shared" si="16"/>
        <v>-1.34E-2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3924</v>
      </c>
      <c r="D69" s="1002">
        <f t="shared" si="12"/>
        <v>5.1999999999999998E-3</v>
      </c>
      <c r="E69" s="704"/>
      <c r="F69" s="1675"/>
      <c r="G69" s="1000">
        <v>5.1999999999999998E-3</v>
      </c>
      <c r="H69" s="1003">
        <f t="shared" si="13"/>
        <v>5.1999999999999998E-3</v>
      </c>
      <c r="I69" s="3067">
        <v>7.0000000000000007E-2</v>
      </c>
      <c r="J69" s="1001">
        <f t="shared" si="14"/>
        <v>1.04E-2</v>
      </c>
      <c r="K69" s="1001">
        <f t="shared" si="15"/>
        <v>5.1999999999999998E-3</v>
      </c>
      <c r="L69" s="1001">
        <v>0</v>
      </c>
      <c r="M69" s="1001">
        <f t="shared" si="16"/>
        <v>-5.1999999999999998E-3</v>
      </c>
      <c r="N69" s="1001">
        <f t="shared" si="16"/>
        <v>-1.04E-2</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3266</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3267</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2610</v>
      </c>
      <c r="B91" s="3077">
        <f>1+E93</f>
        <v>1</v>
      </c>
      <c r="C91" s="3070"/>
      <c r="D91" s="3071"/>
      <c r="E91" s="1675"/>
      <c r="F91" s="1675"/>
      <c r="G91" s="3072"/>
      <c r="H91" s="3073"/>
      <c r="I91" s="3074"/>
      <c r="J91" s="3075"/>
      <c r="K91" s="3075"/>
      <c r="L91" s="3075"/>
      <c r="M91" s="3075"/>
      <c r="N91" s="3075"/>
    </row>
    <row r="92" spans="1:37" ht="25.2">
      <c r="A92" s="3078" t="s">
        <v>3268</v>
      </c>
      <c r="B92" s="2308"/>
      <c r="C92" s="2308" t="s">
        <v>3277</v>
      </c>
      <c r="D92" s="2308" t="s">
        <v>3278</v>
      </c>
      <c r="E92" s="3050" t="s">
        <v>3279</v>
      </c>
      <c r="F92" s="3080" t="s">
        <v>3280</v>
      </c>
      <c r="G92" s="2308" t="s">
        <v>3281</v>
      </c>
      <c r="H92" s="3087" t="s">
        <v>3284</v>
      </c>
      <c r="I92" s="2308" t="s">
        <v>3285</v>
      </c>
      <c r="J92" s="2149" t="s">
        <v>3286</v>
      </c>
      <c r="K92" s="2149" t="s">
        <v>3287</v>
      </c>
      <c r="L92" s="2149" t="s">
        <v>3288</v>
      </c>
      <c r="M92" s="2149" t="s">
        <v>3289</v>
      </c>
      <c r="N92" s="2149" t="s">
        <v>3290</v>
      </c>
    </row>
    <row r="93" spans="1:37" ht="24">
      <c r="A93" s="3068" t="s">
        <v>3269</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3270</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3266</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3271</v>
      </c>
      <c r="B96" s="3084" t="s">
        <v>3282</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3272</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3273</v>
      </c>
      <c r="B98" s="3085" t="s">
        <v>3283</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3274</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3275</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3276</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06" t="s">
        <v>3291</v>
      </c>
      <c r="B103" s="3406"/>
      <c r="C103" s="3406"/>
      <c r="D103" s="3406"/>
      <c r="E103" s="3406"/>
      <c r="F103" s="3406"/>
      <c r="G103" s="3406"/>
      <c r="H103" s="3406"/>
      <c r="I103" s="3406"/>
      <c r="J103" s="3406"/>
      <c r="K103" s="1667"/>
      <c r="L103" s="1667"/>
      <c r="M103" s="1667"/>
      <c r="N103" s="1667"/>
    </row>
    <row r="104" spans="1:14">
      <c r="A104" s="3407" t="s">
        <v>3292</v>
      </c>
      <c r="B104" s="3407" t="s">
        <v>3293</v>
      </c>
      <c r="C104" s="3088" t="s">
        <v>3294</v>
      </c>
      <c r="D104" s="3089"/>
      <c r="E104" s="3089"/>
      <c r="F104" s="3089"/>
      <c r="G104" s="3089"/>
      <c r="H104" s="3089"/>
      <c r="I104" s="3089"/>
      <c r="J104" s="3090"/>
      <c r="K104" s="3091"/>
      <c r="L104" s="3091"/>
      <c r="M104" s="3091"/>
      <c r="N104" s="3091"/>
    </row>
    <row r="105" spans="1:14">
      <c r="A105" s="3407"/>
      <c r="B105" s="3407"/>
      <c r="C105" s="3092" t="s">
        <v>3295</v>
      </c>
      <c r="D105" s="3092" t="s">
        <v>3296</v>
      </c>
      <c r="E105" s="3092" t="s">
        <v>3297</v>
      </c>
      <c r="F105" s="3092" t="s">
        <v>3298</v>
      </c>
      <c r="G105" s="3092" t="s">
        <v>3299</v>
      </c>
      <c r="H105" s="3092" t="s">
        <v>3300</v>
      </c>
      <c r="I105" s="3092" t="s">
        <v>3301</v>
      </c>
      <c r="J105" s="3092" t="s">
        <v>3302</v>
      </c>
      <c r="K105" s="3092" t="s">
        <v>3303</v>
      </c>
      <c r="L105" s="3092" t="s">
        <v>3304</v>
      </c>
      <c r="M105" s="3092" t="s">
        <v>3305</v>
      </c>
      <c r="N105" s="3092" t="s">
        <v>3306</v>
      </c>
    </row>
    <row r="106" spans="1:14">
      <c r="A106" s="3393" t="s">
        <v>3307</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9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9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9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9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94"/>
      <c r="B111" s="3092" t="s">
        <v>3265</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39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396" t="s">
        <v>3308</v>
      </c>
      <c r="B113" s="3396"/>
      <c r="C113" s="3396"/>
      <c r="D113" s="3396"/>
      <c r="E113" s="3396"/>
      <c r="F113" s="3396"/>
      <c r="G113" s="3396"/>
      <c r="H113" s="3396"/>
      <c r="I113" s="3396"/>
      <c r="J113" s="339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3309</v>
      </c>
      <c r="B116" s="3112">
        <f>G3</f>
        <v>2.6</v>
      </c>
      <c r="C116" s="3097" t="s">
        <v>3310</v>
      </c>
      <c r="D116" s="3098">
        <f>SUMPRODUCT((A118:A122=F116)*(B117:M117=H116)*B118:M122)</f>
        <v>0.79069999999999996</v>
      </c>
      <c r="E116" s="162" t="s">
        <v>3311</v>
      </c>
      <c r="F116" s="3099" t="str">
        <f>E2</f>
        <v>办公</v>
      </c>
      <c r="G116" s="162" t="s">
        <v>3312</v>
      </c>
      <c r="H116" s="3099" t="str">
        <f>G2</f>
        <v>九级</v>
      </c>
      <c r="I116" s="162"/>
      <c r="J116" s="3100"/>
      <c r="K116" s="3100"/>
      <c r="L116" s="3100"/>
      <c r="M116" s="3100"/>
      <c r="N116" s="3095"/>
    </row>
    <row r="117" spans="1:14">
      <c r="A117" s="3101"/>
      <c r="B117" s="3102" t="s">
        <v>3313</v>
      </c>
      <c r="C117" s="3102" t="s">
        <v>3314</v>
      </c>
      <c r="D117" s="3102" t="s">
        <v>3315</v>
      </c>
      <c r="E117" s="3103" t="s">
        <v>3316</v>
      </c>
      <c r="F117" s="3103" t="s">
        <v>3317</v>
      </c>
      <c r="G117" s="3103" t="s">
        <v>3318</v>
      </c>
      <c r="H117" s="3104" t="s">
        <v>3319</v>
      </c>
      <c r="I117" s="3104" t="s">
        <v>3320</v>
      </c>
      <c r="J117" s="3105" t="s">
        <v>3321</v>
      </c>
      <c r="K117" s="3105" t="s">
        <v>3322</v>
      </c>
      <c r="L117" s="3105" t="s">
        <v>3323</v>
      </c>
      <c r="M117" s="3106" t="s">
        <v>3324</v>
      </c>
      <c r="N117" s="3095"/>
    </row>
    <row r="118" spans="1:14">
      <c r="A118" s="3055" t="s">
        <v>3325</v>
      </c>
      <c r="B118" s="3087">
        <f>ROUND(0.9968-0.011*B116,4)</f>
        <v>0.96819999999999995</v>
      </c>
      <c r="C118" s="3087">
        <f>B118</f>
        <v>0.96819999999999995</v>
      </c>
      <c r="D118" s="3087">
        <f>ROUND(0.949-0.014*B116,4)</f>
        <v>0.91259999999999997</v>
      </c>
      <c r="E118" s="3087">
        <f>D118</f>
        <v>0.91259999999999997</v>
      </c>
      <c r="F118" s="3087">
        <f>E118</f>
        <v>0.91259999999999997</v>
      </c>
      <c r="G118" s="3087">
        <f>F118</f>
        <v>0.91259999999999997</v>
      </c>
      <c r="H118" s="3087">
        <f>G118</f>
        <v>0.91259999999999997</v>
      </c>
      <c r="I118" s="3087">
        <f>ROUND(0.8486-0.018*B116,4)</f>
        <v>0.80179999999999996</v>
      </c>
      <c r="J118" s="3087">
        <f t="shared" ref="J118:M122" si="35">I118</f>
        <v>0.80179999999999996</v>
      </c>
      <c r="K118" s="3087">
        <f t="shared" si="35"/>
        <v>0.80179999999999996</v>
      </c>
      <c r="L118" s="3087">
        <f t="shared" si="35"/>
        <v>0.80179999999999996</v>
      </c>
      <c r="M118" s="3107">
        <f t="shared" si="35"/>
        <v>0.80179999999999996</v>
      </c>
      <c r="N118" s="3095"/>
    </row>
    <row r="119" spans="1:14">
      <c r="A119" s="3055" t="s">
        <v>3326</v>
      </c>
      <c r="B119" s="3087">
        <f>ROUND(0.993-0.0112*B116,4)</f>
        <v>0.96389999999999998</v>
      </c>
      <c r="C119" s="3087">
        <f>B119</f>
        <v>0.96389999999999998</v>
      </c>
      <c r="D119" s="3087">
        <f>ROUND(0.9415-0.0142*B116,4)</f>
        <v>0.90459999999999996</v>
      </c>
      <c r="E119" s="3087">
        <f t="shared" ref="E119:H120" si="36">D119</f>
        <v>0.90459999999999996</v>
      </c>
      <c r="F119" s="3087">
        <f t="shared" si="36"/>
        <v>0.90459999999999996</v>
      </c>
      <c r="G119" s="3087">
        <f t="shared" si="36"/>
        <v>0.90459999999999996</v>
      </c>
      <c r="H119" s="3087">
        <f t="shared" si="36"/>
        <v>0.90459999999999996</v>
      </c>
      <c r="I119" s="3087">
        <f>ROUND(0.838-0.0182*B116,4)</f>
        <v>0.79069999999999996</v>
      </c>
      <c r="J119" s="3087">
        <f t="shared" si="35"/>
        <v>0.79069999999999996</v>
      </c>
      <c r="K119" s="3087">
        <f t="shared" si="35"/>
        <v>0.79069999999999996</v>
      </c>
      <c r="L119" s="3087">
        <f t="shared" si="35"/>
        <v>0.79069999999999996</v>
      </c>
      <c r="M119" s="3107">
        <f t="shared" si="35"/>
        <v>0.79069999999999996</v>
      </c>
      <c r="N119" s="3095"/>
    </row>
    <row r="120" spans="1:14">
      <c r="A120" s="3055" t="s">
        <v>3327</v>
      </c>
      <c r="B120" s="3087">
        <f>ROUND(0.9448-0.0115*B116,4)</f>
        <v>0.91490000000000005</v>
      </c>
      <c r="C120" s="3087">
        <f>B120</f>
        <v>0.91490000000000005</v>
      </c>
      <c r="D120" s="3087">
        <f>ROUND(0.937-0.0145*B116,4)</f>
        <v>0.89929999999999999</v>
      </c>
      <c r="E120" s="3087">
        <f t="shared" si="36"/>
        <v>0.89929999999999999</v>
      </c>
      <c r="F120" s="3087">
        <f t="shared" si="36"/>
        <v>0.89929999999999999</v>
      </c>
      <c r="G120" s="3087">
        <f t="shared" si="36"/>
        <v>0.89929999999999999</v>
      </c>
      <c r="H120" s="3087">
        <f t="shared" si="36"/>
        <v>0.89929999999999999</v>
      </c>
      <c r="I120" s="3087">
        <f>ROUND(0.7965-0.0185*B116,4)</f>
        <v>0.74839999999999995</v>
      </c>
      <c r="J120" s="3087">
        <f t="shared" si="35"/>
        <v>0.74839999999999995</v>
      </c>
      <c r="K120" s="3087">
        <f t="shared" si="35"/>
        <v>0.74839999999999995</v>
      </c>
      <c r="L120" s="3087">
        <f t="shared" si="35"/>
        <v>0.74839999999999995</v>
      </c>
      <c r="M120" s="3107">
        <f t="shared" si="35"/>
        <v>0.74839999999999995</v>
      </c>
      <c r="N120" s="3095"/>
    </row>
    <row r="121" spans="1:14" ht="13.8" thickBot="1">
      <c r="A121" s="3108" t="s">
        <v>3328</v>
      </c>
      <c r="B121" s="3109">
        <f>ROUND(0.7836-0.012*B116,4)</f>
        <v>0.75239999999999996</v>
      </c>
      <c r="C121" s="3109">
        <f>B121</f>
        <v>0.75239999999999996</v>
      </c>
      <c r="D121" s="3109">
        <f>ROUND(0.753-0.015*B116,4)</f>
        <v>0.71399999999999997</v>
      </c>
      <c r="E121" s="3109">
        <f>D121</f>
        <v>0.71399999999999997</v>
      </c>
      <c r="F121" s="3109">
        <f>E121</f>
        <v>0.71399999999999997</v>
      </c>
      <c r="G121" s="3109">
        <f>ROUND(0.6612-0.018*B116,4)</f>
        <v>0.61439999999999995</v>
      </c>
      <c r="H121" s="3109">
        <f>G121</f>
        <v>0.61439999999999995</v>
      </c>
      <c r="I121" s="3109">
        <f>ROUND(0.5905-0.019*B116,4)</f>
        <v>0.54110000000000003</v>
      </c>
      <c r="J121" s="3109">
        <f t="shared" si="35"/>
        <v>0.54110000000000003</v>
      </c>
      <c r="K121" s="3109">
        <f t="shared" si="35"/>
        <v>0.54110000000000003</v>
      </c>
      <c r="L121" s="3109">
        <f t="shared" si="35"/>
        <v>0.54110000000000003</v>
      </c>
      <c r="M121" s="3110">
        <f t="shared" si="35"/>
        <v>0.54110000000000003</v>
      </c>
      <c r="N121" s="3095"/>
    </row>
    <row r="122" spans="1:14">
      <c r="A122" s="3111" t="s">
        <v>2610</v>
      </c>
      <c r="B122" s="3087">
        <f>ROUND(0.9404-0.0106*B116,4)</f>
        <v>0.91279999999999994</v>
      </c>
      <c r="C122" s="3087">
        <f>B122</f>
        <v>0.91279999999999994</v>
      </c>
      <c r="D122" s="3087">
        <f>ROUND(0.8955-0.0135*B116,4)</f>
        <v>0.86040000000000005</v>
      </c>
      <c r="E122" s="3087">
        <f t="shared" ref="E122:H122" si="37">D122</f>
        <v>0.86040000000000005</v>
      </c>
      <c r="F122" s="3087">
        <f t="shared" si="37"/>
        <v>0.86040000000000005</v>
      </c>
      <c r="G122" s="3087">
        <f t="shared" si="37"/>
        <v>0.86040000000000005</v>
      </c>
      <c r="H122" s="3087">
        <f t="shared" si="37"/>
        <v>0.86040000000000005</v>
      </c>
      <c r="I122" s="3087">
        <f>ROUND(0.7632-0.0166*B116,4)</f>
        <v>0.72</v>
      </c>
      <c r="J122" s="3087">
        <f t="shared" si="35"/>
        <v>0.72</v>
      </c>
      <c r="K122" s="3087">
        <f t="shared" si="35"/>
        <v>0.72</v>
      </c>
      <c r="L122" s="3087">
        <f t="shared" si="35"/>
        <v>0.72</v>
      </c>
      <c r="M122" s="3107">
        <f t="shared" si="35"/>
        <v>0.72</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55" sqref="J5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3959</v>
      </c>
      <c r="D1" s="1271" t="s">
        <v>43</v>
      </c>
      <c r="E1" s="1272" t="s">
        <v>678</v>
      </c>
      <c r="F1" s="999">
        <f ca="1">J53</f>
        <v>37.380000000000003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63.436300000000003</v>
      </c>
      <c r="C2" s="1289" t="s">
        <v>879</v>
      </c>
      <c r="D2" s="1375">
        <f ca="1">C40+J29+L46</f>
        <v>634363</v>
      </c>
      <c r="E2" s="1295" t="s">
        <v>880</v>
      </c>
      <c r="F2" s="1296"/>
      <c r="G2" s="2476"/>
      <c r="H2" s="2466"/>
      <c r="I2" s="2466"/>
      <c r="J2" s="2466"/>
      <c r="K2" s="2467"/>
      <c r="L2" s="2466"/>
      <c r="M2" s="2466"/>
    </row>
    <row r="3" spans="1:37" ht="18" customHeight="1" thickBot="1">
      <c r="A3" s="1297" t="s">
        <v>881</v>
      </c>
      <c r="B3" s="1298">
        <f ca="1">IF(ISERROR(D2/F43),0,ROUND(D2/F43,0))</f>
        <v>7764</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40313</v>
      </c>
      <c r="D5" s="1273" t="s">
        <v>889</v>
      </c>
      <c r="E5" s="1008"/>
      <c r="F5" s="1009"/>
      <c r="G5" s="1292"/>
      <c r="H5" s="291">
        <v>1</v>
      </c>
      <c r="I5" s="292" t="s">
        <v>888</v>
      </c>
      <c r="J5" s="1007">
        <f ca="1">J6+J10+J12</f>
        <v>0</v>
      </c>
      <c r="K5" s="1273" t="s">
        <v>889</v>
      </c>
      <c r="L5" s="1008"/>
      <c r="M5" s="1009"/>
    </row>
    <row r="6" spans="1:37" ht="18" customHeight="1">
      <c r="A6" s="1006" t="s">
        <v>398</v>
      </c>
      <c r="B6" s="3390" t="s">
        <v>694</v>
      </c>
      <c r="C6" s="1011">
        <f ca="1">ROUND(F6*F8*F7*(1-F9),0)</f>
        <v>40263</v>
      </c>
      <c r="D6" s="147" t="s">
        <v>2104</v>
      </c>
      <c r="E6" s="294" t="s">
        <v>696</v>
      </c>
      <c r="F6" s="295">
        <f ca="1">INDIRECT("'数据-取费表'!u"&amp;$G$1)</f>
        <v>1.5</v>
      </c>
      <c r="G6" s="1292"/>
      <c r="H6" s="1006" t="s">
        <v>398</v>
      </c>
      <c r="I6" s="3390" t="s">
        <v>694</v>
      </c>
      <c r="J6" s="293">
        <f ca="1">ROUND(M6*M8*M7*(1-M9),0)</f>
        <v>0</v>
      </c>
      <c r="K6" s="1284" t="s">
        <v>2105</v>
      </c>
      <c r="L6" s="294" t="s">
        <v>696</v>
      </c>
      <c r="M6" s="295">
        <f ca="1">INDIRECT("'数据-取费表'!z"&amp;$G$1)</f>
        <v>0</v>
      </c>
    </row>
    <row r="7" spans="1:37" ht="18" customHeight="1">
      <c r="A7" s="1010"/>
      <c r="B7" s="3391"/>
      <c r="C7" s="1012"/>
      <c r="D7" s="299"/>
      <c r="E7" s="1013" t="s">
        <v>697</v>
      </c>
      <c r="F7" s="295">
        <f ca="1">IF(INDIRECT("'数据-取费表'!ah"&amp;$G$1)="",INDIRECT("'数据-取费表'!k"&amp;$G$1),INDIRECT("'数据-取费表'!ah"&amp;$G$1))</f>
        <v>81.709999999999994</v>
      </c>
      <c r="G7" s="1292"/>
      <c r="H7" s="296"/>
      <c r="I7" s="3391"/>
      <c r="J7" s="298"/>
      <c r="K7" s="299"/>
      <c r="L7" s="294" t="s">
        <v>697</v>
      </c>
      <c r="M7" s="295">
        <f ca="1">F7</f>
        <v>81.709999999999994</v>
      </c>
    </row>
    <row r="8" spans="1:37" ht="18" customHeight="1">
      <c r="A8" s="296"/>
      <c r="B8" s="3391"/>
      <c r="C8" s="298"/>
      <c r="D8" s="299"/>
      <c r="E8" s="294" t="s">
        <v>698</v>
      </c>
      <c r="F8" s="295">
        <f ca="1">INDIRECT("'数据-取费表'!ai"&amp;$G$1)</f>
        <v>365</v>
      </c>
      <c r="G8" s="1292"/>
      <c r="H8" s="296"/>
      <c r="I8" s="3391"/>
      <c r="J8" s="298"/>
      <c r="K8" s="299"/>
      <c r="L8" s="294" t="s">
        <v>698</v>
      </c>
      <c r="M8" s="295">
        <f ca="1">INDIRECT("'数据-取费表'!ai"&amp;$G$1)</f>
        <v>365</v>
      </c>
    </row>
    <row r="9" spans="1:37" ht="18" customHeight="1">
      <c r="A9" s="296"/>
      <c r="B9" s="3392"/>
      <c r="C9" s="298"/>
      <c r="D9" s="299"/>
      <c r="E9" s="294" t="s">
        <v>699</v>
      </c>
      <c r="F9" s="304">
        <f ca="1">INDIRECT("'数据-取费表'!w"&amp;$G$1)</f>
        <v>0.1</v>
      </c>
      <c r="G9" s="1292"/>
      <c r="H9" s="296"/>
      <c r="I9" s="3392"/>
      <c r="J9" s="298"/>
      <c r="K9" s="299"/>
      <c r="L9" s="305" t="s">
        <v>699</v>
      </c>
      <c r="M9" s="306">
        <f ca="1">INDIRECT("'数据-取费表'!ab"&amp;$G$1)</f>
        <v>0</v>
      </c>
    </row>
    <row r="10" spans="1:37" ht="18" customHeight="1">
      <c r="A10" s="1006" t="s">
        <v>402</v>
      </c>
      <c r="B10" s="1274" t="s">
        <v>700</v>
      </c>
      <c r="C10" s="308">
        <f ca="1">ROUND(IF(F10="押一",C6/12*F11,IF(F10="押二",C6/12*2*F11,IF(F10="押三",C6/12*3*F11,C11*F11))),0)</f>
        <v>50</v>
      </c>
      <c r="D10" s="150" t="s">
        <v>2114</v>
      </c>
      <c r="E10" s="305" t="s">
        <v>701</v>
      </c>
      <c r="F10" s="1053" t="s">
        <v>3929</v>
      </c>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420020</v>
      </c>
      <c r="D13" s="1018" t="s">
        <v>705</v>
      </c>
      <c r="E13" s="1018" t="s">
        <v>706</v>
      </c>
      <c r="F13" s="1019">
        <f ca="1">INDIRECT("'数据-取费表'!y"&amp;$G$1)</f>
        <v>0.88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326840</v>
      </c>
      <c r="D14" s="1257" t="s">
        <v>708</v>
      </c>
      <c r="E14" s="1255"/>
      <c r="F14" s="311"/>
      <c r="G14" s="1292"/>
      <c r="H14" s="928" t="s">
        <v>398</v>
      </c>
      <c r="I14" s="294" t="s">
        <v>709</v>
      </c>
      <c r="J14" s="21">
        <f ca="1">C29</f>
        <v>477295</v>
      </c>
      <c r="K14" s="12"/>
      <c r="L14" s="759"/>
      <c r="M14" s="760"/>
    </row>
    <row r="15" spans="1:37" s="1304" customFormat="1" ht="18" customHeight="1" thickBot="1">
      <c r="A15" s="928" t="s">
        <v>399</v>
      </c>
      <c r="B15" s="294" t="s">
        <v>710</v>
      </c>
      <c r="C15" s="21">
        <f ca="1">ROUND(C14*F15,0)</f>
        <v>16342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2386</v>
      </c>
      <c r="K16" s="1024" t="s">
        <v>715</v>
      </c>
      <c r="L16" s="1025"/>
      <c r="M16" s="1009"/>
    </row>
    <row r="17" spans="1:37" s="1304" customFormat="1" ht="18" customHeight="1">
      <c r="A17" s="928" t="s">
        <v>681</v>
      </c>
      <c r="B17" s="294" t="s">
        <v>716</v>
      </c>
      <c r="C17" s="21">
        <f ca="1">ROUND(F17*(F43+INDIRECT("'数据-取费表'!S"&amp;$G$1)),0)</f>
        <v>16342</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6537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366061</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7321</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2386</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11202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-2386</v>
      </c>
      <c r="K25" s="1032" t="s">
        <v>753</v>
      </c>
      <c r="L25" s="1033"/>
      <c r="M25" s="1034"/>
    </row>
    <row r="26" spans="1:37" ht="18" customHeight="1">
      <c r="A26" s="928" t="s">
        <v>397</v>
      </c>
      <c r="B26" s="294" t="s">
        <v>754</v>
      </c>
      <c r="C26" s="21">
        <f ca="1">ROUND((C19+C20)*F26,0)</f>
        <v>56007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477295</v>
      </c>
      <c r="D29" s="1029"/>
      <c r="E29" s="1027"/>
      <c r="F29" s="1030"/>
      <c r="G29" s="1303"/>
      <c r="H29" s="325" t="s">
        <v>396</v>
      </c>
      <c r="I29" s="326" t="s">
        <v>768</v>
      </c>
      <c r="J29" s="327">
        <f ca="1">ROUND(J26/(1+F40)^F41,0)</f>
        <v>0</v>
      </c>
      <c r="K29" s="328" t="s">
        <v>769</v>
      </c>
      <c r="L29" s="329"/>
      <c r="M29" s="330">
        <f ca="1">INDIRECT("'数据-取费表'!k"&amp;$G$1)</f>
        <v>81.709999999999994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9957</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6748</v>
      </c>
      <c r="D31" s="1257" t="s">
        <v>720</v>
      </c>
      <c r="E31" s="1256" t="s">
        <v>770</v>
      </c>
      <c r="F31" s="2138"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IF(项目基本情况!B11="自然人","——",ROUND(C6*F32/(1+'数据-取费表'!C42),0))</f>
        <v>2147</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4601</v>
      </c>
      <c r="D33" s="1278" t="s">
        <v>3333</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2386</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420</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403</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30356</v>
      </c>
      <c r="D39" s="1032" t="s">
        <v>773</v>
      </c>
      <c r="E39" s="1033"/>
      <c r="F39" s="1034"/>
      <c r="G39" s="1292"/>
      <c r="H39" s="2471"/>
      <c r="I39" s="1305"/>
      <c r="J39" s="1306"/>
      <c r="K39" s="2469"/>
      <c r="L39" s="2471"/>
      <c r="M39" s="2471"/>
    </row>
    <row r="40" spans="1:18" ht="18" customHeight="1">
      <c r="A40" s="291" t="s">
        <v>395</v>
      </c>
      <c r="B40" s="292" t="s">
        <v>774</v>
      </c>
      <c r="C40" s="293">
        <f ca="1">ROUND(C39*(1-((1+F42)/(1+F40))^F41)/(F40-F42),0)</f>
        <v>621575</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37.380000000000003</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f ca="1">C39/C5</f>
        <v>0.75300771463299676</v>
      </c>
      <c r="I42" s="1305"/>
      <c r="J42" s="1306"/>
      <c r="K42" s="2329"/>
      <c r="L42" s="121"/>
      <c r="M42" s="121"/>
    </row>
    <row r="43" spans="1:18" ht="18" customHeight="1" thickBot="1">
      <c r="A43" s="325" t="s">
        <v>396</v>
      </c>
      <c r="B43" s="326" t="s">
        <v>776</v>
      </c>
      <c r="C43" s="327">
        <f ca="1">ROUND(C40/F43,0)</f>
        <v>7607</v>
      </c>
      <c r="D43" s="328" t="s">
        <v>777</v>
      </c>
      <c r="E43" s="329" t="s">
        <v>778</v>
      </c>
      <c r="F43" s="330">
        <f ca="1">INDIRECT("'数据-取费表'!k"&amp;$G$1)</f>
        <v>81.709999999999994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3349</v>
      </c>
      <c r="B45" s="1307"/>
      <c r="C45" s="1376">
        <f ca="1">ROUND((C68-C40)/10000,4)</f>
        <v>-66.569800000000001</v>
      </c>
      <c r="D45" s="3128" t="s">
        <v>3350</v>
      </c>
      <c r="E45" s="1307"/>
      <c r="F45" s="1307"/>
      <c r="O45" s="1310" t="s">
        <v>808</v>
      </c>
      <c r="P45" s="1366"/>
      <c r="Q45" s="1366"/>
      <c r="R45" s="1366"/>
    </row>
    <row r="46" spans="1:18" s="1292" customFormat="1" ht="13.8" thickBot="1">
      <c r="A46" s="1311" t="s">
        <v>809</v>
      </c>
      <c r="C46" s="1312">
        <f ca="1">ROUND(C45,0)</f>
        <v>-67</v>
      </c>
      <c r="D46" s="1313" t="str">
        <f>C2</f>
        <v>万元</v>
      </c>
      <c r="I46" s="1314" t="s">
        <v>810</v>
      </c>
      <c r="J46" s="1315"/>
      <c r="K46" s="1316"/>
      <c r="L46" s="1317">
        <f ca="1">IF(M47="住宅",0,IF(L48&gt;J51,L60,J60))</f>
        <v>12788</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3930</v>
      </c>
      <c r="K47" s="1323" t="s">
        <v>816</v>
      </c>
      <c r="L47" s="1324">
        <f ca="1">INDIRECT("'数据-取费表'!d"&amp;$G$1)</f>
        <v>50</v>
      </c>
      <c r="M47" s="1288" t="str">
        <f>IF(ISNUMBER(FIND("住宅",C1)),"住宅","非住宅")</f>
        <v>非住宅</v>
      </c>
      <c r="O47" s="1325" t="s">
        <v>403</v>
      </c>
      <c r="P47" s="1326" t="s">
        <v>817</v>
      </c>
      <c r="Q47" s="1327">
        <f ca="1">C40+J29</f>
        <v>621575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3931</v>
      </c>
      <c r="K48" s="1330" t="s">
        <v>820</v>
      </c>
      <c r="L48" s="1331">
        <f ca="1">INDIRECT("'数据-取费表'!f"&amp;$G$1)</f>
        <v>37.380000000000003</v>
      </c>
      <c r="O48" s="1325" t="s">
        <v>404</v>
      </c>
      <c r="P48" s="1326" t="s">
        <v>821</v>
      </c>
      <c r="Q48" s="1327">
        <f ca="1">J60</f>
        <v>12788</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2018</v>
      </c>
      <c r="K49" s="1330" t="s">
        <v>824</v>
      </c>
      <c r="L49" s="1333"/>
      <c r="O49" s="1334" t="s">
        <v>405</v>
      </c>
      <c r="P49" s="1326" t="s">
        <v>825</v>
      </c>
      <c r="Q49" s="1327">
        <f ca="1">C29</f>
        <v>477295</v>
      </c>
      <c r="R49" s="1327" t="s">
        <v>818</v>
      </c>
    </row>
    <row r="50" spans="1:18" s="1292" customFormat="1" ht="13.8" thickBot="1">
      <c r="A50" s="922"/>
      <c r="B50" s="925"/>
      <c r="C50" s="926"/>
      <c r="D50" s="899"/>
      <c r="E50" s="993" t="s">
        <v>697</v>
      </c>
      <c r="F50" s="994">
        <f ca="1">F7</f>
        <v>81.709999999999994</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53</v>
      </c>
      <c r="K51" s="1339" t="s">
        <v>830</v>
      </c>
      <c r="L51" s="1340">
        <f ca="1">ROUND(-PV(INDIRECT("'数据-取费表'!h"&amp;$G$1),J51,(C39-C13*C76),0),0)</f>
        <v>17654</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37.380000000000003</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5">
        <f ca="1">IF(M47="住宅",IF(D1="——",MAX(J51,L48),MAX(J51,L48-'数据-取费表'!B24)),IF(D1="——",MIN(J51,L48),MIN(J51,L48-'数据-取费表'!B24)))</f>
        <v>37.380000000000003</v>
      </c>
      <c r="K53" s="3388" t="s">
        <v>837</v>
      </c>
      <c r="L53" s="3389"/>
      <c r="O53" s="1325" t="s">
        <v>409</v>
      </c>
      <c r="P53" s="1326" t="s">
        <v>838</v>
      </c>
      <c r="Q53" s="1327">
        <f ca="1">Q47+Q48</f>
        <v>634363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0.26</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420020</v>
      </c>
      <c r="D56" s="1352"/>
      <c r="E56" s="1353"/>
      <c r="F56" s="1345"/>
      <c r="I56" s="1354" t="s">
        <v>842</v>
      </c>
      <c r="J56" s="1355" t="s">
        <v>3909</v>
      </c>
      <c r="K56" s="1328" t="s">
        <v>843</v>
      </c>
      <c r="L56" s="1331" t="str">
        <f ca="1">IF(L48&lt;J51,"——",L48-J51)</f>
        <v>——</v>
      </c>
      <c r="O56" s="1325" t="s">
        <v>403</v>
      </c>
      <c r="P56" s="1326" t="s">
        <v>817</v>
      </c>
      <c r="Q56" s="1327">
        <f ca="1">C40+J29</f>
        <v>621575</v>
      </c>
      <c r="R56" s="1327" t="s">
        <v>818</v>
      </c>
    </row>
    <row r="57" spans="1:18" s="1292" customFormat="1" ht="24.6" thickBot="1">
      <c r="A57" s="1356"/>
      <c r="B57" s="896" t="s">
        <v>767</v>
      </c>
      <c r="C57" s="230">
        <f ca="1">C29</f>
        <v>477295</v>
      </c>
      <c r="D57" s="1357"/>
      <c r="E57" s="1358"/>
      <c r="F57" s="1359"/>
      <c r="I57" s="1360" t="s">
        <v>844</v>
      </c>
      <c r="J57" s="1361">
        <f ca="1">IF(OR(M47="住宅",J51&lt;L48,J56="是"),"——",J51-L48)</f>
        <v>15.619999999999997</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2806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190918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12788</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621575</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2386</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420</v>
      </c>
      <c r="D65" s="910" t="s">
        <v>743</v>
      </c>
      <c r="E65" s="896" t="s">
        <v>744</v>
      </c>
      <c r="F65" s="321">
        <f t="shared" ca="1" si="0"/>
        <v>1E-3</v>
      </c>
      <c r="I65" s="1367" t="s">
        <v>867</v>
      </c>
      <c r="J65" s="610">
        <v>40</v>
      </c>
      <c r="K65" s="610">
        <v>30</v>
      </c>
      <c r="L65" s="610">
        <v>50</v>
      </c>
      <c r="M65" s="1369">
        <v>0.02</v>
      </c>
      <c r="O65" s="1325" t="s">
        <v>403</v>
      </c>
      <c r="P65" s="1326" t="s">
        <v>868</v>
      </c>
      <c r="Q65" s="1327">
        <f ca="1">C40+J29</f>
        <v>621575</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-2806</v>
      </c>
      <c r="D67" s="909" t="s">
        <v>753</v>
      </c>
      <c r="E67" s="914"/>
      <c r="F67" s="915"/>
      <c r="O67" s="1334" t="s">
        <v>405</v>
      </c>
      <c r="P67" s="1326" t="s">
        <v>850</v>
      </c>
      <c r="Q67" s="1370">
        <f ca="1">L51</f>
        <v>17654</v>
      </c>
      <c r="R67" s="1327" t="s">
        <v>870</v>
      </c>
    </row>
    <row r="68" spans="1:18" s="1292" customFormat="1" ht="16.2" thickBot="1">
      <c r="A68" s="893" t="s">
        <v>395</v>
      </c>
      <c r="B68" s="894" t="s">
        <v>774</v>
      </c>
      <c r="C68" s="293">
        <f ca="1">ROUND(C67*(1-((1+F70)/(1+F68))^F69)/(F68-F70),0)</f>
        <v>-44123</v>
      </c>
      <c r="D68" s="911" t="s">
        <v>758</v>
      </c>
      <c r="E68" s="896" t="s">
        <v>759</v>
      </c>
      <c r="F68" s="304">
        <f ca="1">F40</f>
        <v>5.5E-2</v>
      </c>
      <c r="O68" s="1334" t="s">
        <v>406</v>
      </c>
      <c r="P68" s="1371" t="s">
        <v>871</v>
      </c>
      <c r="Q68" s="1327">
        <f ca="1">ROUND(Q69-Q70*Q71,0)</f>
        <v>955</v>
      </c>
      <c r="R68" s="1327" t="s">
        <v>414</v>
      </c>
    </row>
    <row r="69" spans="1:18" s="1292" customFormat="1" ht="13.8" thickBot="1">
      <c r="A69" s="897"/>
      <c r="B69" s="898"/>
      <c r="C69" s="298"/>
      <c r="D69" s="916" t="s">
        <v>762</v>
      </c>
      <c r="E69" s="896" t="s">
        <v>763</v>
      </c>
      <c r="F69" s="324">
        <f ca="1">F41</f>
        <v>37.380000000000003</v>
      </c>
      <c r="O69" s="1334" t="s">
        <v>411</v>
      </c>
      <c r="P69" s="1371" t="s">
        <v>872</v>
      </c>
      <c r="Q69" s="1327">
        <f ca="1">C39</f>
        <v>30356</v>
      </c>
      <c r="R69" s="1327" t="s">
        <v>818</v>
      </c>
    </row>
    <row r="70" spans="1:18" s="1292" customFormat="1" ht="13.8" thickBot="1">
      <c r="A70" s="900"/>
      <c r="B70" s="901"/>
      <c r="C70" s="302"/>
      <c r="D70" s="912"/>
      <c r="E70" s="896" t="s">
        <v>766</v>
      </c>
      <c r="F70" s="991"/>
      <c r="O70" s="1334" t="s">
        <v>412</v>
      </c>
      <c r="P70" s="1371" t="s">
        <v>873</v>
      </c>
      <c r="Q70" s="1327">
        <f ca="1">C13</f>
        <v>420020</v>
      </c>
      <c r="R70" s="1327" t="s">
        <v>818</v>
      </c>
    </row>
    <row r="71" spans="1:18" s="1292" customFormat="1" ht="13.8" thickBot="1">
      <c r="A71" s="917" t="s">
        <v>396</v>
      </c>
      <c r="B71" s="918" t="s">
        <v>776</v>
      </c>
      <c r="C71" s="327">
        <f ca="1">ROUND(C68/F71,0)</f>
        <v>-540</v>
      </c>
      <c r="D71" s="919" t="s">
        <v>777</v>
      </c>
      <c r="E71" s="920" t="s">
        <v>778</v>
      </c>
      <c r="F71" s="330">
        <f ca="1">F43</f>
        <v>81.709999999999994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29401</v>
      </c>
      <c r="D75" s="1292"/>
      <c r="E75" s="1292"/>
      <c r="F75" s="1292"/>
      <c r="K75" s="1309"/>
      <c r="L75" s="1292"/>
      <c r="O75" s="1325" t="s">
        <v>409</v>
      </c>
      <c r="P75" s="1326" t="s">
        <v>838</v>
      </c>
      <c r="Q75" s="1327">
        <f ca="1">Q65+Q66</f>
        <v>621575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3.1000000000000028E-2</v>
      </c>
    </row>
    <row r="80" spans="1:18">
      <c r="B80" s="331" t="s">
        <v>800</v>
      </c>
      <c r="C80" s="266">
        <f ca="1">ROUND(C75/C39,3)</f>
        <v>0.96899999999999997</v>
      </c>
    </row>
    <row r="81" spans="2:3">
      <c r="B81" s="262" t="s">
        <v>801</v>
      </c>
      <c r="C81" s="230"/>
    </row>
    <row r="82" spans="2:3">
      <c r="B82" s="265" t="s">
        <v>802</v>
      </c>
      <c r="C82" s="267">
        <f ca="1">1-C83</f>
        <v>0.32399999999999995</v>
      </c>
    </row>
    <row r="83" spans="2:3">
      <c r="B83" s="265" t="s">
        <v>803</v>
      </c>
      <c r="C83" s="266">
        <f ca="1">ROUND(C13/C40,3)</f>
        <v>0.67600000000000005</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2" customHeight="1">
      <c r="A2" s="1293" t="s">
        <v>2313</v>
      </c>
      <c r="B2" s="2592" t="e">
        <f>IF(D2="——",C40,C40+E2)</f>
        <v>#DIV/0!</v>
      </c>
      <c r="C2" s="2593" t="s">
        <v>2314</v>
      </c>
      <c r="D2" s="3136" t="s">
        <v>3356</v>
      </c>
      <c r="E2" s="3137"/>
      <c r="F2" s="2595"/>
      <c r="G2" s="2596"/>
      <c r="H2" s="2597"/>
      <c r="I2" s="2598"/>
      <c r="J2" s="3412" t="s">
        <v>2315</v>
      </c>
      <c r="K2" s="3413"/>
      <c r="L2" s="2599" t="s">
        <v>2316</v>
      </c>
      <c r="M2" s="2599" t="s">
        <v>2317</v>
      </c>
      <c r="N2" s="2599" t="s">
        <v>2318</v>
      </c>
      <c r="O2" s="2599" t="s">
        <v>2319</v>
      </c>
      <c r="P2" s="2599" t="s">
        <v>2320</v>
      </c>
      <c r="Q2" s="2600" t="s">
        <v>2321</v>
      </c>
      <c r="R2" s="2601" t="s">
        <v>2322</v>
      </c>
      <c r="S2" s="2590"/>
      <c r="T2" s="2590"/>
      <c r="U2" s="2590"/>
      <c r="V2" s="2598"/>
    </row>
    <row r="3" spans="1:22" s="2602" customFormat="1" ht="13.2" customHeight="1">
      <c r="A3" s="2603" t="s">
        <v>2323</v>
      </c>
      <c r="B3" s="2604" t="e">
        <f>ROUND(B2*10000/B4,0)</f>
        <v>#DIV/0!</v>
      </c>
      <c r="C3" s="2593" t="s">
        <v>2324</v>
      </c>
      <c r="D3" s="2593"/>
      <c r="E3" s="2594"/>
      <c r="F3" s="2595"/>
      <c r="G3" s="2596"/>
      <c r="H3" s="2597"/>
      <c r="I3" s="2598"/>
      <c r="J3" s="3414" t="s">
        <v>2325</v>
      </c>
      <c r="K3" s="3415"/>
      <c r="L3" s="2605"/>
      <c r="M3" s="2605"/>
      <c r="N3" s="2605"/>
      <c r="O3" s="2605"/>
      <c r="P3" s="2605"/>
      <c r="Q3" s="2606"/>
      <c r="R3" s="2607">
        <f>SUM(L3:Q3)</f>
        <v>0</v>
      </c>
      <c r="S3" s="2590"/>
      <c r="T3" s="2590"/>
      <c r="U3" s="2590"/>
      <c r="V3" s="2598"/>
    </row>
    <row r="4" spans="1:22" s="2602" customFormat="1" ht="13.2" customHeight="1">
      <c r="A4" s="2608" t="s">
        <v>2326</v>
      </c>
      <c r="B4" s="2609"/>
      <c r="C4" s="2593"/>
      <c r="D4" s="2593"/>
      <c r="E4" s="2594"/>
      <c r="F4" s="2595"/>
      <c r="G4" s="2596"/>
      <c r="H4" s="2597"/>
      <c r="I4" s="2598"/>
      <c r="J4" s="3414" t="s">
        <v>2327</v>
      </c>
      <c r="K4" s="3415"/>
      <c r="L4" s="2610"/>
      <c r="M4" s="2610"/>
      <c r="N4" s="2610"/>
      <c r="O4" s="2610"/>
      <c r="P4" s="2610"/>
      <c r="Q4" s="2611"/>
      <c r="R4" s="2612">
        <f>SUM(L4:Q4)</f>
        <v>0</v>
      </c>
      <c r="S4" s="2590"/>
      <c r="T4" s="2590"/>
      <c r="U4" s="2590"/>
      <c r="V4" s="2598"/>
    </row>
    <row r="5" spans="1:22" s="2602" customFormat="1" ht="13.2"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2" customHeight="1" thickBot="1">
      <c r="A6" s="3416" t="s">
        <v>2331</v>
      </c>
      <c r="B6" s="3417"/>
      <c r="C6" s="3418"/>
      <c r="D6" s="2619"/>
      <c r="E6" s="2620"/>
      <c r="F6" s="2621"/>
      <c r="G6" s="2622"/>
      <c r="H6" s="2597"/>
      <c r="I6" s="2598"/>
      <c r="J6" s="3419">
        <v>1</v>
      </c>
      <c r="K6" s="3420"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2" customHeight="1">
      <c r="A7" s="2625" t="s">
        <v>2341</v>
      </c>
      <c r="B7" s="2626"/>
      <c r="C7" s="2627"/>
      <c r="D7" s="2628">
        <f>SUM(D9,D10,D11,D17,0)</f>
        <v>0</v>
      </c>
      <c r="E7" s="2629" t="e">
        <f>E9+E10+E11+E17</f>
        <v>#DIV/0!</v>
      </c>
      <c r="F7" s="2630"/>
      <c r="G7" s="2631"/>
      <c r="H7" s="2597"/>
      <c r="I7" s="2598"/>
      <c r="J7" s="3419"/>
      <c r="K7" s="3421"/>
      <c r="L7" s="2632" t="s">
        <v>2342</v>
      </c>
      <c r="M7" s="2633"/>
      <c r="N7" s="2609"/>
      <c r="O7" s="2634"/>
      <c r="P7" s="2634"/>
      <c r="Q7" s="2635">
        <v>365</v>
      </c>
      <c r="R7" s="2636">
        <f>ROUND(M7*N7*O7*P7*Q7/10000,0)</f>
        <v>0</v>
      </c>
      <c r="S7" s="2590"/>
      <c r="T7" s="2590" t="s">
        <v>2343</v>
      </c>
      <c r="U7" s="2590"/>
      <c r="V7" s="2598"/>
    </row>
    <row r="8" spans="1:22" s="2602" customFormat="1" ht="13.2" customHeight="1">
      <c r="A8" s="2637" t="s">
        <v>2344</v>
      </c>
      <c r="B8" s="3423" t="s">
        <v>2345</v>
      </c>
      <c r="C8" s="3424"/>
      <c r="D8" s="2638" t="s">
        <v>2346</v>
      </c>
      <c r="E8" s="2639" t="s">
        <v>2347</v>
      </c>
      <c r="F8" s="2640" t="s">
        <v>2348</v>
      </c>
      <c r="G8" s="2641"/>
      <c r="H8" s="2597"/>
      <c r="I8" s="2598"/>
      <c r="J8" s="3419"/>
      <c r="K8" s="3421"/>
      <c r="L8" s="2632" t="s">
        <v>2349</v>
      </c>
      <c r="M8" s="2633"/>
      <c r="N8" s="2609"/>
      <c r="O8" s="2634"/>
      <c r="P8" s="2634"/>
      <c r="Q8" s="2635">
        <v>365</v>
      </c>
      <c r="R8" s="2636">
        <f t="shared" ref="R8:R13" si="0">ROUND(M8*N8*O8*P8*Q8/10000,0)</f>
        <v>0</v>
      </c>
      <c r="S8" s="2590"/>
      <c r="T8" s="2590" t="s">
        <v>2350</v>
      </c>
      <c r="U8" s="2590"/>
      <c r="V8" s="2598"/>
    </row>
    <row r="9" spans="1:22" s="2602" customFormat="1" ht="13.2" customHeight="1">
      <c r="A9" s="2637">
        <v>1</v>
      </c>
      <c r="B9" s="3423" t="s">
        <v>2351</v>
      </c>
      <c r="C9" s="3424"/>
      <c r="D9" s="2638">
        <f>ROUND(D6*E9,0)</f>
        <v>0</v>
      </c>
      <c r="E9" s="2642"/>
      <c r="F9" s="2643" t="s">
        <v>2352</v>
      </c>
      <c r="G9" s="2622"/>
      <c r="H9" s="2597"/>
      <c r="I9" s="2598"/>
      <c r="J9" s="3419"/>
      <c r="K9" s="3421"/>
      <c r="L9" s="2632" t="s">
        <v>2353</v>
      </c>
      <c r="M9" s="2633"/>
      <c r="N9" s="2609"/>
      <c r="O9" s="2634"/>
      <c r="P9" s="2634"/>
      <c r="Q9" s="2635">
        <v>365</v>
      </c>
      <c r="R9" s="2636">
        <f t="shared" si="0"/>
        <v>0</v>
      </c>
      <c r="S9" s="2590"/>
      <c r="T9" s="2590"/>
      <c r="U9" s="2590"/>
      <c r="V9" s="2598"/>
    </row>
    <row r="10" spans="1:22" s="2602" customFormat="1" ht="13.2" customHeight="1">
      <c r="A10" s="2637">
        <v>2</v>
      </c>
      <c r="B10" s="3423" t="s">
        <v>2354</v>
      </c>
      <c r="C10" s="3424"/>
      <c r="D10" s="2638">
        <f>ROUND(D6*E10,0)</f>
        <v>0</v>
      </c>
      <c r="E10" s="2642"/>
      <c r="F10" s="2643" t="s">
        <v>2355</v>
      </c>
      <c r="G10" s="2622"/>
      <c r="H10" s="2597"/>
      <c r="I10" s="2598"/>
      <c r="J10" s="3419"/>
      <c r="K10" s="3421"/>
      <c r="L10" s="2632" t="s">
        <v>2356</v>
      </c>
      <c r="M10" s="2633"/>
      <c r="N10" s="2609"/>
      <c r="O10" s="2634"/>
      <c r="P10" s="2634"/>
      <c r="Q10" s="2635">
        <v>365</v>
      </c>
      <c r="R10" s="2636">
        <f t="shared" si="0"/>
        <v>0</v>
      </c>
      <c r="S10" s="2590"/>
      <c r="T10" s="2590"/>
      <c r="U10" s="2590"/>
      <c r="V10" s="2598"/>
    </row>
    <row r="11" spans="1:22" s="2602" customFormat="1" ht="13.2" customHeight="1">
      <c r="A11" s="2637">
        <v>3</v>
      </c>
      <c r="B11" s="3423" t="s">
        <v>2357</v>
      </c>
      <c r="C11" s="3424"/>
      <c r="D11" s="2638">
        <f>D12+D14+D15+D16</f>
        <v>0</v>
      </c>
      <c r="E11" s="2644" t="e">
        <f>D11/D6</f>
        <v>#DIV/0!</v>
      </c>
      <c r="F11" s="2640"/>
      <c r="G11" s="2641"/>
      <c r="H11" s="2597"/>
      <c r="I11" s="2598"/>
      <c r="J11" s="3419"/>
      <c r="K11" s="3421"/>
      <c r="L11" s="2632" t="s">
        <v>2358</v>
      </c>
      <c r="M11" s="2633"/>
      <c r="N11" s="2609"/>
      <c r="O11" s="2634"/>
      <c r="P11" s="2634"/>
      <c r="Q11" s="2635">
        <v>365</v>
      </c>
      <c r="R11" s="2636">
        <f t="shared" si="0"/>
        <v>0</v>
      </c>
      <c r="S11" s="2590"/>
      <c r="T11" s="2590"/>
      <c r="U11" s="2590"/>
      <c r="V11" s="2598"/>
    </row>
    <row r="12" spans="1:22" s="2602" customFormat="1" ht="13.2" customHeight="1">
      <c r="A12" s="2645" t="s">
        <v>2359</v>
      </c>
      <c r="B12" s="3425" t="s">
        <v>2360</v>
      </c>
      <c r="C12" s="3426"/>
      <c r="D12" s="2646">
        <f>ROUND(D13*1.2%*(1-30%),0)</f>
        <v>0</v>
      </c>
      <c r="E12" s="2647">
        <v>1.2E-2</v>
      </c>
      <c r="F12" s="2640" t="s">
        <v>2361</v>
      </c>
      <c r="G12" s="2641"/>
      <c r="H12" s="2597"/>
      <c r="I12" s="2598"/>
      <c r="J12" s="3419"/>
      <c r="K12" s="3421"/>
      <c r="L12" s="2632" t="s">
        <v>2362</v>
      </c>
      <c r="M12" s="2633"/>
      <c r="N12" s="2609"/>
      <c r="O12" s="2634"/>
      <c r="P12" s="2634"/>
      <c r="Q12" s="2635">
        <v>365</v>
      </c>
      <c r="R12" s="2636">
        <f t="shared" si="0"/>
        <v>0</v>
      </c>
      <c r="S12" s="2590"/>
      <c r="T12" s="2590"/>
      <c r="U12" s="2590"/>
      <c r="V12" s="2598"/>
    </row>
    <row r="13" spans="1:22" s="2602" customFormat="1" ht="13.2" customHeight="1">
      <c r="A13" s="2645"/>
      <c r="B13" s="2648"/>
      <c r="C13" s="2649" t="s">
        <v>2363</v>
      </c>
      <c r="D13" s="2650"/>
      <c r="E13" s="2651"/>
      <c r="F13" s="2640"/>
      <c r="G13" s="2641"/>
      <c r="H13" s="2597"/>
      <c r="I13" s="2598"/>
      <c r="J13" s="3419"/>
      <c r="K13" s="3421"/>
      <c r="L13" s="2632" t="s">
        <v>2364</v>
      </c>
      <c r="M13" s="2633"/>
      <c r="N13" s="2609"/>
      <c r="O13" s="2634"/>
      <c r="P13" s="2634"/>
      <c r="Q13" s="2635">
        <v>365</v>
      </c>
      <c r="R13" s="2636">
        <f t="shared" si="0"/>
        <v>0</v>
      </c>
      <c r="S13" s="2590"/>
      <c r="T13" s="2590"/>
      <c r="U13" s="2590"/>
      <c r="V13" s="2598"/>
    </row>
    <row r="14" spans="1:22" s="2602" customFormat="1" ht="13.2" customHeight="1">
      <c r="A14" s="2645" t="s">
        <v>2365</v>
      </c>
      <c r="B14" s="3425" t="s">
        <v>2366</v>
      </c>
      <c r="C14" s="3426"/>
      <c r="D14" s="2646">
        <f>ROUND(E14*B5/10000,0)</f>
        <v>0</v>
      </c>
      <c r="E14" s="2635"/>
      <c r="F14" s="2640" t="s">
        <v>2367</v>
      </c>
      <c r="G14" s="2641"/>
      <c r="H14" s="2597"/>
      <c r="I14" s="2598"/>
      <c r="J14" s="3419"/>
      <c r="K14" s="3422"/>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2369</v>
      </c>
      <c r="B15" s="3425" t="s">
        <v>2370</v>
      </c>
      <c r="C15" s="3426"/>
      <c r="D15" s="2646">
        <f>ROUND(D6*E15,0)</f>
        <v>0</v>
      </c>
      <c r="E15" s="2647">
        <v>5.5E-2</v>
      </c>
      <c r="F15" s="2640" t="s">
        <v>2371</v>
      </c>
      <c r="G15" s="2622"/>
      <c r="H15" s="2597"/>
      <c r="I15" s="2598"/>
      <c r="J15" s="3419">
        <v>2</v>
      </c>
      <c r="K15" s="3420"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2" customHeight="1">
      <c r="A16" s="2645" t="s">
        <v>2378</v>
      </c>
      <c r="B16" s="3425" t="s">
        <v>2379</v>
      </c>
      <c r="C16" s="3426"/>
      <c r="D16" s="2657">
        <f>D6*E16</f>
        <v>0</v>
      </c>
      <c r="E16" s="2658"/>
      <c r="F16" s="2643" t="s">
        <v>2380</v>
      </c>
      <c r="G16" s="2622"/>
      <c r="H16" s="2597"/>
      <c r="I16" s="2598"/>
      <c r="J16" s="3419"/>
      <c r="K16" s="3421"/>
      <c r="L16" s="2632" t="s">
        <v>2381</v>
      </c>
      <c r="M16" s="2633"/>
      <c r="N16" s="2633"/>
      <c r="O16" s="2634"/>
      <c r="P16" s="2635">
        <v>365</v>
      </c>
      <c r="Q16" s="2609"/>
      <c r="R16" s="2656">
        <f>ROUND(M16*N16*O16*P16/10000,0)</f>
        <v>0</v>
      </c>
      <c r="S16" s="2590"/>
      <c r="T16" s="2590"/>
      <c r="U16" s="2590"/>
      <c r="V16" s="2598"/>
    </row>
    <row r="17" spans="1:22" s="2602" customFormat="1" ht="13.2" customHeight="1" thickBot="1">
      <c r="A17" s="2659">
        <v>4</v>
      </c>
      <c r="B17" s="3427" t="s">
        <v>2382</v>
      </c>
      <c r="C17" s="3428"/>
      <c r="D17" s="2660">
        <f>ROUND(D6*E17,0)</f>
        <v>0</v>
      </c>
      <c r="E17" s="2661"/>
      <c r="F17" s="2662" t="s">
        <v>2383</v>
      </c>
      <c r="G17" s="2622"/>
      <c r="H17" s="2597"/>
      <c r="I17" s="2598"/>
      <c r="J17" s="3419"/>
      <c r="K17" s="3421"/>
      <c r="L17" s="2632" t="s">
        <v>2384</v>
      </c>
      <c r="M17" s="2633"/>
      <c r="N17" s="2633"/>
      <c r="O17" s="2634"/>
      <c r="P17" s="2635">
        <v>365</v>
      </c>
      <c r="Q17" s="2609"/>
      <c r="R17" s="2656">
        <f>ROUND(M17*N17*O17*P17/10000,0)</f>
        <v>0</v>
      </c>
      <c r="S17" s="2590"/>
      <c r="T17" s="2590"/>
      <c r="U17" s="2590"/>
      <c r="V17" s="2598"/>
    </row>
    <row r="18" spans="1:22" s="2602" customFormat="1" ht="13.2" customHeight="1" thickBot="1">
      <c r="A18" s="2625" t="s">
        <v>2385</v>
      </c>
      <c r="B18" s="2626"/>
      <c r="C18" s="2626"/>
      <c r="D18" s="2663">
        <f>ROUND(D6*E18,0)</f>
        <v>0</v>
      </c>
      <c r="E18" s="2664"/>
      <c r="F18" s="2665" t="s">
        <v>2386</v>
      </c>
      <c r="G18" s="2622"/>
      <c r="H18" s="2597"/>
      <c r="I18" s="2598"/>
      <c r="J18" s="3419"/>
      <c r="K18" s="3421"/>
      <c r="L18" s="2632" t="s">
        <v>2387</v>
      </c>
      <c r="M18" s="2633"/>
      <c r="N18" s="2633"/>
      <c r="O18" s="2634"/>
      <c r="P18" s="2635">
        <v>365</v>
      </c>
      <c r="Q18" s="2609"/>
      <c r="R18" s="2656">
        <f>ROUND(M18*N18*O18*P18/10000,0)</f>
        <v>0</v>
      </c>
      <c r="S18" s="2590"/>
      <c r="T18" s="2590"/>
      <c r="U18" s="2590"/>
      <c r="V18" s="2598"/>
    </row>
    <row r="19" spans="1:22" s="2602" customFormat="1" ht="13.2" customHeight="1" thickBot="1">
      <c r="A19" s="2666" t="s">
        <v>2388</v>
      </c>
      <c r="B19" s="2620"/>
      <c r="C19" s="2620"/>
      <c r="D19" s="2620"/>
      <c r="E19" s="2620"/>
      <c r="F19" s="2621"/>
      <c r="G19" s="2641"/>
      <c r="H19" s="2597"/>
      <c r="I19" s="2598"/>
      <c r="J19" s="3419"/>
      <c r="K19" s="3422"/>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9">
        <v>3</v>
      </c>
      <c r="K20" s="3420"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2" customHeight="1">
      <c r="A21" s="2625"/>
      <c r="B21" s="2626"/>
      <c r="C21" s="2671" t="s">
        <v>2397</v>
      </c>
      <c r="D21" s="2672" t="s">
        <v>2398</v>
      </c>
      <c r="E21" s="2673" t="s">
        <v>2399</v>
      </c>
      <c r="F21" s="2669"/>
      <c r="G21" s="2641"/>
      <c r="H21" s="2597"/>
      <c r="I21" s="2598"/>
      <c r="J21" s="3419"/>
      <c r="K21" s="3421"/>
      <c r="L21" s="2632" t="s">
        <v>2400</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2401</v>
      </c>
      <c r="D22" s="2676" t="s">
        <v>2402</v>
      </c>
      <c r="E22" s="2677" t="s">
        <v>2403</v>
      </c>
      <c r="F22" s="2669"/>
      <c r="G22" s="2590"/>
      <c r="H22" s="2597"/>
      <c r="I22" s="2598"/>
      <c r="J22" s="3419"/>
      <c r="K22" s="3421"/>
      <c r="L22" s="2632" t="s">
        <v>2404</v>
      </c>
      <c r="M22" s="2633"/>
      <c r="N22" s="2633"/>
      <c r="O22" s="2634"/>
      <c r="P22" s="2635">
        <v>365</v>
      </c>
      <c r="Q22" s="2609"/>
      <c r="R22" s="2674">
        <f>ROUND(M22*N22*O22*P22/10000,0)</f>
        <v>0</v>
      </c>
      <c r="S22" s="2590"/>
      <c r="T22" s="2590"/>
      <c r="U22" s="2590"/>
      <c r="V22" s="2598"/>
    </row>
    <row r="23" spans="1:22" s="2602" customFormat="1" ht="13.2" customHeight="1">
      <c r="A23" s="2678">
        <v>1</v>
      </c>
      <c r="B23" s="2679" t="s">
        <v>2405</v>
      </c>
      <c r="C23" s="2680">
        <f>D6</f>
        <v>0</v>
      </c>
      <c r="D23" s="2681">
        <f>C23*(1+D24)</f>
        <v>0</v>
      </c>
      <c r="E23" s="2682">
        <f>D23*(1+E24)</f>
        <v>0</v>
      </c>
      <c r="F23" s="2683"/>
      <c r="G23" s="2684"/>
      <c r="H23" s="2597"/>
      <c r="I23" s="2598"/>
      <c r="J23" s="3419"/>
      <c r="K23" s="3421"/>
      <c r="L23" s="2632" t="s">
        <v>2406</v>
      </c>
      <c r="M23" s="2633"/>
      <c r="N23" s="2633"/>
      <c r="O23" s="2634"/>
      <c r="P23" s="2635">
        <v>365</v>
      </c>
      <c r="Q23" s="2609"/>
      <c r="R23" s="2674">
        <f>ROUND(M23*N23*O23*P23/10000,0)</f>
        <v>0</v>
      </c>
      <c r="S23" s="2590"/>
      <c r="T23" s="2590"/>
      <c r="U23" s="2590"/>
      <c r="V23" s="2598"/>
    </row>
    <row r="24" spans="1:22" s="2602" customFormat="1" ht="13.2" customHeight="1">
      <c r="A24" s="2685"/>
      <c r="B24" s="2686" t="s">
        <v>2407</v>
      </c>
      <c r="C24" s="2687"/>
      <c r="D24" s="2688"/>
      <c r="E24" s="2689"/>
      <c r="F24" s="2690"/>
      <c r="G24" s="2684"/>
      <c r="H24" s="2597"/>
      <c r="I24" s="2598"/>
      <c r="J24" s="3419"/>
      <c r="K24" s="3422"/>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2" customHeight="1">
      <c r="A26" s="2678">
        <v>2</v>
      </c>
      <c r="B26" s="2679" t="s">
        <v>2409</v>
      </c>
      <c r="C26" s="2680">
        <f>D7</f>
        <v>0</v>
      </c>
      <c r="D26" s="2681">
        <f>D23*D27</f>
        <v>0</v>
      </c>
      <c r="E26" s="2682">
        <f>E23*E27</f>
        <v>0</v>
      </c>
      <c r="F26" s="2683"/>
      <c r="G26" s="2684"/>
      <c r="H26" s="2597"/>
      <c r="I26" s="2598"/>
      <c r="J26" s="3429">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2" customHeight="1">
      <c r="A27" s="2685"/>
      <c r="B27" s="2686" t="s">
        <v>2415</v>
      </c>
      <c r="C27" s="2703" t="e">
        <f>E7</f>
        <v>#DIV/0!</v>
      </c>
      <c r="D27" s="2688"/>
      <c r="E27" s="2689"/>
      <c r="F27" s="2690"/>
      <c r="G27" s="2684"/>
      <c r="H27" s="2704"/>
      <c r="I27" s="2696"/>
      <c r="J27" s="3430"/>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2"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2" customHeight="1">
      <c r="A32" s="2678">
        <v>4</v>
      </c>
      <c r="B32" s="2679" t="s">
        <v>2423</v>
      </c>
      <c r="C32" s="2680">
        <f>C23-C26-C29</f>
        <v>0</v>
      </c>
      <c r="D32" s="2681">
        <f>D23-D26-D29</f>
        <v>0</v>
      </c>
      <c r="E32" s="2682">
        <f>E23-E26-E29</f>
        <v>0</v>
      </c>
      <c r="F32" s="2683"/>
      <c r="G32" s="2590"/>
      <c r="H32" s="2597"/>
      <c r="I32" s="2598"/>
      <c r="J32" s="3412" t="s">
        <v>2315</v>
      </c>
      <c r="K32" s="3413"/>
      <c r="L32" s="2599" t="s">
        <v>2316</v>
      </c>
      <c r="M32" s="2599" t="s">
        <v>2317</v>
      </c>
      <c r="N32" s="2599" t="s">
        <v>2318</v>
      </c>
      <c r="O32" s="2599" t="s">
        <v>2319</v>
      </c>
      <c r="P32" s="2599" t="s">
        <v>2320</v>
      </c>
      <c r="Q32" s="2600" t="s">
        <v>2321</v>
      </c>
      <c r="R32" s="2719" t="s">
        <v>2322</v>
      </c>
      <c r="S32" s="2590"/>
      <c r="T32" s="2590"/>
      <c r="U32" s="2590"/>
      <c r="V32" s="2696"/>
    </row>
    <row r="33" spans="1:23" s="2602" customFormat="1" ht="13.2" customHeight="1">
      <c r="A33" s="2678"/>
      <c r="B33" s="2679"/>
      <c r="C33" s="2680"/>
      <c r="D33" s="2720"/>
      <c r="E33" s="2721"/>
      <c r="F33" s="2683"/>
      <c r="G33" s="2590"/>
      <c r="H33" s="2704"/>
      <c r="I33" s="2696"/>
      <c r="J33" s="3414" t="s">
        <v>2325</v>
      </c>
      <c r="K33" s="3415"/>
      <c r="L33" s="2605"/>
      <c r="M33" s="2605"/>
      <c r="N33" s="2605"/>
      <c r="O33" s="2605"/>
      <c r="P33" s="2605"/>
      <c r="Q33" s="2606"/>
      <c r="R33" s="2722">
        <f>SUM(L33:Q33)</f>
        <v>0</v>
      </c>
      <c r="S33" s="2590"/>
      <c r="T33" s="2590"/>
      <c r="U33" s="2590"/>
      <c r="V33" s="2598"/>
    </row>
    <row r="34" spans="1:23" s="2602" customFormat="1" ht="13.2" customHeight="1">
      <c r="A34" s="2678">
        <v>5</v>
      </c>
      <c r="B34" s="2679" t="s">
        <v>2424</v>
      </c>
      <c r="C34" s="2723"/>
      <c r="D34" s="2724"/>
      <c r="E34" s="2725"/>
      <c r="F34" s="2683"/>
      <c r="G34" s="2590"/>
      <c r="H34" s="2704"/>
      <c r="I34" s="2696"/>
      <c r="J34" s="3414" t="s">
        <v>2327</v>
      </c>
      <c r="K34" s="3415"/>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2" customHeight="1" thickBot="1">
      <c r="A36" s="2678">
        <v>7</v>
      </c>
      <c r="B36" s="2732" t="s">
        <v>2426</v>
      </c>
      <c r="C36" s="2733"/>
      <c r="D36" s="2734"/>
      <c r="E36" s="2735"/>
      <c r="F36" s="2736">
        <f>C36+D36+E36</f>
        <v>0</v>
      </c>
      <c r="G36" s="2590"/>
      <c r="H36" s="2597"/>
      <c r="I36" s="2598"/>
      <c r="J36" s="3419">
        <v>1</v>
      </c>
      <c r="K36" s="3420" t="s">
        <v>2427</v>
      </c>
      <c r="L36" s="2623"/>
      <c r="M36" s="2624"/>
      <c r="N36" s="2624"/>
      <c r="O36" s="2624"/>
      <c r="P36" s="2624"/>
      <c r="Q36" s="2624"/>
      <c r="R36" s="2607" t="s">
        <v>2339</v>
      </c>
      <c r="S36" s="2590"/>
      <c r="T36" s="2590" t="s">
        <v>2340</v>
      </c>
      <c r="U36" s="2590"/>
      <c r="V36" s="2598"/>
    </row>
    <row r="37" spans="1:23" s="2602" customFormat="1" ht="13.2" customHeight="1">
      <c r="A37" s="2678"/>
      <c r="B37" s="2679"/>
      <c r="C37" s="2679"/>
      <c r="D37" s="2679"/>
      <c r="E37" s="2679"/>
      <c r="F37" s="2683"/>
      <c r="G37" s="2590"/>
      <c r="H37" s="2597"/>
      <c r="I37" s="2598"/>
      <c r="J37" s="3419"/>
      <c r="K37" s="3421"/>
      <c r="L37" s="2632"/>
      <c r="M37" s="2633"/>
      <c r="N37" s="2609"/>
      <c r="O37" s="2634"/>
      <c r="P37" s="2634"/>
      <c r="Q37" s="2635"/>
      <c r="R37" s="2636"/>
      <c r="S37" s="2590"/>
      <c r="T37" s="2590" t="s">
        <v>2343</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9"/>
      <c r="K38" s="3421"/>
      <c r="L38" s="2632"/>
      <c r="M38" s="2633"/>
      <c r="N38" s="2609"/>
      <c r="O38" s="2634"/>
      <c r="P38" s="2634"/>
      <c r="Q38" s="2635"/>
      <c r="R38" s="2636"/>
      <c r="S38" s="2590"/>
      <c r="T38" s="2590" t="s">
        <v>2350</v>
      </c>
      <c r="U38" s="2590"/>
      <c r="V38" s="2598"/>
    </row>
    <row r="39" spans="1:23" s="2602" customFormat="1" ht="13.2" customHeight="1">
      <c r="A39" s="2678">
        <v>9</v>
      </c>
      <c r="B39" s="2679" t="s">
        <v>2428</v>
      </c>
      <c r="C39" s="2646" t="e">
        <f>C38</f>
        <v>#DIV/0!</v>
      </c>
      <c r="D39" s="2679">
        <f>D38/(1+D34)^C36</f>
        <v>0</v>
      </c>
      <c r="E39" s="2679">
        <f>E38/(1+E34)^(C36+D36)</f>
        <v>0</v>
      </c>
      <c r="F39" s="2683"/>
      <c r="G39" s="2598"/>
      <c r="H39" s="2597"/>
      <c r="I39" s="2598"/>
      <c r="J39" s="3419"/>
      <c r="K39" s="3421"/>
      <c r="L39" s="2632"/>
      <c r="M39" s="2633"/>
      <c r="N39" s="2609"/>
      <c r="O39" s="2634"/>
      <c r="P39" s="2634"/>
      <c r="Q39" s="2635"/>
      <c r="R39" s="2636"/>
      <c r="S39" s="2590"/>
      <c r="T39" s="2590"/>
      <c r="U39" s="2590"/>
      <c r="V39" s="2598"/>
    </row>
    <row r="40" spans="1:23" s="2602" customFormat="1" ht="13.2" customHeight="1">
      <c r="A40" s="2737">
        <v>10</v>
      </c>
      <c r="B40" s="2679" t="s">
        <v>2429</v>
      </c>
      <c r="C40" s="2738" t="e">
        <f>C39+D39+E39</f>
        <v>#DIV/0!</v>
      </c>
      <c r="D40" s="2739"/>
      <c r="E40" s="2739"/>
      <c r="F40" s="2740"/>
      <c r="G40" s="2590"/>
      <c r="H40" s="2597"/>
      <c r="I40" s="2598"/>
      <c r="J40" s="3419"/>
      <c r="K40" s="3422"/>
      <c r="L40" s="2652" t="s">
        <v>2368</v>
      </c>
      <c r="M40" s="2653"/>
      <c r="N40" s="2653"/>
      <c r="O40" s="2654"/>
      <c r="P40" s="2654"/>
      <c r="Q40" s="2655"/>
      <c r="R40" s="2601">
        <f>SUM(R37:R39)</f>
        <v>0</v>
      </c>
      <c r="S40" s="2590"/>
      <c r="T40" s="2590"/>
      <c r="U40" s="2590"/>
      <c r="V40" s="2598"/>
    </row>
    <row r="41" spans="1:23" s="2602" customFormat="1" ht="13.2"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2" customHeight="1">
      <c r="G42" s="2597"/>
      <c r="H42" s="2597"/>
      <c r="I42" s="2598"/>
      <c r="J42" s="3429">
        <v>3</v>
      </c>
      <c r="K42" s="2698" t="s">
        <v>2410</v>
      </c>
      <c r="L42" s="2699"/>
      <c r="M42" s="2700"/>
      <c r="N42" s="2701" t="s">
        <v>2411</v>
      </c>
      <c r="O42" s="2701" t="s">
        <v>2412</v>
      </c>
      <c r="P42" s="2702" t="s">
        <v>2413</v>
      </c>
      <c r="Q42" s="2702" t="s">
        <v>2414</v>
      </c>
      <c r="R42" s="2607" t="s">
        <v>2339</v>
      </c>
      <c r="S42" s="2641"/>
      <c r="T42" s="2641"/>
      <c r="U42" s="2590"/>
      <c r="V42" s="2598"/>
    </row>
    <row r="43" spans="1:23" ht="13.2" customHeight="1">
      <c r="A43" s="2602"/>
      <c r="B43" s="2602"/>
      <c r="C43" s="2602"/>
      <c r="D43" s="2602"/>
      <c r="E43" s="2602"/>
      <c r="F43" s="2602"/>
      <c r="I43" s="2585"/>
      <c r="J43" s="3430"/>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63.436300000000003</v>
      </c>
      <c r="C2" s="1729" t="s">
        <v>1651</v>
      </c>
      <c r="D2" s="1730" t="s">
        <v>1652</v>
      </c>
      <c r="E2" s="2391">
        <f>SUM(E6:E13)</f>
        <v>81.709999999999994</v>
      </c>
      <c r="F2" s="2477"/>
      <c r="G2" s="459"/>
      <c r="H2" s="459"/>
      <c r="I2" s="459"/>
      <c r="J2" s="459"/>
      <c r="K2" s="459"/>
      <c r="L2" s="459"/>
      <c r="M2" s="459"/>
      <c r="N2" s="459"/>
      <c r="O2" s="459"/>
      <c r="P2" s="459"/>
      <c r="Q2" s="459"/>
      <c r="R2" s="459"/>
      <c r="S2" s="459"/>
    </row>
    <row r="3" spans="1:22" ht="15.6">
      <c r="A3" s="1728" t="s">
        <v>686</v>
      </c>
      <c r="B3" s="2385">
        <f ca="1">ROUND(B2*10000/E2,0)</f>
        <v>7764</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31" t="s">
        <v>1654</v>
      </c>
      <c r="C5" s="3432"/>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63.436300000000003</v>
      </c>
      <c r="C6" s="1729" t="s">
        <v>1651</v>
      </c>
      <c r="D6" s="2477"/>
      <c r="E6" s="2390">
        <f>IF(OR(A6=0,F6="否"),0,'数据-取费表'!K6+'数据-取费表'!S6)</f>
        <v>81.709999999999994</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81.709999999999994</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51" t="s">
        <v>1667</v>
      </c>
      <c r="D4" s="3452"/>
      <c r="E4" s="3453" t="s">
        <v>1668</v>
      </c>
      <c r="F4" s="3454"/>
      <c r="G4" s="3451" t="s">
        <v>1669</v>
      </c>
      <c r="H4" s="3452"/>
      <c r="I4" s="3451" t="s">
        <v>1670</v>
      </c>
      <c r="J4" s="3452"/>
      <c r="K4" s="1744" t="s">
        <v>1671</v>
      </c>
      <c r="L4" s="2484"/>
      <c r="M4" s="2485"/>
      <c r="N4" s="2485"/>
      <c r="O4" s="2485"/>
      <c r="P4" s="3455" t="s">
        <v>1672</v>
      </c>
      <c r="Q4" s="3456"/>
      <c r="R4" s="3438" t="s">
        <v>1668</v>
      </c>
      <c r="S4" s="3439"/>
      <c r="T4" s="3438" t="s">
        <v>1669</v>
      </c>
      <c r="U4" s="3439"/>
      <c r="V4" s="3463" t="s">
        <v>1670</v>
      </c>
      <c r="W4" s="3463"/>
      <c r="X4" s="1265"/>
      <c r="Y4" s="3438" t="s">
        <v>1672</v>
      </c>
      <c r="Z4" s="3439"/>
      <c r="AA4" s="3433" t="s">
        <v>1668</v>
      </c>
      <c r="AB4" s="3433" t="s">
        <v>1669</v>
      </c>
      <c r="AC4" s="3433" t="s">
        <v>1670</v>
      </c>
    </row>
    <row r="5" spans="1:29">
      <c r="A5" s="348"/>
      <c r="B5" s="349"/>
      <c r="C5" s="3444" t="s">
        <v>1673</v>
      </c>
      <c r="D5" s="3445"/>
      <c r="E5" s="3442" t="s">
        <v>1674</v>
      </c>
      <c r="F5" s="3443"/>
      <c r="G5" s="3444" t="s">
        <v>1675</v>
      </c>
      <c r="H5" s="3445"/>
      <c r="I5" s="3444" t="s">
        <v>1676</v>
      </c>
      <c r="J5" s="3445"/>
      <c r="K5" s="1745"/>
      <c r="L5" s="2484"/>
      <c r="M5" s="2485"/>
      <c r="N5" s="2485"/>
      <c r="O5" s="2485"/>
      <c r="P5" s="3457"/>
      <c r="Q5" s="3458"/>
      <c r="R5" s="3440"/>
      <c r="S5" s="3441"/>
      <c r="T5" s="3440"/>
      <c r="U5" s="3441"/>
      <c r="V5" s="3463"/>
      <c r="W5" s="3463"/>
      <c r="X5" s="1265"/>
      <c r="Y5" s="3440"/>
      <c r="Z5" s="3441"/>
      <c r="AA5" s="3434"/>
      <c r="AB5" s="3434"/>
      <c r="AC5" s="3434"/>
    </row>
    <row r="6" spans="1:29" ht="15" thickBot="1">
      <c r="A6" s="350"/>
      <c r="B6" s="351"/>
      <c r="C6" s="3446" t="s">
        <v>1677</v>
      </c>
      <c r="D6" s="3447"/>
      <c r="E6" s="3448" t="s">
        <v>1677</v>
      </c>
      <c r="F6" s="3449"/>
      <c r="G6" s="3446" t="s">
        <v>1677</v>
      </c>
      <c r="H6" s="3447"/>
      <c r="I6" s="3446" t="s">
        <v>1677</v>
      </c>
      <c r="J6" s="3447"/>
      <c r="K6" s="1745" t="s">
        <v>1678</v>
      </c>
      <c r="L6" s="2484"/>
      <c r="M6" s="2485"/>
      <c r="N6" s="2485"/>
      <c r="O6" s="2485"/>
      <c r="P6" s="3459"/>
      <c r="Q6" s="3460"/>
      <c r="R6" s="3440"/>
      <c r="S6" s="3441"/>
      <c r="T6" s="3461"/>
      <c r="U6" s="3462"/>
      <c r="V6" s="3463"/>
      <c r="W6" s="3463"/>
      <c r="X6" s="1265"/>
      <c r="Y6" s="3461"/>
      <c r="Z6" s="3462"/>
      <c r="AA6" s="3435"/>
      <c r="AB6" s="3435"/>
      <c r="AC6" s="3435"/>
    </row>
    <row r="7" spans="1:29" s="102" customFormat="1" ht="15" thickBot="1">
      <c r="A7" s="352" t="s">
        <v>1679</v>
      </c>
      <c r="B7" s="353"/>
      <c r="C7" s="354">
        <f>'数据-取费表'!B2</f>
        <v>45875</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36" t="s">
        <v>1680</v>
      </c>
      <c r="Q7" s="3464"/>
      <c r="R7" s="664" t="s">
        <v>20</v>
      </c>
      <c r="S7" s="665">
        <f t="shared" ref="S7:S15" si="0">F7</f>
        <v>0</v>
      </c>
      <c r="T7" s="664" t="s">
        <v>20</v>
      </c>
      <c r="U7" s="665">
        <f t="shared" ref="U7:U15" si="1">H7</f>
        <v>0</v>
      </c>
      <c r="V7" s="664" t="s">
        <v>20</v>
      </c>
      <c r="W7" s="665">
        <f t="shared" ref="W7:W15" si="2">J7</f>
        <v>0</v>
      </c>
      <c r="X7" s="666"/>
      <c r="Y7" s="3436" t="s">
        <v>1680</v>
      </c>
      <c r="Z7" s="343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36" t="s">
        <v>1683</v>
      </c>
      <c r="Q8" s="3437"/>
      <c r="R8" s="664" t="s">
        <v>20</v>
      </c>
      <c r="S8" s="665">
        <f t="shared" si="0"/>
        <v>100</v>
      </c>
      <c r="T8" s="664" t="s">
        <v>20</v>
      </c>
      <c r="U8" s="665">
        <f t="shared" si="1"/>
        <v>100</v>
      </c>
      <c r="V8" s="664" t="s">
        <v>20</v>
      </c>
      <c r="W8" s="665">
        <f t="shared" si="2"/>
        <v>100</v>
      </c>
      <c r="X8" s="666"/>
      <c r="Y8" s="3436" t="s">
        <v>1683</v>
      </c>
      <c r="Z8" s="343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50"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50"/>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50"/>
      <c r="Q11" s="530" t="str">
        <f t="shared" si="6"/>
        <v>容积率</v>
      </c>
      <c r="R11" s="664" t="s">
        <v>18</v>
      </c>
      <c r="S11" s="665" t="e">
        <f t="shared" si="0"/>
        <v>#N/A</v>
      </c>
      <c r="T11" s="664" t="s">
        <v>18</v>
      </c>
      <c r="U11" s="665" t="e">
        <f t="shared" si="1"/>
        <v>#N/A</v>
      </c>
      <c r="V11" s="664" t="s">
        <v>18</v>
      </c>
      <c r="W11" s="665" t="e">
        <f t="shared" si="2"/>
        <v>#N/A</v>
      </c>
      <c r="X11" s="666"/>
      <c r="Y11" s="336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50"/>
      <c r="Q12" s="530">
        <f t="shared" si="6"/>
        <v>111</v>
      </c>
      <c r="R12" s="664" t="s">
        <v>18</v>
      </c>
      <c r="S12" s="665">
        <f t="shared" si="0"/>
        <v>100</v>
      </c>
      <c r="T12" s="664" t="s">
        <v>18</v>
      </c>
      <c r="U12" s="665">
        <f t="shared" si="1"/>
        <v>100</v>
      </c>
      <c r="V12" s="664" t="s">
        <v>18</v>
      </c>
      <c r="W12" s="665">
        <f t="shared" si="2"/>
        <v>100</v>
      </c>
      <c r="X12" s="666"/>
      <c r="Y12" s="33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50"/>
      <c r="Q13" s="530">
        <f t="shared" si="6"/>
        <v>111</v>
      </c>
      <c r="R13" s="664" t="s">
        <v>18</v>
      </c>
      <c r="S13" s="665">
        <f t="shared" si="0"/>
        <v>100</v>
      </c>
      <c r="T13" s="664" t="s">
        <v>18</v>
      </c>
      <c r="U13" s="665">
        <f t="shared" si="1"/>
        <v>100</v>
      </c>
      <c r="V13" s="664" t="s">
        <v>18</v>
      </c>
      <c r="W13" s="665">
        <f t="shared" si="2"/>
        <v>100</v>
      </c>
      <c r="X13" s="666"/>
      <c r="Y13" s="336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50"/>
      <c r="Q14" s="530">
        <f t="shared" si="6"/>
        <v>111</v>
      </c>
      <c r="R14" s="664" t="s">
        <v>18</v>
      </c>
      <c r="S14" s="665">
        <f t="shared" si="0"/>
        <v>100</v>
      </c>
      <c r="T14" s="664" t="s">
        <v>18</v>
      </c>
      <c r="U14" s="665">
        <f t="shared" si="1"/>
        <v>100</v>
      </c>
      <c r="V14" s="664" t="s">
        <v>18</v>
      </c>
      <c r="W14" s="665">
        <f t="shared" si="2"/>
        <v>100</v>
      </c>
      <c r="X14" s="666"/>
      <c r="Y14" s="336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76" t="s">
        <v>1691</v>
      </c>
      <c r="Q15" s="1263" t="str">
        <f t="shared" si="6"/>
        <v>居住社区成熟度</v>
      </c>
      <c r="R15" s="667" t="s">
        <v>18</v>
      </c>
      <c r="S15" s="668">
        <f t="shared" si="0"/>
        <v>100</v>
      </c>
      <c r="T15" s="667" t="s">
        <v>18</v>
      </c>
      <c r="U15" s="668">
        <f t="shared" si="1"/>
        <v>100</v>
      </c>
      <c r="V15" s="667" t="s">
        <v>18</v>
      </c>
      <c r="W15" s="668">
        <f t="shared" si="2"/>
        <v>100</v>
      </c>
      <c r="X15" s="1265"/>
      <c r="Y15" s="346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77"/>
      <c r="Q16" s="1263"/>
      <c r="R16" s="667"/>
      <c r="S16" s="668"/>
      <c r="T16" s="667"/>
      <c r="U16" s="668"/>
      <c r="V16" s="667"/>
      <c r="W16" s="668"/>
      <c r="X16" s="1265"/>
      <c r="Y16" s="347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77"/>
      <c r="Q17" s="1263" t="str">
        <f>B17</f>
        <v>交通便捷度</v>
      </c>
      <c r="R17" s="667" t="s">
        <v>18</v>
      </c>
      <c r="S17" s="668">
        <f>F17</f>
        <v>100</v>
      </c>
      <c r="T17" s="667" t="s">
        <v>18</v>
      </c>
      <c r="U17" s="668">
        <f>H17</f>
        <v>100</v>
      </c>
      <c r="V17" s="667" t="s">
        <v>18</v>
      </c>
      <c r="W17" s="668">
        <f>J17</f>
        <v>100</v>
      </c>
      <c r="X17" s="1265"/>
      <c r="Y17" s="347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77"/>
      <c r="Q18" s="1263"/>
      <c r="R18" s="667"/>
      <c r="S18" s="668"/>
      <c r="T18" s="667"/>
      <c r="U18" s="668"/>
      <c r="V18" s="667"/>
      <c r="W18" s="668"/>
      <c r="X18" s="1265"/>
      <c r="Y18" s="3470"/>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77"/>
      <c r="Q19" s="1263" t="str">
        <f>B19</f>
        <v>公共配套设施</v>
      </c>
      <c r="R19" s="667" t="s">
        <v>18</v>
      </c>
      <c r="S19" s="668">
        <f>F19</f>
        <v>100</v>
      </c>
      <c r="T19" s="667" t="s">
        <v>18</v>
      </c>
      <c r="U19" s="668">
        <f>H19</f>
        <v>100</v>
      </c>
      <c r="V19" s="667" t="s">
        <v>18</v>
      </c>
      <c r="W19" s="668">
        <f>J19</f>
        <v>100</v>
      </c>
      <c r="X19" s="1265"/>
      <c r="Y19" s="347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77"/>
      <c r="Q20" s="1263"/>
      <c r="R20" s="667"/>
      <c r="S20" s="668"/>
      <c r="T20" s="667"/>
      <c r="U20" s="668"/>
      <c r="V20" s="667"/>
      <c r="W20" s="668"/>
      <c r="X20" s="1265"/>
      <c r="Y20" s="3470"/>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77"/>
      <c r="Q21" s="1263" t="str">
        <f>B21</f>
        <v>基础设施水平</v>
      </c>
      <c r="R21" s="667" t="s">
        <v>14</v>
      </c>
      <c r="S21" s="668">
        <f>F21</f>
        <v>100</v>
      </c>
      <c r="T21" s="667" t="s">
        <v>14</v>
      </c>
      <c r="U21" s="668">
        <f>H21</f>
        <v>100</v>
      </c>
      <c r="V21" s="667" t="s">
        <v>14</v>
      </c>
      <c r="W21" s="668">
        <f>J21</f>
        <v>100</v>
      </c>
      <c r="X21" s="1265"/>
      <c r="Y21" s="34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77"/>
      <c r="Q22" s="1263"/>
      <c r="R22" s="667"/>
      <c r="S22" s="668"/>
      <c r="T22" s="667"/>
      <c r="U22" s="668"/>
      <c r="V22" s="667"/>
      <c r="W22" s="668"/>
      <c r="X22" s="1265"/>
      <c r="Y22" s="3470"/>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77"/>
      <c r="Q23" s="1263" t="str">
        <f>B23</f>
        <v>自然及人文环境</v>
      </c>
      <c r="R23" s="667" t="s">
        <v>18</v>
      </c>
      <c r="S23" s="668">
        <f>F23</f>
        <v>100</v>
      </c>
      <c r="T23" s="667" t="s">
        <v>18</v>
      </c>
      <c r="U23" s="668">
        <f>H23</f>
        <v>100</v>
      </c>
      <c r="V23" s="667" t="s">
        <v>18</v>
      </c>
      <c r="W23" s="668">
        <f>J23</f>
        <v>100</v>
      </c>
      <c r="X23" s="1265"/>
      <c r="Y23" s="347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77"/>
      <c r="Q24" s="1263"/>
      <c r="R24" s="667"/>
      <c r="S24" s="668"/>
      <c r="T24" s="667"/>
      <c r="U24" s="668"/>
      <c r="V24" s="667"/>
      <c r="W24" s="668"/>
      <c r="X24" s="1265"/>
      <c r="Y24" s="347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7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7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77"/>
      <c r="Q26" s="1263" t="str">
        <f t="shared" si="11"/>
        <v>朝向</v>
      </c>
      <c r="R26" s="667" t="s">
        <v>18</v>
      </c>
      <c r="S26" s="668">
        <f t="shared" si="12"/>
        <v>100</v>
      </c>
      <c r="T26" s="667" t="s">
        <v>18</v>
      </c>
      <c r="U26" s="668">
        <f t="shared" si="13"/>
        <v>100</v>
      </c>
      <c r="V26" s="667" t="s">
        <v>18</v>
      </c>
      <c r="W26" s="668">
        <f t="shared" si="14"/>
        <v>100</v>
      </c>
      <c r="X26" s="1265"/>
      <c r="Y26" s="347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77"/>
      <c r="Q27" s="530">
        <f t="shared" si="11"/>
        <v>111</v>
      </c>
      <c r="R27" s="664" t="s">
        <v>18</v>
      </c>
      <c r="S27" s="665">
        <f t="shared" si="12"/>
        <v>100</v>
      </c>
      <c r="T27" s="664" t="s">
        <v>18</v>
      </c>
      <c r="U27" s="665">
        <f t="shared" si="13"/>
        <v>100</v>
      </c>
      <c r="V27" s="664" t="s">
        <v>18</v>
      </c>
      <c r="W27" s="665">
        <f t="shared" si="14"/>
        <v>100</v>
      </c>
      <c r="X27" s="666"/>
      <c r="Y27" s="347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77"/>
      <c r="Q28" s="1263">
        <f t="shared" si="11"/>
        <v>111</v>
      </c>
      <c r="R28" s="667" t="s">
        <v>18</v>
      </c>
      <c r="S28" s="668">
        <f t="shared" si="12"/>
        <v>100</v>
      </c>
      <c r="T28" s="667" t="s">
        <v>18</v>
      </c>
      <c r="U28" s="668">
        <f t="shared" si="13"/>
        <v>100</v>
      </c>
      <c r="V28" s="667" t="s">
        <v>18</v>
      </c>
      <c r="W28" s="668">
        <f t="shared" si="14"/>
        <v>100</v>
      </c>
      <c r="X28" s="1265"/>
      <c r="Y28" s="347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77"/>
      <c r="Q29" s="1263">
        <f t="shared" si="11"/>
        <v>111</v>
      </c>
      <c r="R29" s="667" t="s">
        <v>18</v>
      </c>
      <c r="S29" s="668">
        <f t="shared" si="12"/>
        <v>100</v>
      </c>
      <c r="T29" s="667" t="s">
        <v>18</v>
      </c>
      <c r="U29" s="668">
        <f t="shared" si="13"/>
        <v>100</v>
      </c>
      <c r="V29" s="667" t="s">
        <v>18</v>
      </c>
      <c r="W29" s="668">
        <f t="shared" si="14"/>
        <v>100</v>
      </c>
      <c r="X29" s="1265"/>
      <c r="Y29" s="347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77"/>
      <c r="Q30" s="1263">
        <f t="shared" si="11"/>
        <v>111</v>
      </c>
      <c r="R30" s="667" t="s">
        <v>18</v>
      </c>
      <c r="S30" s="668">
        <f t="shared" si="12"/>
        <v>100</v>
      </c>
      <c r="T30" s="667" t="s">
        <v>18</v>
      </c>
      <c r="U30" s="668">
        <f t="shared" si="13"/>
        <v>100</v>
      </c>
      <c r="V30" s="667" t="s">
        <v>18</v>
      </c>
      <c r="W30" s="668">
        <f t="shared" si="14"/>
        <v>100</v>
      </c>
      <c r="X30" s="1265"/>
      <c r="Y30" s="347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77"/>
      <c r="Q31" s="1263">
        <f t="shared" si="11"/>
        <v>111</v>
      </c>
      <c r="R31" s="667" t="s">
        <v>18</v>
      </c>
      <c r="S31" s="668">
        <f t="shared" si="12"/>
        <v>100</v>
      </c>
      <c r="T31" s="667" t="s">
        <v>18</v>
      </c>
      <c r="U31" s="668">
        <f t="shared" si="13"/>
        <v>100</v>
      </c>
      <c r="V31" s="667" t="s">
        <v>18</v>
      </c>
      <c r="W31" s="668">
        <f t="shared" si="14"/>
        <v>100</v>
      </c>
      <c r="X31" s="1265"/>
      <c r="Y31" s="347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71" t="s">
        <v>1696</v>
      </c>
      <c r="Q32" s="1263" t="str">
        <f t="shared" si="11"/>
        <v>建筑类型</v>
      </c>
      <c r="R32" s="667" t="s">
        <v>18</v>
      </c>
      <c r="S32" s="668">
        <f t="shared" si="12"/>
        <v>100</v>
      </c>
      <c r="T32" s="667" t="s">
        <v>18</v>
      </c>
      <c r="U32" s="668">
        <f t="shared" si="13"/>
        <v>100</v>
      </c>
      <c r="V32" s="667" t="s">
        <v>18</v>
      </c>
      <c r="W32" s="668">
        <f t="shared" si="14"/>
        <v>100</v>
      </c>
      <c r="X32" s="1265"/>
      <c r="Y32" s="347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72"/>
      <c r="Q33" s="531" t="str">
        <f t="shared" si="11"/>
        <v>项目建筑规模</v>
      </c>
      <c r="R33" s="669" t="s">
        <v>18</v>
      </c>
      <c r="S33" s="670" t="e">
        <f t="shared" si="12"/>
        <v>#N/A</v>
      </c>
      <c r="T33" s="669" t="s">
        <v>18</v>
      </c>
      <c r="U33" s="670" t="e">
        <f t="shared" si="13"/>
        <v>#N/A</v>
      </c>
      <c r="V33" s="669" t="s">
        <v>18</v>
      </c>
      <c r="W33" s="670" t="e">
        <f t="shared" si="14"/>
        <v>#N/A</v>
      </c>
      <c r="X33" s="671"/>
      <c r="Y33" s="347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72"/>
      <c r="Q34" s="1263" t="str">
        <f t="shared" si="11"/>
        <v>建筑结构</v>
      </c>
      <c r="R34" s="667" t="s">
        <v>18</v>
      </c>
      <c r="S34" s="668">
        <f t="shared" si="12"/>
        <v>100</v>
      </c>
      <c r="T34" s="667" t="s">
        <v>18</v>
      </c>
      <c r="U34" s="668">
        <f t="shared" si="13"/>
        <v>100</v>
      </c>
      <c r="V34" s="667" t="s">
        <v>18</v>
      </c>
      <c r="W34" s="668">
        <f t="shared" si="14"/>
        <v>100</v>
      </c>
      <c r="X34" s="1265"/>
      <c r="Y34" s="347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72"/>
      <c r="Q35" s="1263" t="str">
        <f t="shared" si="11"/>
        <v>建筑品质</v>
      </c>
      <c r="R35" s="667" t="s">
        <v>18</v>
      </c>
      <c r="S35" s="668">
        <f t="shared" si="12"/>
        <v>100</v>
      </c>
      <c r="T35" s="667" t="s">
        <v>18</v>
      </c>
      <c r="U35" s="668">
        <f t="shared" si="13"/>
        <v>100</v>
      </c>
      <c r="V35" s="667" t="s">
        <v>18</v>
      </c>
      <c r="W35" s="668">
        <f t="shared" si="14"/>
        <v>100</v>
      </c>
      <c r="X35" s="1265"/>
      <c r="Y35" s="347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72"/>
      <c r="Q36" s="1263" t="str">
        <f t="shared" si="11"/>
        <v>公共部分装修</v>
      </c>
      <c r="R36" s="667" t="s">
        <v>18</v>
      </c>
      <c r="S36" s="668">
        <f t="shared" si="12"/>
        <v>100</v>
      </c>
      <c r="T36" s="667" t="s">
        <v>18</v>
      </c>
      <c r="U36" s="668">
        <f t="shared" si="13"/>
        <v>100</v>
      </c>
      <c r="V36" s="667" t="s">
        <v>18</v>
      </c>
      <c r="W36" s="668">
        <f t="shared" si="14"/>
        <v>100</v>
      </c>
      <c r="X36" s="1265"/>
      <c r="Y36" s="347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72"/>
      <c r="Q37" s="530" t="str">
        <f t="shared" si="11"/>
        <v>成新度</v>
      </c>
      <c r="R37" s="664" t="s">
        <v>18</v>
      </c>
      <c r="S37" s="665" t="e">
        <f t="shared" si="12"/>
        <v>#N/A</v>
      </c>
      <c r="T37" s="664" t="s">
        <v>18</v>
      </c>
      <c r="U37" s="665" t="e">
        <f t="shared" si="13"/>
        <v>#N/A</v>
      </c>
      <c r="V37" s="664" t="s">
        <v>18</v>
      </c>
      <c r="W37" s="665" t="e">
        <f t="shared" si="14"/>
        <v>#N/A</v>
      </c>
      <c r="X37" s="666"/>
      <c r="Y37" s="347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72" t="s">
        <v>1696</v>
      </c>
      <c r="Q38" s="1263" t="str">
        <f t="shared" si="11"/>
        <v>物业管理</v>
      </c>
      <c r="R38" s="667" t="s">
        <v>18</v>
      </c>
      <c r="S38" s="668">
        <f t="shared" si="12"/>
        <v>100</v>
      </c>
      <c r="T38" s="667" t="s">
        <v>18</v>
      </c>
      <c r="U38" s="668">
        <f t="shared" si="13"/>
        <v>100</v>
      </c>
      <c r="V38" s="667" t="s">
        <v>18</v>
      </c>
      <c r="W38" s="668">
        <f t="shared" si="14"/>
        <v>100</v>
      </c>
      <c r="X38" s="1265"/>
      <c r="Y38" s="347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72"/>
      <c r="Q39" s="1263" t="str">
        <f t="shared" si="11"/>
        <v>市政基础设施</v>
      </c>
      <c r="R39" s="667" t="s">
        <v>18</v>
      </c>
      <c r="S39" s="668">
        <f t="shared" si="12"/>
        <v>100</v>
      </c>
      <c r="T39" s="667" t="s">
        <v>18</v>
      </c>
      <c r="U39" s="668">
        <f t="shared" si="13"/>
        <v>100</v>
      </c>
      <c r="V39" s="667" t="s">
        <v>18</v>
      </c>
      <c r="W39" s="668">
        <f t="shared" si="14"/>
        <v>100</v>
      </c>
      <c r="X39" s="1265"/>
      <c r="Y39" s="347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72"/>
      <c r="Q40" s="1263" t="str">
        <f t="shared" si="11"/>
        <v>房型</v>
      </c>
      <c r="R40" s="667" t="s">
        <v>18</v>
      </c>
      <c r="S40" s="668">
        <f t="shared" si="12"/>
        <v>100</v>
      </c>
      <c r="T40" s="667" t="s">
        <v>18</v>
      </c>
      <c r="U40" s="668">
        <f t="shared" si="13"/>
        <v>100</v>
      </c>
      <c r="V40" s="667" t="s">
        <v>18</v>
      </c>
      <c r="W40" s="668">
        <f t="shared" si="14"/>
        <v>100</v>
      </c>
      <c r="X40" s="1265"/>
      <c r="Y40" s="347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72"/>
      <c r="Q41" s="531" t="str">
        <f t="shared" si="11"/>
        <v>单套/主力户型建筑面积</v>
      </c>
      <c r="R41" s="669" t="s">
        <v>18</v>
      </c>
      <c r="S41" s="670">
        <f t="shared" si="12"/>
        <v>100</v>
      </c>
      <c r="T41" s="669" t="s">
        <v>18</v>
      </c>
      <c r="U41" s="670">
        <f t="shared" si="13"/>
        <v>100</v>
      </c>
      <c r="V41" s="669" t="s">
        <v>18</v>
      </c>
      <c r="W41" s="670">
        <f t="shared" si="14"/>
        <v>100</v>
      </c>
      <c r="X41" s="671"/>
      <c r="Y41" s="347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72"/>
      <c r="Q42" s="1263" t="str">
        <f t="shared" si="11"/>
        <v>内部装修</v>
      </c>
      <c r="R42" s="667" t="s">
        <v>18</v>
      </c>
      <c r="S42" s="668">
        <f t="shared" si="12"/>
        <v>100</v>
      </c>
      <c r="T42" s="667" t="s">
        <v>18</v>
      </c>
      <c r="U42" s="668">
        <f t="shared" si="13"/>
        <v>100</v>
      </c>
      <c r="V42" s="667" t="s">
        <v>18</v>
      </c>
      <c r="W42" s="668">
        <f t="shared" si="14"/>
        <v>100</v>
      </c>
      <c r="X42" s="1265"/>
      <c r="Y42" s="347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72"/>
      <c r="Q43" s="1263" t="str">
        <f t="shared" si="11"/>
        <v>内部装修维护情况</v>
      </c>
      <c r="R43" s="667" t="s">
        <v>18</v>
      </c>
      <c r="S43" s="668">
        <f t="shared" si="12"/>
        <v>100</v>
      </c>
      <c r="T43" s="667" t="s">
        <v>18</v>
      </c>
      <c r="U43" s="668">
        <f t="shared" si="13"/>
        <v>100</v>
      </c>
      <c r="V43" s="667" t="s">
        <v>18</v>
      </c>
      <c r="W43" s="668">
        <f t="shared" si="14"/>
        <v>100</v>
      </c>
      <c r="X43" s="1265"/>
      <c r="Y43" s="347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72"/>
      <c r="Q44" s="530">
        <f t="shared" si="11"/>
        <v>111</v>
      </c>
      <c r="R44" s="664" t="s">
        <v>18</v>
      </c>
      <c r="S44" s="665">
        <f t="shared" si="12"/>
        <v>100</v>
      </c>
      <c r="T44" s="664" t="s">
        <v>18</v>
      </c>
      <c r="U44" s="665">
        <f t="shared" si="13"/>
        <v>100</v>
      </c>
      <c r="V44" s="664" t="s">
        <v>18</v>
      </c>
      <c r="W44" s="665">
        <f t="shared" si="14"/>
        <v>100</v>
      </c>
      <c r="X44" s="666"/>
      <c r="Y44" s="347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72"/>
      <c r="Q45" s="1263">
        <f t="shared" si="11"/>
        <v>111</v>
      </c>
      <c r="R45" s="667" t="s">
        <v>18</v>
      </c>
      <c r="S45" s="668">
        <f t="shared" si="12"/>
        <v>100</v>
      </c>
      <c r="T45" s="667" t="s">
        <v>18</v>
      </c>
      <c r="U45" s="668">
        <f t="shared" si="13"/>
        <v>100</v>
      </c>
      <c r="V45" s="667" t="s">
        <v>18</v>
      </c>
      <c r="W45" s="668">
        <f t="shared" si="14"/>
        <v>100</v>
      </c>
      <c r="X45" s="1265"/>
      <c r="Y45" s="347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73"/>
      <c r="Q46" s="1263">
        <f t="shared" si="11"/>
        <v>111</v>
      </c>
      <c r="R46" s="667" t="s">
        <v>17</v>
      </c>
      <c r="S46" s="668">
        <f t="shared" si="12"/>
        <v>100</v>
      </c>
      <c r="T46" s="667" t="s">
        <v>17</v>
      </c>
      <c r="U46" s="668">
        <f t="shared" si="13"/>
        <v>100</v>
      </c>
      <c r="V46" s="667" t="s">
        <v>17</v>
      </c>
      <c r="W46" s="668">
        <f t="shared" si="14"/>
        <v>100</v>
      </c>
      <c r="X46" s="1265"/>
      <c r="Y46" s="347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68" t="str">
        <f>A47</f>
        <v>成交单价（元/平方米）</v>
      </c>
      <c r="Q47" s="3468"/>
      <c r="R47" s="3463">
        <f>E47</f>
        <v>0</v>
      </c>
      <c r="S47" s="3463"/>
      <c r="T47" s="3463">
        <f>G47</f>
        <v>0</v>
      </c>
      <c r="U47" s="3463"/>
      <c r="V47" s="3463">
        <f>I47</f>
        <v>0</v>
      </c>
      <c r="W47" s="3463"/>
      <c r="X47" s="385"/>
      <c r="Y47" s="673"/>
      <c r="Z47" s="385"/>
      <c r="AA47" s="385"/>
      <c r="AB47" s="385"/>
      <c r="AC47" s="385"/>
    </row>
    <row r="48" spans="1:29" ht="15" thickBot="1">
      <c r="A48" s="423" t="s">
        <v>1709</v>
      </c>
      <c r="B48" s="424"/>
      <c r="C48" s="1082" t="e">
        <f>R49</f>
        <v>#DIV/0!</v>
      </c>
      <c r="D48" s="2140" t="s">
        <v>2136</v>
      </c>
      <c r="E48" s="1083" t="e">
        <f>R48</f>
        <v>#DIV/0!</v>
      </c>
      <c r="F48" s="2141"/>
      <c r="G48" s="1082" t="e">
        <f>T48</f>
        <v>#DIV/0!</v>
      </c>
      <c r="H48" s="2141"/>
      <c r="I48" s="1083" t="e">
        <f>V48</f>
        <v>#DIV/0!</v>
      </c>
      <c r="J48" s="2141"/>
      <c r="K48" s="2142">
        <f>F48+H48+J48</f>
        <v>0</v>
      </c>
      <c r="L48" s="2492"/>
      <c r="M48" s="2485"/>
      <c r="N48" s="2485"/>
      <c r="O48" s="2485"/>
      <c r="P48" s="3468" t="str">
        <f>A48</f>
        <v>比较价值（元/平方米）</v>
      </c>
      <c r="Q48" s="3468"/>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81.709999999999994</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51" t="s">
        <v>1770</v>
      </c>
      <c r="D4" s="3452"/>
      <c r="E4" s="3453" t="s">
        <v>1771</v>
      </c>
      <c r="F4" s="3454"/>
      <c r="G4" s="3451" t="s">
        <v>1772</v>
      </c>
      <c r="H4" s="3452"/>
      <c r="I4" s="3451" t="s">
        <v>1773</v>
      </c>
      <c r="J4" s="3452"/>
      <c r="K4" s="537" t="s">
        <v>1774</v>
      </c>
      <c r="L4" s="2484"/>
      <c r="M4" s="2485"/>
      <c r="N4" s="2485"/>
      <c r="O4" s="2485"/>
      <c r="P4" s="3455" t="s">
        <v>1775</v>
      </c>
      <c r="Q4" s="3456"/>
      <c r="R4" s="3438" t="s">
        <v>1771</v>
      </c>
      <c r="S4" s="3439"/>
      <c r="T4" s="3438" t="s">
        <v>1772</v>
      </c>
      <c r="U4" s="3439"/>
      <c r="V4" s="3463" t="s">
        <v>1773</v>
      </c>
      <c r="W4" s="3463"/>
      <c r="X4" s="1265"/>
      <c r="Y4" s="3438" t="s">
        <v>1775</v>
      </c>
      <c r="Z4" s="3439"/>
      <c r="AA4" s="3433" t="s">
        <v>1771</v>
      </c>
      <c r="AB4" s="3463" t="s">
        <v>1772</v>
      </c>
      <c r="AC4" s="3433" t="s">
        <v>1773</v>
      </c>
    </row>
    <row r="5" spans="1:29">
      <c r="A5" s="348"/>
      <c r="B5" s="349"/>
      <c r="C5" s="3444" t="s">
        <v>1673</v>
      </c>
      <c r="D5" s="3445"/>
      <c r="E5" s="3442" t="s">
        <v>1674</v>
      </c>
      <c r="F5" s="3443"/>
      <c r="G5" s="3444" t="s">
        <v>1675</v>
      </c>
      <c r="H5" s="3445"/>
      <c r="I5" s="3444" t="s">
        <v>1676</v>
      </c>
      <c r="J5" s="3445"/>
      <c r="K5" s="537"/>
      <c r="L5" s="2484"/>
      <c r="M5" s="2485"/>
      <c r="N5" s="2485"/>
      <c r="O5" s="2485"/>
      <c r="P5" s="3457"/>
      <c r="Q5" s="3458"/>
      <c r="R5" s="3440"/>
      <c r="S5" s="3441"/>
      <c r="T5" s="3440"/>
      <c r="U5" s="3441"/>
      <c r="V5" s="3463"/>
      <c r="W5" s="3463"/>
      <c r="X5" s="1265"/>
      <c r="Y5" s="3440"/>
      <c r="Z5" s="3441"/>
      <c r="AA5" s="3434"/>
      <c r="AB5" s="3463"/>
      <c r="AC5" s="3434"/>
    </row>
    <row r="6" spans="1:29" ht="15" thickBot="1">
      <c r="A6" s="350"/>
      <c r="B6" s="351"/>
      <c r="C6" s="3446" t="s">
        <v>1677</v>
      </c>
      <c r="D6" s="3447"/>
      <c r="E6" s="3448" t="s">
        <v>1677</v>
      </c>
      <c r="F6" s="3449"/>
      <c r="G6" s="3446" t="s">
        <v>1677</v>
      </c>
      <c r="H6" s="3447"/>
      <c r="I6" s="3446" t="s">
        <v>1677</v>
      </c>
      <c r="J6" s="3447"/>
      <c r="K6" s="537" t="s">
        <v>1678</v>
      </c>
      <c r="L6" s="2484"/>
      <c r="M6" s="2485"/>
      <c r="N6" s="2485"/>
      <c r="O6" s="2485"/>
      <c r="P6" s="3459"/>
      <c r="Q6" s="3460"/>
      <c r="R6" s="3440"/>
      <c r="S6" s="3441"/>
      <c r="T6" s="3461"/>
      <c r="U6" s="3462"/>
      <c r="V6" s="3463"/>
      <c r="W6" s="3463"/>
      <c r="X6" s="1265"/>
      <c r="Y6" s="3461"/>
      <c r="Z6" s="3462"/>
      <c r="AA6" s="3435"/>
      <c r="AB6" s="3463"/>
      <c r="AC6" s="3435"/>
    </row>
    <row r="7" spans="1:29" s="102" customFormat="1" ht="15" thickBot="1">
      <c r="A7" s="352" t="s">
        <v>1679</v>
      </c>
      <c r="B7" s="353"/>
      <c r="C7" s="354">
        <f>'数据-取费表'!B2</f>
        <v>45875</v>
      </c>
      <c r="D7" s="355">
        <v>100</v>
      </c>
      <c r="E7" s="356"/>
      <c r="F7" s="357">
        <f>SUMIF(58:58,YEAR(E7)&amp;"-"&amp;MONTH(E7),59:59)</f>
        <v>0</v>
      </c>
      <c r="G7" s="356"/>
      <c r="H7" s="355">
        <f>SUMIF(58:58,YEAR(G7)&amp;"-"&amp;MONTH(G7),59:59)</f>
        <v>0</v>
      </c>
      <c r="I7" s="356"/>
      <c r="J7" s="355">
        <f>SUMIF(58:58,YEAR(I7)&amp;"-"&amp;MONTH(I7),59:59)</f>
        <v>0</v>
      </c>
      <c r="K7" s="38"/>
      <c r="L7" s="2486"/>
      <c r="M7" s="2438"/>
      <c r="N7" s="2438"/>
      <c r="O7" s="2438"/>
      <c r="P7" s="3436" t="s">
        <v>1680</v>
      </c>
      <c r="Q7" s="3464"/>
      <c r="R7" s="664" t="s">
        <v>14</v>
      </c>
      <c r="S7" s="665">
        <f t="shared" ref="S7:S15" si="0">F7</f>
        <v>0</v>
      </c>
      <c r="T7" s="664" t="s">
        <v>14</v>
      </c>
      <c r="U7" s="665">
        <f t="shared" ref="U7:U15" si="1">H7</f>
        <v>0</v>
      </c>
      <c r="V7" s="664" t="s">
        <v>14</v>
      </c>
      <c r="W7" s="665">
        <f t="shared" ref="W7:W15" si="2">J7</f>
        <v>0</v>
      </c>
      <c r="X7" s="666"/>
      <c r="Y7" s="3436" t="s">
        <v>1680</v>
      </c>
      <c r="Z7" s="343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36" t="s">
        <v>1683</v>
      </c>
      <c r="Q8" s="3437"/>
      <c r="R8" s="664" t="s">
        <v>14</v>
      </c>
      <c r="S8" s="665">
        <f t="shared" si="0"/>
        <v>100</v>
      </c>
      <c r="T8" s="664" t="s">
        <v>14</v>
      </c>
      <c r="U8" s="665">
        <f t="shared" si="1"/>
        <v>100</v>
      </c>
      <c r="V8" s="664" t="s">
        <v>14</v>
      </c>
      <c r="W8" s="665">
        <f t="shared" si="2"/>
        <v>100</v>
      </c>
      <c r="X8" s="666"/>
      <c r="Y8" s="3436" t="s">
        <v>1683</v>
      </c>
      <c r="Z8" s="343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50"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50"/>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50"/>
      <c r="Q11" s="530" t="str">
        <f t="shared" si="6"/>
        <v>容积率</v>
      </c>
      <c r="R11" s="664" t="s">
        <v>14</v>
      </c>
      <c r="S11" s="665" t="e">
        <f t="shared" si="0"/>
        <v>#N/A</v>
      </c>
      <c r="T11" s="664" t="s">
        <v>14</v>
      </c>
      <c r="U11" s="665" t="e">
        <f t="shared" si="1"/>
        <v>#N/A</v>
      </c>
      <c r="V11" s="664" t="s">
        <v>14</v>
      </c>
      <c r="W11" s="665" t="e">
        <f t="shared" si="2"/>
        <v>#N/A</v>
      </c>
      <c r="X11" s="666"/>
      <c r="Y11" s="336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50"/>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50"/>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50"/>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76" t="s">
        <v>1691</v>
      </c>
      <c r="Q15" s="1263" t="str">
        <f t="shared" si="6"/>
        <v>商业繁华度</v>
      </c>
      <c r="R15" s="667" t="s">
        <v>14</v>
      </c>
      <c r="S15" s="668">
        <f t="shared" si="0"/>
        <v>100</v>
      </c>
      <c r="T15" s="667" t="s">
        <v>14</v>
      </c>
      <c r="U15" s="668">
        <f t="shared" si="1"/>
        <v>100</v>
      </c>
      <c r="V15" s="667" t="s">
        <v>14</v>
      </c>
      <c r="W15" s="668">
        <f t="shared" si="2"/>
        <v>100</v>
      </c>
      <c r="X15" s="1265"/>
      <c r="Y15" s="346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77"/>
      <c r="Q16" s="1263"/>
      <c r="R16" s="667"/>
      <c r="S16" s="668"/>
      <c r="T16" s="667"/>
      <c r="U16" s="668"/>
      <c r="V16" s="667"/>
      <c r="W16" s="668"/>
      <c r="X16" s="1265"/>
      <c r="Y16" s="347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77"/>
      <c r="Q17" s="1263" t="str">
        <f>B17</f>
        <v>交通便捷度</v>
      </c>
      <c r="R17" s="667" t="s">
        <v>14</v>
      </c>
      <c r="S17" s="668">
        <f>F17</f>
        <v>100</v>
      </c>
      <c r="T17" s="667" t="s">
        <v>14</v>
      </c>
      <c r="U17" s="668">
        <f>H17</f>
        <v>100</v>
      </c>
      <c r="V17" s="667" t="s">
        <v>14</v>
      </c>
      <c r="W17" s="668">
        <f>J17</f>
        <v>100</v>
      </c>
      <c r="X17" s="1265"/>
      <c r="Y17" s="347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77"/>
      <c r="Q18" s="1263"/>
      <c r="R18" s="667"/>
      <c r="S18" s="668"/>
      <c r="T18" s="667"/>
      <c r="U18" s="668"/>
      <c r="V18" s="667"/>
      <c r="W18" s="668"/>
      <c r="X18" s="1265"/>
      <c r="Y18" s="3470"/>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77"/>
      <c r="Q19" s="1263" t="str">
        <f>B19</f>
        <v>公共配套设施</v>
      </c>
      <c r="R19" s="667" t="s">
        <v>14</v>
      </c>
      <c r="S19" s="668">
        <f>F19</f>
        <v>100</v>
      </c>
      <c r="T19" s="667" t="s">
        <v>14</v>
      </c>
      <c r="U19" s="668">
        <f>H19</f>
        <v>100</v>
      </c>
      <c r="V19" s="667" t="s">
        <v>14</v>
      </c>
      <c r="W19" s="668">
        <f>J19</f>
        <v>100</v>
      </c>
      <c r="X19" s="1265"/>
      <c r="Y19" s="347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77"/>
      <c r="Q20" s="1263"/>
      <c r="R20" s="667"/>
      <c r="S20" s="668"/>
      <c r="T20" s="667"/>
      <c r="U20" s="668"/>
      <c r="V20" s="667"/>
      <c r="W20" s="668"/>
      <c r="X20" s="1265"/>
      <c r="Y20" s="347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77"/>
      <c r="Q21" s="1263" t="str">
        <f>B21</f>
        <v>基础设施水平</v>
      </c>
      <c r="R21" s="667" t="s">
        <v>14</v>
      </c>
      <c r="S21" s="668">
        <f>F21</f>
        <v>100</v>
      </c>
      <c r="T21" s="667" t="s">
        <v>14</v>
      </c>
      <c r="U21" s="668">
        <f>H21</f>
        <v>100</v>
      </c>
      <c r="V21" s="667" t="s">
        <v>14</v>
      </c>
      <c r="W21" s="668">
        <f>J21</f>
        <v>100</v>
      </c>
      <c r="X21" s="1265"/>
      <c r="Y21" s="34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77"/>
      <c r="Q22" s="1263"/>
      <c r="R22" s="667"/>
      <c r="S22" s="668"/>
      <c r="T22" s="667"/>
      <c r="U22" s="668"/>
      <c r="V22" s="667"/>
      <c r="W22" s="668"/>
      <c r="X22" s="1265"/>
      <c r="Y22" s="3470"/>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77"/>
      <c r="Q23" s="1263" t="str">
        <f>B23</f>
        <v>自然及人文环境</v>
      </c>
      <c r="R23" s="667" t="s">
        <v>14</v>
      </c>
      <c r="S23" s="668">
        <f>F23</f>
        <v>100</v>
      </c>
      <c r="T23" s="667" t="s">
        <v>14</v>
      </c>
      <c r="U23" s="668">
        <f>H23</f>
        <v>100</v>
      </c>
      <c r="V23" s="667" t="s">
        <v>14</v>
      </c>
      <c r="W23" s="668">
        <f>J23</f>
        <v>100</v>
      </c>
      <c r="X23" s="1265"/>
      <c r="Y23" s="347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77"/>
      <c r="Q24" s="1263"/>
      <c r="R24" s="667"/>
      <c r="S24" s="668"/>
      <c r="T24" s="667"/>
      <c r="U24" s="668"/>
      <c r="V24" s="667"/>
      <c r="W24" s="668"/>
      <c r="X24" s="1265"/>
      <c r="Y24" s="347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77"/>
      <c r="Q25" s="1263" t="str">
        <f t="shared" ref="Q25:Q46" si="11">B25</f>
        <v>临街状况</v>
      </c>
      <c r="R25" s="667" t="s">
        <v>14</v>
      </c>
      <c r="S25" s="668">
        <f>F25</f>
        <v>100</v>
      </c>
      <c r="T25" s="667" t="s">
        <v>14</v>
      </c>
      <c r="U25" s="668">
        <f>H25</f>
        <v>100</v>
      </c>
      <c r="V25" s="667" t="s">
        <v>14</v>
      </c>
      <c r="W25" s="668">
        <f>J25</f>
        <v>100</v>
      </c>
      <c r="X25" s="1265"/>
      <c r="Y25" s="347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77"/>
      <c r="Q26" s="1263" t="str">
        <f t="shared" si="11"/>
        <v>平面位置/可视性</v>
      </c>
      <c r="R26" s="667" t="s">
        <v>14</v>
      </c>
      <c r="S26" s="668">
        <f>F26</f>
        <v>100</v>
      </c>
      <c r="T26" s="667" t="s">
        <v>14</v>
      </c>
      <c r="U26" s="668">
        <f>H26</f>
        <v>100</v>
      </c>
      <c r="V26" s="667" t="s">
        <v>14</v>
      </c>
      <c r="W26" s="668">
        <f>J26</f>
        <v>100</v>
      </c>
      <c r="X26" s="1265"/>
      <c r="Y26" s="347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77"/>
      <c r="Q27" s="530" t="str">
        <f t="shared" si="11"/>
        <v>人流量</v>
      </c>
      <c r="R27" s="664" t="s">
        <v>14</v>
      </c>
      <c r="S27" s="665">
        <f>F27</f>
        <v>100</v>
      </c>
      <c r="T27" s="664" t="s">
        <v>14</v>
      </c>
      <c r="U27" s="665">
        <f>H27</f>
        <v>100</v>
      </c>
      <c r="V27" s="664" t="s">
        <v>14</v>
      </c>
      <c r="W27" s="665">
        <f>J27</f>
        <v>100</v>
      </c>
      <c r="X27" s="666"/>
      <c r="Y27" s="347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7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7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77"/>
      <c r="Q29" s="1263">
        <f t="shared" si="11"/>
        <v>111</v>
      </c>
      <c r="R29" s="667" t="s">
        <v>14</v>
      </c>
      <c r="S29" s="668">
        <f t="shared" si="12"/>
        <v>100</v>
      </c>
      <c r="T29" s="667" t="s">
        <v>14</v>
      </c>
      <c r="U29" s="668">
        <f t="shared" si="13"/>
        <v>100</v>
      </c>
      <c r="V29" s="667" t="s">
        <v>14</v>
      </c>
      <c r="W29" s="668">
        <f t="shared" si="14"/>
        <v>100</v>
      </c>
      <c r="X29" s="1265"/>
      <c r="Y29" s="347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77"/>
      <c r="Q30" s="1263">
        <f t="shared" si="11"/>
        <v>111</v>
      </c>
      <c r="R30" s="667" t="s">
        <v>14</v>
      </c>
      <c r="S30" s="668">
        <f t="shared" si="12"/>
        <v>100</v>
      </c>
      <c r="T30" s="667" t="s">
        <v>14</v>
      </c>
      <c r="U30" s="668">
        <f t="shared" si="13"/>
        <v>100</v>
      </c>
      <c r="V30" s="667" t="s">
        <v>14</v>
      </c>
      <c r="W30" s="668">
        <f t="shared" si="14"/>
        <v>100</v>
      </c>
      <c r="X30" s="1265"/>
      <c r="Y30" s="347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77"/>
      <c r="Q31" s="1263">
        <f t="shared" si="11"/>
        <v>111</v>
      </c>
      <c r="R31" s="667" t="s">
        <v>14</v>
      </c>
      <c r="S31" s="668">
        <f t="shared" si="12"/>
        <v>100</v>
      </c>
      <c r="T31" s="667" t="s">
        <v>14</v>
      </c>
      <c r="U31" s="668">
        <f t="shared" si="13"/>
        <v>100</v>
      </c>
      <c r="V31" s="667" t="s">
        <v>14</v>
      </c>
      <c r="W31" s="668">
        <f t="shared" si="14"/>
        <v>100</v>
      </c>
      <c r="X31" s="1265"/>
      <c r="Y31" s="347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71" t="s">
        <v>1696</v>
      </c>
      <c r="Q32" s="1263" t="str">
        <f t="shared" si="11"/>
        <v>商业类型</v>
      </c>
      <c r="R32" s="667" t="s">
        <v>14</v>
      </c>
      <c r="S32" s="668">
        <f t="shared" si="12"/>
        <v>100</v>
      </c>
      <c r="T32" s="667" t="s">
        <v>14</v>
      </c>
      <c r="U32" s="668">
        <f t="shared" si="13"/>
        <v>100</v>
      </c>
      <c r="V32" s="667" t="s">
        <v>14</v>
      </c>
      <c r="W32" s="668">
        <f t="shared" si="14"/>
        <v>100</v>
      </c>
      <c r="X32" s="1265"/>
      <c r="Y32" s="347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72"/>
      <c r="Q33" s="531" t="str">
        <f t="shared" si="11"/>
        <v>项目建筑规模</v>
      </c>
      <c r="R33" s="669" t="s">
        <v>14</v>
      </c>
      <c r="S33" s="670" t="e">
        <f t="shared" si="12"/>
        <v>#N/A</v>
      </c>
      <c r="T33" s="669" t="s">
        <v>14</v>
      </c>
      <c r="U33" s="670" t="e">
        <f t="shared" si="13"/>
        <v>#N/A</v>
      </c>
      <c r="V33" s="669" t="s">
        <v>14</v>
      </c>
      <c r="W33" s="670" t="e">
        <f t="shared" si="14"/>
        <v>#N/A</v>
      </c>
      <c r="X33" s="671"/>
      <c r="Y33" s="347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72"/>
      <c r="Q34" s="1263" t="str">
        <f t="shared" si="11"/>
        <v>建筑结构</v>
      </c>
      <c r="R34" s="667" t="s">
        <v>14</v>
      </c>
      <c r="S34" s="668">
        <f t="shared" si="12"/>
        <v>100</v>
      </c>
      <c r="T34" s="667" t="s">
        <v>14</v>
      </c>
      <c r="U34" s="668">
        <f t="shared" si="13"/>
        <v>100</v>
      </c>
      <c r="V34" s="667" t="s">
        <v>14</v>
      </c>
      <c r="W34" s="668">
        <f t="shared" si="14"/>
        <v>100</v>
      </c>
      <c r="X34" s="1265"/>
      <c r="Y34" s="347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72"/>
      <c r="Q35" s="1263" t="str">
        <f t="shared" si="11"/>
        <v>公共部分装修</v>
      </c>
      <c r="R35" s="667" t="s">
        <v>14</v>
      </c>
      <c r="S35" s="668">
        <f t="shared" si="12"/>
        <v>100</v>
      </c>
      <c r="T35" s="667" t="s">
        <v>14</v>
      </c>
      <c r="U35" s="668">
        <f t="shared" si="13"/>
        <v>100</v>
      </c>
      <c r="V35" s="667" t="s">
        <v>14</v>
      </c>
      <c r="W35" s="668">
        <f t="shared" si="14"/>
        <v>100</v>
      </c>
      <c r="X35" s="1265"/>
      <c r="Y35" s="347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72"/>
      <c r="Q36" s="1263" t="str">
        <f t="shared" si="11"/>
        <v>成新度</v>
      </c>
      <c r="R36" s="667" t="s">
        <v>14</v>
      </c>
      <c r="S36" s="668" t="e">
        <f t="shared" si="12"/>
        <v>#N/A</v>
      </c>
      <c r="T36" s="667" t="s">
        <v>14</v>
      </c>
      <c r="U36" s="668" t="e">
        <f t="shared" si="13"/>
        <v>#N/A</v>
      </c>
      <c r="V36" s="667" t="s">
        <v>14</v>
      </c>
      <c r="W36" s="668" t="e">
        <f t="shared" si="14"/>
        <v>#N/A</v>
      </c>
      <c r="X36" s="1265"/>
      <c r="Y36" s="347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72"/>
      <c r="Q37" s="530" t="str">
        <f t="shared" si="11"/>
        <v>市政基础设施</v>
      </c>
      <c r="R37" s="664" t="s">
        <v>14</v>
      </c>
      <c r="S37" s="665">
        <f t="shared" si="12"/>
        <v>100</v>
      </c>
      <c r="T37" s="664" t="s">
        <v>14</v>
      </c>
      <c r="U37" s="665">
        <f t="shared" si="13"/>
        <v>100</v>
      </c>
      <c r="V37" s="664" t="s">
        <v>14</v>
      </c>
      <c r="W37" s="665">
        <f t="shared" si="14"/>
        <v>100</v>
      </c>
      <c r="X37" s="666"/>
      <c r="Y37" s="347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72" t="s">
        <v>1696</v>
      </c>
      <c r="Q38" s="1263" t="str">
        <f t="shared" si="11"/>
        <v>业态</v>
      </c>
      <c r="R38" s="667" t="s">
        <v>14</v>
      </c>
      <c r="S38" s="668">
        <f t="shared" si="12"/>
        <v>100</v>
      </c>
      <c r="T38" s="667" t="s">
        <v>14</v>
      </c>
      <c r="U38" s="668">
        <f t="shared" si="13"/>
        <v>100</v>
      </c>
      <c r="V38" s="667" t="s">
        <v>14</v>
      </c>
      <c r="W38" s="668">
        <f t="shared" si="14"/>
        <v>100</v>
      </c>
      <c r="X38" s="1265"/>
      <c r="Y38" s="347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72"/>
      <c r="Q39" s="1263" t="str">
        <f t="shared" si="11"/>
        <v>层高</v>
      </c>
      <c r="R39" s="667" t="s">
        <v>14</v>
      </c>
      <c r="S39" s="668">
        <f t="shared" si="12"/>
        <v>100</v>
      </c>
      <c r="T39" s="667" t="s">
        <v>14</v>
      </c>
      <c r="U39" s="668">
        <f t="shared" si="13"/>
        <v>100</v>
      </c>
      <c r="V39" s="667" t="s">
        <v>14</v>
      </c>
      <c r="W39" s="668">
        <f t="shared" si="14"/>
        <v>100</v>
      </c>
      <c r="X39" s="1265"/>
      <c r="Y39" s="347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72"/>
      <c r="Q40" s="1263" t="str">
        <f t="shared" si="11"/>
        <v>单套建筑面积</v>
      </c>
      <c r="R40" s="667" t="s">
        <v>14</v>
      </c>
      <c r="S40" s="668">
        <f t="shared" si="12"/>
        <v>100</v>
      </c>
      <c r="T40" s="667" t="s">
        <v>14</v>
      </c>
      <c r="U40" s="668">
        <f t="shared" si="13"/>
        <v>100</v>
      </c>
      <c r="V40" s="667" t="s">
        <v>14</v>
      </c>
      <c r="W40" s="668">
        <f t="shared" si="14"/>
        <v>100</v>
      </c>
      <c r="X40" s="1265"/>
      <c r="Y40" s="347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72"/>
      <c r="Q41" s="531" t="str">
        <f t="shared" si="11"/>
        <v>进深比</v>
      </c>
      <c r="R41" s="669" t="s">
        <v>14</v>
      </c>
      <c r="S41" s="670">
        <f t="shared" si="12"/>
        <v>100</v>
      </c>
      <c r="T41" s="669" t="s">
        <v>14</v>
      </c>
      <c r="U41" s="670">
        <f t="shared" si="13"/>
        <v>100</v>
      </c>
      <c r="V41" s="669" t="s">
        <v>14</v>
      </c>
      <c r="W41" s="670">
        <f t="shared" si="14"/>
        <v>100</v>
      </c>
      <c r="X41" s="671"/>
      <c r="Y41" s="347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72"/>
      <c r="Q42" s="1263" t="str">
        <f t="shared" si="11"/>
        <v>内部装修</v>
      </c>
      <c r="R42" s="667" t="s">
        <v>14</v>
      </c>
      <c r="S42" s="668">
        <f t="shared" si="12"/>
        <v>100</v>
      </c>
      <c r="T42" s="667" t="s">
        <v>14</v>
      </c>
      <c r="U42" s="668">
        <f t="shared" si="13"/>
        <v>100</v>
      </c>
      <c r="V42" s="667" t="s">
        <v>14</v>
      </c>
      <c r="W42" s="668">
        <f t="shared" si="14"/>
        <v>100</v>
      </c>
      <c r="X42" s="1265"/>
      <c r="Y42" s="347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72"/>
      <c r="Q43" s="1263" t="str">
        <f t="shared" si="11"/>
        <v>内部装修维护情况</v>
      </c>
      <c r="R43" s="667" t="s">
        <v>14</v>
      </c>
      <c r="S43" s="668">
        <f t="shared" si="12"/>
        <v>100</v>
      </c>
      <c r="T43" s="667" t="s">
        <v>14</v>
      </c>
      <c r="U43" s="668">
        <f t="shared" si="13"/>
        <v>100</v>
      </c>
      <c r="V43" s="667" t="s">
        <v>14</v>
      </c>
      <c r="W43" s="668">
        <f t="shared" si="14"/>
        <v>100</v>
      </c>
      <c r="X43" s="1265"/>
      <c r="Y43" s="347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72"/>
      <c r="Q44" s="530">
        <f t="shared" si="11"/>
        <v>111</v>
      </c>
      <c r="R44" s="664" t="s">
        <v>14</v>
      </c>
      <c r="S44" s="665">
        <f t="shared" si="12"/>
        <v>100</v>
      </c>
      <c r="T44" s="664" t="s">
        <v>14</v>
      </c>
      <c r="U44" s="665">
        <f t="shared" si="13"/>
        <v>100</v>
      </c>
      <c r="V44" s="664" t="s">
        <v>14</v>
      </c>
      <c r="W44" s="665">
        <f t="shared" si="14"/>
        <v>100</v>
      </c>
      <c r="X44" s="666"/>
      <c r="Y44" s="347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72"/>
      <c r="Q45" s="1263">
        <f t="shared" si="11"/>
        <v>111</v>
      </c>
      <c r="R45" s="667" t="s">
        <v>14</v>
      </c>
      <c r="S45" s="668">
        <f t="shared" si="12"/>
        <v>100</v>
      </c>
      <c r="T45" s="667" t="s">
        <v>14</v>
      </c>
      <c r="U45" s="668">
        <f t="shared" si="13"/>
        <v>100</v>
      </c>
      <c r="V45" s="667" t="s">
        <v>14</v>
      </c>
      <c r="W45" s="668">
        <f t="shared" si="14"/>
        <v>100</v>
      </c>
      <c r="X45" s="1265"/>
      <c r="Y45" s="347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73"/>
      <c r="Q46" s="1263">
        <f t="shared" si="11"/>
        <v>111</v>
      </c>
      <c r="R46" s="667" t="s">
        <v>14</v>
      </c>
      <c r="S46" s="668">
        <f t="shared" si="12"/>
        <v>100</v>
      </c>
      <c r="T46" s="667" t="s">
        <v>14</v>
      </c>
      <c r="U46" s="668">
        <f t="shared" si="13"/>
        <v>100</v>
      </c>
      <c r="V46" s="667" t="s">
        <v>14</v>
      </c>
      <c r="W46" s="668">
        <f t="shared" si="14"/>
        <v>100</v>
      </c>
      <c r="X46" s="1265"/>
      <c r="Y46" s="347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68" t="str">
        <f>A47</f>
        <v>成交单价（元/平方米）</v>
      </c>
      <c r="Q47" s="3468"/>
      <c r="R47" s="3463">
        <f>E47</f>
        <v>0</v>
      </c>
      <c r="S47" s="3463"/>
      <c r="T47" s="3463">
        <f>G47</f>
        <v>0</v>
      </c>
      <c r="U47" s="3463"/>
      <c r="V47" s="3463">
        <f>I47</f>
        <v>0</v>
      </c>
      <c r="W47" s="3463"/>
      <c r="X47" s="385"/>
      <c r="Y47" s="673"/>
      <c r="Z47" s="385"/>
      <c r="AA47" s="385"/>
      <c r="AB47" s="385"/>
      <c r="AC47" s="385"/>
    </row>
    <row r="48" spans="1:29" ht="15" thickBot="1">
      <c r="A48" s="423" t="s">
        <v>1793</v>
      </c>
      <c r="B48" s="424"/>
      <c r="C48" s="1082" t="e">
        <f>R49</f>
        <v>#DIV/0!</v>
      </c>
      <c r="D48" s="2140" t="s">
        <v>2136</v>
      </c>
      <c r="E48" s="1083" t="e">
        <f>R48</f>
        <v>#DIV/0!</v>
      </c>
      <c r="F48" s="2141"/>
      <c r="G48" s="1082" t="e">
        <f>T48</f>
        <v>#DIV/0!</v>
      </c>
      <c r="H48" s="2141"/>
      <c r="I48" s="1083" t="e">
        <f>V48</f>
        <v>#DIV/0!</v>
      </c>
      <c r="J48" s="2141"/>
      <c r="K48" s="2143">
        <f>F48+H48+J48</f>
        <v>0</v>
      </c>
      <c r="L48" s="2492"/>
      <c r="M48" s="2485"/>
      <c r="N48" s="2485"/>
      <c r="O48" s="2485"/>
      <c r="P48" s="3468" t="str">
        <f>A48</f>
        <v>比较价值（元/平方米）</v>
      </c>
      <c r="Q48" s="3468"/>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81.709999999999994</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51" t="s">
        <v>1770</v>
      </c>
      <c r="D4" s="3452"/>
      <c r="E4" s="3453" t="s">
        <v>1771</v>
      </c>
      <c r="F4" s="3454"/>
      <c r="G4" s="3451" t="s">
        <v>1772</v>
      </c>
      <c r="H4" s="3452"/>
      <c r="I4" s="3451" t="s">
        <v>1773</v>
      </c>
      <c r="J4" s="3452"/>
      <c r="K4" s="537" t="s">
        <v>1774</v>
      </c>
      <c r="L4" s="2484"/>
      <c r="M4" s="2485"/>
      <c r="N4" s="2485"/>
      <c r="O4" s="2485"/>
      <c r="P4" s="3484" t="s">
        <v>1775</v>
      </c>
      <c r="Q4" s="3485"/>
      <c r="R4" s="3479" t="s">
        <v>1771</v>
      </c>
      <c r="S4" s="3480"/>
      <c r="T4" s="3479" t="s">
        <v>1772</v>
      </c>
      <c r="U4" s="3480"/>
      <c r="V4" s="3488" t="s">
        <v>1773</v>
      </c>
      <c r="W4" s="3488"/>
      <c r="X4" s="1809"/>
      <c r="Y4" s="3479" t="s">
        <v>1775</v>
      </c>
      <c r="Z4" s="3480"/>
      <c r="AA4" s="3478" t="s">
        <v>1771</v>
      </c>
      <c r="AB4" s="3478" t="s">
        <v>1772</v>
      </c>
      <c r="AC4" s="3481" t="s">
        <v>1773</v>
      </c>
    </row>
    <row r="5" spans="1:29">
      <c r="A5" s="348"/>
      <c r="B5" s="349"/>
      <c r="C5" s="3444" t="s">
        <v>1673</v>
      </c>
      <c r="D5" s="3445"/>
      <c r="E5" s="3442" t="s">
        <v>1674</v>
      </c>
      <c r="F5" s="3443"/>
      <c r="G5" s="3444" t="s">
        <v>1675</v>
      </c>
      <c r="H5" s="3445"/>
      <c r="I5" s="3444" t="s">
        <v>1676</v>
      </c>
      <c r="J5" s="3445"/>
      <c r="K5" s="537"/>
      <c r="L5" s="2484"/>
      <c r="M5" s="2485"/>
      <c r="N5" s="2485"/>
      <c r="O5" s="2485"/>
      <c r="P5" s="3486"/>
      <c r="Q5" s="3458"/>
      <c r="R5" s="3440"/>
      <c r="S5" s="3441"/>
      <c r="T5" s="3440"/>
      <c r="U5" s="3441"/>
      <c r="V5" s="3463"/>
      <c r="W5" s="3463"/>
      <c r="X5" s="1265"/>
      <c r="Y5" s="3440"/>
      <c r="Z5" s="3441"/>
      <c r="AA5" s="3434"/>
      <c r="AB5" s="3434"/>
      <c r="AC5" s="3482"/>
    </row>
    <row r="6" spans="1:29" ht="15" thickBot="1">
      <c r="A6" s="350"/>
      <c r="B6" s="351"/>
      <c r="C6" s="3446" t="s">
        <v>1677</v>
      </c>
      <c r="D6" s="3447"/>
      <c r="E6" s="3448" t="s">
        <v>1677</v>
      </c>
      <c r="F6" s="3449"/>
      <c r="G6" s="3446" t="s">
        <v>1677</v>
      </c>
      <c r="H6" s="3447"/>
      <c r="I6" s="3446" t="s">
        <v>1677</v>
      </c>
      <c r="J6" s="3447"/>
      <c r="K6" s="537" t="s">
        <v>1678</v>
      </c>
      <c r="L6" s="2484"/>
      <c r="M6" s="2485"/>
      <c r="N6" s="2485"/>
      <c r="O6" s="2485"/>
      <c r="P6" s="3487"/>
      <c r="Q6" s="3460"/>
      <c r="R6" s="3440"/>
      <c r="S6" s="3441"/>
      <c r="T6" s="3461"/>
      <c r="U6" s="3462"/>
      <c r="V6" s="3463"/>
      <c r="W6" s="3463"/>
      <c r="X6" s="1265"/>
      <c r="Y6" s="3461"/>
      <c r="Z6" s="3462"/>
      <c r="AA6" s="3435"/>
      <c r="AB6" s="3435"/>
      <c r="AC6" s="3483"/>
    </row>
    <row r="7" spans="1:29" s="102" customFormat="1" ht="15" thickBot="1">
      <c r="A7" s="352" t="s">
        <v>1679</v>
      </c>
      <c r="B7" s="353"/>
      <c r="C7" s="354">
        <f>'数据-取费表'!B2</f>
        <v>45875</v>
      </c>
      <c r="D7" s="355">
        <v>100</v>
      </c>
      <c r="E7" s="356"/>
      <c r="F7" s="357">
        <f>SUMIF(59:59,YEAR(E7)&amp;"-"&amp;MONTH(E7),60:60)</f>
        <v>0</v>
      </c>
      <c r="G7" s="356"/>
      <c r="H7" s="355">
        <f>SUMIF(59:59,YEAR(G7)&amp;"-"&amp;MONTH(G7),60:60)</f>
        <v>0</v>
      </c>
      <c r="I7" s="356"/>
      <c r="J7" s="355">
        <f>SUMIF(59:59,YEAR(I7)&amp;"-"&amp;MONTH(I7),60:60)</f>
        <v>0</v>
      </c>
      <c r="K7" s="38"/>
      <c r="L7" s="2486"/>
      <c r="M7" s="2438"/>
      <c r="N7" s="2438"/>
      <c r="O7" s="2438"/>
      <c r="P7" s="3489" t="s">
        <v>1680</v>
      </c>
      <c r="Q7" s="3464"/>
      <c r="R7" s="664" t="s">
        <v>14</v>
      </c>
      <c r="S7" s="665">
        <f t="shared" ref="S7:S15" si="0">F7</f>
        <v>0</v>
      </c>
      <c r="T7" s="664" t="s">
        <v>14</v>
      </c>
      <c r="U7" s="665">
        <f t="shared" ref="U7:U15" si="1">H7</f>
        <v>0</v>
      </c>
      <c r="V7" s="664" t="s">
        <v>14</v>
      </c>
      <c r="W7" s="665">
        <f t="shared" ref="W7:W15" si="2">J7</f>
        <v>0</v>
      </c>
      <c r="X7" s="666"/>
      <c r="Y7" s="3436" t="s">
        <v>1680</v>
      </c>
      <c r="Z7" s="343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89" t="s">
        <v>1683</v>
      </c>
      <c r="Q8" s="3437"/>
      <c r="R8" s="664" t="s">
        <v>14</v>
      </c>
      <c r="S8" s="665">
        <f t="shared" si="0"/>
        <v>100</v>
      </c>
      <c r="T8" s="664" t="s">
        <v>14</v>
      </c>
      <c r="U8" s="665">
        <f t="shared" si="1"/>
        <v>100</v>
      </c>
      <c r="V8" s="664" t="s">
        <v>14</v>
      </c>
      <c r="W8" s="665">
        <f t="shared" si="2"/>
        <v>100</v>
      </c>
      <c r="X8" s="666"/>
      <c r="Y8" s="3436" t="s">
        <v>1683</v>
      </c>
      <c r="Z8" s="343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50"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50"/>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50"/>
      <c r="Q11" s="530" t="str">
        <f t="shared" si="6"/>
        <v>容积率</v>
      </c>
      <c r="R11" s="664" t="s">
        <v>14</v>
      </c>
      <c r="S11" s="665">
        <f t="shared" si="0"/>
        <v>100</v>
      </c>
      <c r="T11" s="664" t="s">
        <v>14</v>
      </c>
      <c r="U11" s="665">
        <f t="shared" si="1"/>
        <v>100</v>
      </c>
      <c r="V11" s="664" t="s">
        <v>14</v>
      </c>
      <c r="W11" s="665">
        <f t="shared" si="2"/>
        <v>100</v>
      </c>
      <c r="X11" s="666"/>
      <c r="Y11" s="336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50"/>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50"/>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50"/>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76" t="s">
        <v>1691</v>
      </c>
      <c r="Q15" s="1263" t="str">
        <f t="shared" si="6"/>
        <v>办公集聚程度</v>
      </c>
      <c r="R15" s="667" t="s">
        <v>14</v>
      </c>
      <c r="S15" s="668">
        <f t="shared" si="0"/>
        <v>100</v>
      </c>
      <c r="T15" s="667" t="s">
        <v>14</v>
      </c>
      <c r="U15" s="668">
        <f t="shared" si="1"/>
        <v>100</v>
      </c>
      <c r="V15" s="667" t="s">
        <v>14</v>
      </c>
      <c r="W15" s="668">
        <f t="shared" si="2"/>
        <v>100</v>
      </c>
      <c r="X15" s="1265"/>
      <c r="Y15" s="346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77"/>
      <c r="Q16" s="1263"/>
      <c r="R16" s="667"/>
      <c r="S16" s="668"/>
      <c r="T16" s="667"/>
      <c r="U16" s="668"/>
      <c r="V16" s="667"/>
      <c r="W16" s="668"/>
      <c r="X16" s="1265"/>
      <c r="Y16" s="3470"/>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77"/>
      <c r="Q17" s="1263" t="str">
        <f>B17</f>
        <v>交通便捷度</v>
      </c>
      <c r="R17" s="667" t="s">
        <v>14</v>
      </c>
      <c r="S17" s="668">
        <f>F17</f>
        <v>100</v>
      </c>
      <c r="T17" s="667" t="s">
        <v>14</v>
      </c>
      <c r="U17" s="668">
        <f>H17</f>
        <v>100</v>
      </c>
      <c r="V17" s="667" t="s">
        <v>14</v>
      </c>
      <c r="W17" s="668">
        <f>J17</f>
        <v>100</v>
      </c>
      <c r="X17" s="1265"/>
      <c r="Y17" s="347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77"/>
      <c r="Q18" s="1263"/>
      <c r="R18" s="667"/>
      <c r="S18" s="668"/>
      <c r="T18" s="667"/>
      <c r="U18" s="668"/>
      <c r="V18" s="667"/>
      <c r="W18" s="668"/>
      <c r="X18" s="1265"/>
      <c r="Y18" s="3470"/>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77"/>
      <c r="Q19" s="1263" t="str">
        <f>B19</f>
        <v>公共配套设施</v>
      </c>
      <c r="R19" s="667" t="s">
        <v>14</v>
      </c>
      <c r="S19" s="668">
        <f>F19</f>
        <v>100</v>
      </c>
      <c r="T19" s="667" t="s">
        <v>14</v>
      </c>
      <c r="U19" s="668">
        <f>H19</f>
        <v>100</v>
      </c>
      <c r="V19" s="667" t="s">
        <v>14</v>
      </c>
      <c r="W19" s="668">
        <f>J19</f>
        <v>100</v>
      </c>
      <c r="X19" s="1265"/>
      <c r="Y19" s="347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77"/>
      <c r="Q20" s="1263"/>
      <c r="R20" s="667"/>
      <c r="S20" s="668"/>
      <c r="T20" s="667"/>
      <c r="U20" s="668"/>
      <c r="V20" s="667"/>
      <c r="W20" s="668"/>
      <c r="X20" s="1265"/>
      <c r="Y20" s="3470"/>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77"/>
      <c r="Q21" s="1263" t="str">
        <f>B21</f>
        <v>基础设施水平</v>
      </c>
      <c r="R21" s="667" t="s">
        <v>14</v>
      </c>
      <c r="S21" s="668">
        <f>F21</f>
        <v>100</v>
      </c>
      <c r="T21" s="667" t="s">
        <v>14</v>
      </c>
      <c r="U21" s="668">
        <f>H21</f>
        <v>100</v>
      </c>
      <c r="V21" s="667" t="s">
        <v>14</v>
      </c>
      <c r="W21" s="668">
        <f>J21</f>
        <v>100</v>
      </c>
      <c r="X21" s="1265"/>
      <c r="Y21" s="347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77"/>
      <c r="Q22" s="1263"/>
      <c r="R22" s="667"/>
      <c r="S22" s="668"/>
      <c r="T22" s="667"/>
      <c r="U22" s="668"/>
      <c r="V22" s="667"/>
      <c r="W22" s="668"/>
      <c r="X22" s="1265"/>
      <c r="Y22" s="3470"/>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77"/>
      <c r="Q23" s="1263" t="str">
        <f>B23</f>
        <v>环境质量</v>
      </c>
      <c r="R23" s="667" t="s">
        <v>14</v>
      </c>
      <c r="S23" s="668">
        <f>F23</f>
        <v>100</v>
      </c>
      <c r="T23" s="667" t="s">
        <v>14</v>
      </c>
      <c r="U23" s="668">
        <f>H23</f>
        <v>100</v>
      </c>
      <c r="V23" s="667" t="s">
        <v>14</v>
      </c>
      <c r="W23" s="668">
        <f>J23</f>
        <v>100</v>
      </c>
      <c r="X23" s="1265"/>
      <c r="Y23" s="347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77"/>
      <c r="Q24" s="1263"/>
      <c r="R24" s="667"/>
      <c r="S24" s="668"/>
      <c r="T24" s="667"/>
      <c r="U24" s="668"/>
      <c r="V24" s="667"/>
      <c r="W24" s="668"/>
      <c r="X24" s="1265"/>
      <c r="Y24" s="347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77"/>
      <c r="Q25" s="1263" t="str">
        <f>B25</f>
        <v>毗邻道路的类型与等级</v>
      </c>
      <c r="R25" s="667" t="s">
        <v>14</v>
      </c>
      <c r="S25" s="668">
        <f>F25</f>
        <v>100</v>
      </c>
      <c r="T25" s="667" t="s">
        <v>14</v>
      </c>
      <c r="U25" s="668">
        <f>H25</f>
        <v>100</v>
      </c>
      <c r="V25" s="667" t="s">
        <v>14</v>
      </c>
      <c r="W25" s="668">
        <f>J25</f>
        <v>100</v>
      </c>
      <c r="X25" s="1265"/>
      <c r="Y25" s="347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77"/>
      <c r="Q26" s="1263"/>
      <c r="R26" s="667"/>
      <c r="S26" s="668"/>
      <c r="T26" s="667"/>
      <c r="U26" s="668"/>
      <c r="V26" s="667"/>
      <c r="W26" s="668"/>
      <c r="X26" s="1265"/>
      <c r="Y26" s="347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77"/>
      <c r="Q27" s="1263" t="str">
        <f t="shared" ref="Q27:Q47" si="11">B27</f>
        <v>楼层</v>
      </c>
      <c r="R27" s="667" t="s">
        <v>14</v>
      </c>
      <c r="S27" s="668">
        <f>F27</f>
        <v>100</v>
      </c>
      <c r="T27" s="667" t="s">
        <v>14</v>
      </c>
      <c r="U27" s="668">
        <f>H27</f>
        <v>100</v>
      </c>
      <c r="V27" s="667" t="s">
        <v>14</v>
      </c>
      <c r="W27" s="668">
        <f>J27</f>
        <v>100</v>
      </c>
      <c r="X27" s="1265"/>
      <c r="Y27" s="347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77"/>
      <c r="Q28" s="530" t="str">
        <f t="shared" si="11"/>
        <v>朝向</v>
      </c>
      <c r="R28" s="664" t="s">
        <v>14</v>
      </c>
      <c r="S28" s="665">
        <f>F28</f>
        <v>100</v>
      </c>
      <c r="T28" s="664" t="s">
        <v>14</v>
      </c>
      <c r="U28" s="665">
        <f>H28</f>
        <v>100</v>
      </c>
      <c r="V28" s="664" t="s">
        <v>14</v>
      </c>
      <c r="W28" s="665">
        <f>J28</f>
        <v>100</v>
      </c>
      <c r="X28" s="666"/>
      <c r="Y28" s="347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77"/>
      <c r="Q29" s="1263">
        <f t="shared" si="11"/>
        <v>111</v>
      </c>
      <c r="R29" s="667" t="s">
        <v>14</v>
      </c>
      <c r="S29" s="668">
        <f t="shared" ref="S29:S47" si="12">F29</f>
        <v>100</v>
      </c>
      <c r="T29" s="667" t="s">
        <v>14</v>
      </c>
      <c r="U29" s="668">
        <f t="shared" ref="U29:U47" si="13">H29</f>
        <v>100</v>
      </c>
      <c r="V29" s="667" t="s">
        <v>14</v>
      </c>
      <c r="W29" s="668">
        <f t="shared" ref="W29:W47" si="14">J29</f>
        <v>100</v>
      </c>
      <c r="X29" s="1265"/>
      <c r="Y29" s="347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77"/>
      <c r="Q30" s="1263">
        <f t="shared" si="11"/>
        <v>111</v>
      </c>
      <c r="R30" s="667" t="s">
        <v>14</v>
      </c>
      <c r="S30" s="668">
        <f t="shared" si="12"/>
        <v>100</v>
      </c>
      <c r="T30" s="667" t="s">
        <v>14</v>
      </c>
      <c r="U30" s="668">
        <f t="shared" si="13"/>
        <v>100</v>
      </c>
      <c r="V30" s="667" t="s">
        <v>14</v>
      </c>
      <c r="W30" s="668">
        <f t="shared" si="14"/>
        <v>100</v>
      </c>
      <c r="X30" s="1265"/>
      <c r="Y30" s="347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77"/>
      <c r="Q31" s="1263">
        <f t="shared" si="11"/>
        <v>111</v>
      </c>
      <c r="R31" s="667" t="s">
        <v>14</v>
      </c>
      <c r="S31" s="668">
        <f t="shared" si="12"/>
        <v>100</v>
      </c>
      <c r="T31" s="667" t="s">
        <v>14</v>
      </c>
      <c r="U31" s="668">
        <f t="shared" si="13"/>
        <v>100</v>
      </c>
      <c r="V31" s="667" t="s">
        <v>14</v>
      </c>
      <c r="W31" s="668">
        <f t="shared" si="14"/>
        <v>100</v>
      </c>
      <c r="X31" s="1265"/>
      <c r="Y31" s="347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77"/>
      <c r="Q32" s="1263">
        <f t="shared" si="11"/>
        <v>111</v>
      </c>
      <c r="R32" s="667" t="s">
        <v>14</v>
      </c>
      <c r="S32" s="668">
        <f t="shared" si="12"/>
        <v>100</v>
      </c>
      <c r="T32" s="667" t="s">
        <v>14</v>
      </c>
      <c r="U32" s="668">
        <f t="shared" si="13"/>
        <v>100</v>
      </c>
      <c r="V32" s="667" t="s">
        <v>14</v>
      </c>
      <c r="W32" s="668">
        <f t="shared" si="14"/>
        <v>100</v>
      </c>
      <c r="X32" s="1265"/>
      <c r="Y32" s="347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71" t="s">
        <v>1696</v>
      </c>
      <c r="Q33" s="1263" t="str">
        <f t="shared" si="11"/>
        <v>建筑类型</v>
      </c>
      <c r="R33" s="667" t="s">
        <v>14</v>
      </c>
      <c r="S33" s="668">
        <f t="shared" si="12"/>
        <v>100</v>
      </c>
      <c r="T33" s="667" t="s">
        <v>14</v>
      </c>
      <c r="U33" s="668">
        <f t="shared" si="13"/>
        <v>100</v>
      </c>
      <c r="V33" s="667" t="s">
        <v>14</v>
      </c>
      <c r="W33" s="668">
        <f t="shared" si="14"/>
        <v>100</v>
      </c>
      <c r="X33" s="1265"/>
      <c r="Y33" s="347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72"/>
      <c r="Q34" s="531" t="str">
        <f t="shared" si="11"/>
        <v>项目建筑规模</v>
      </c>
      <c r="R34" s="669" t="s">
        <v>14</v>
      </c>
      <c r="S34" s="670" t="e">
        <f t="shared" si="12"/>
        <v>#N/A</v>
      </c>
      <c r="T34" s="669" t="s">
        <v>14</v>
      </c>
      <c r="U34" s="670" t="e">
        <f t="shared" si="13"/>
        <v>#N/A</v>
      </c>
      <c r="V34" s="669" t="s">
        <v>14</v>
      </c>
      <c r="W34" s="670" t="e">
        <f t="shared" si="14"/>
        <v>#N/A</v>
      </c>
      <c r="X34" s="671"/>
      <c r="Y34" s="347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72"/>
      <c r="Q35" s="1263" t="str">
        <f t="shared" si="11"/>
        <v>建筑结构</v>
      </c>
      <c r="R35" s="667" t="s">
        <v>14</v>
      </c>
      <c r="S35" s="668">
        <f t="shared" si="12"/>
        <v>100</v>
      </c>
      <c r="T35" s="667" t="s">
        <v>14</v>
      </c>
      <c r="U35" s="668">
        <f t="shared" si="13"/>
        <v>100</v>
      </c>
      <c r="V35" s="667" t="s">
        <v>14</v>
      </c>
      <c r="W35" s="668">
        <f t="shared" si="14"/>
        <v>100</v>
      </c>
      <c r="X35" s="1265"/>
      <c r="Y35" s="347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72"/>
      <c r="Q36" s="1263" t="str">
        <f t="shared" si="11"/>
        <v>公共部分装修</v>
      </c>
      <c r="R36" s="667" t="s">
        <v>14</v>
      </c>
      <c r="S36" s="668">
        <f t="shared" si="12"/>
        <v>100</v>
      </c>
      <c r="T36" s="667" t="s">
        <v>14</v>
      </c>
      <c r="U36" s="668">
        <f t="shared" si="13"/>
        <v>100</v>
      </c>
      <c r="V36" s="667" t="s">
        <v>14</v>
      </c>
      <c r="W36" s="668">
        <f t="shared" si="14"/>
        <v>100</v>
      </c>
      <c r="X36" s="1265"/>
      <c r="Y36" s="347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72"/>
      <c r="Q37" s="1263" t="str">
        <f t="shared" si="11"/>
        <v>成新度</v>
      </c>
      <c r="R37" s="667" t="s">
        <v>14</v>
      </c>
      <c r="S37" s="668" t="e">
        <f t="shared" si="12"/>
        <v>#N/A</v>
      </c>
      <c r="T37" s="667" t="s">
        <v>14</v>
      </c>
      <c r="U37" s="668" t="e">
        <f t="shared" si="13"/>
        <v>#N/A</v>
      </c>
      <c r="V37" s="667" t="s">
        <v>14</v>
      </c>
      <c r="W37" s="668" t="e">
        <f t="shared" si="14"/>
        <v>#N/A</v>
      </c>
      <c r="X37" s="1265"/>
      <c r="Y37" s="347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72"/>
      <c r="Q38" s="530" t="str">
        <f t="shared" si="11"/>
        <v>写字楼等级</v>
      </c>
      <c r="R38" s="664" t="s">
        <v>14</v>
      </c>
      <c r="S38" s="665">
        <f t="shared" si="12"/>
        <v>100</v>
      </c>
      <c r="T38" s="664" t="s">
        <v>14</v>
      </c>
      <c r="U38" s="665">
        <f t="shared" si="13"/>
        <v>100</v>
      </c>
      <c r="V38" s="664" t="s">
        <v>14</v>
      </c>
      <c r="W38" s="665">
        <f t="shared" si="14"/>
        <v>100</v>
      </c>
      <c r="X38" s="666"/>
      <c r="Y38" s="347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72" t="s">
        <v>1696</v>
      </c>
      <c r="Q39" s="1263" t="str">
        <f t="shared" si="11"/>
        <v>物业管理</v>
      </c>
      <c r="R39" s="667" t="s">
        <v>14</v>
      </c>
      <c r="S39" s="668">
        <f t="shared" si="12"/>
        <v>100</v>
      </c>
      <c r="T39" s="667" t="s">
        <v>14</v>
      </c>
      <c r="U39" s="668">
        <f t="shared" si="13"/>
        <v>100</v>
      </c>
      <c r="V39" s="667" t="s">
        <v>14</v>
      </c>
      <c r="W39" s="668">
        <f t="shared" si="14"/>
        <v>100</v>
      </c>
      <c r="X39" s="1265"/>
      <c r="Y39" s="347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72"/>
      <c r="Q40" s="1263" t="str">
        <f t="shared" si="11"/>
        <v>市政基础设施</v>
      </c>
      <c r="R40" s="667" t="s">
        <v>14</v>
      </c>
      <c r="S40" s="668">
        <f t="shared" si="12"/>
        <v>100</v>
      </c>
      <c r="T40" s="667" t="s">
        <v>14</v>
      </c>
      <c r="U40" s="668">
        <f t="shared" si="13"/>
        <v>100</v>
      </c>
      <c r="V40" s="667" t="s">
        <v>14</v>
      </c>
      <c r="W40" s="668">
        <f t="shared" si="14"/>
        <v>100</v>
      </c>
      <c r="X40" s="1265"/>
      <c r="Y40" s="347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72"/>
      <c r="Q41" s="1263" t="str">
        <f t="shared" si="11"/>
        <v>层高</v>
      </c>
      <c r="R41" s="667" t="s">
        <v>14</v>
      </c>
      <c r="S41" s="668">
        <f t="shared" si="12"/>
        <v>100</v>
      </c>
      <c r="T41" s="667" t="s">
        <v>14</v>
      </c>
      <c r="U41" s="668">
        <f t="shared" si="13"/>
        <v>100</v>
      </c>
      <c r="V41" s="667" t="s">
        <v>14</v>
      </c>
      <c r="W41" s="668">
        <f t="shared" si="14"/>
        <v>100</v>
      </c>
      <c r="X41" s="1265"/>
      <c r="Y41" s="347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72"/>
      <c r="Q42" s="531" t="str">
        <f t="shared" si="11"/>
        <v>单套建筑面积</v>
      </c>
      <c r="R42" s="669" t="s">
        <v>14</v>
      </c>
      <c r="S42" s="670">
        <f t="shared" si="12"/>
        <v>100</v>
      </c>
      <c r="T42" s="669" t="s">
        <v>14</v>
      </c>
      <c r="U42" s="670">
        <f t="shared" si="13"/>
        <v>100</v>
      </c>
      <c r="V42" s="669" t="s">
        <v>14</v>
      </c>
      <c r="W42" s="670">
        <f t="shared" si="14"/>
        <v>100</v>
      </c>
      <c r="X42" s="671"/>
      <c r="Y42" s="347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72"/>
      <c r="Q43" s="1263" t="str">
        <f t="shared" si="11"/>
        <v>内部装修</v>
      </c>
      <c r="R43" s="667" t="s">
        <v>14</v>
      </c>
      <c r="S43" s="668">
        <f t="shared" si="12"/>
        <v>100</v>
      </c>
      <c r="T43" s="667" t="s">
        <v>14</v>
      </c>
      <c r="U43" s="668">
        <f t="shared" si="13"/>
        <v>100</v>
      </c>
      <c r="V43" s="667" t="s">
        <v>14</v>
      </c>
      <c r="W43" s="668">
        <f t="shared" si="14"/>
        <v>100</v>
      </c>
      <c r="X43" s="1265"/>
      <c r="Y43" s="3474"/>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72"/>
      <c r="Q44" s="1263" t="str">
        <f t="shared" si="11"/>
        <v>内部装修维护情况</v>
      </c>
      <c r="R44" s="667" t="s">
        <v>14</v>
      </c>
      <c r="S44" s="668">
        <f t="shared" si="12"/>
        <v>100</v>
      </c>
      <c r="T44" s="667" t="s">
        <v>14</v>
      </c>
      <c r="U44" s="668">
        <f t="shared" si="13"/>
        <v>100</v>
      </c>
      <c r="V44" s="667" t="s">
        <v>14</v>
      </c>
      <c r="W44" s="668">
        <f t="shared" si="14"/>
        <v>100</v>
      </c>
      <c r="X44" s="1265"/>
      <c r="Y44" s="347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72"/>
      <c r="Q45" s="530">
        <f t="shared" si="11"/>
        <v>111</v>
      </c>
      <c r="R45" s="664" t="s">
        <v>14</v>
      </c>
      <c r="S45" s="665">
        <f t="shared" si="12"/>
        <v>100</v>
      </c>
      <c r="T45" s="664" t="s">
        <v>14</v>
      </c>
      <c r="U45" s="665">
        <f t="shared" si="13"/>
        <v>100</v>
      </c>
      <c r="V45" s="664" t="s">
        <v>14</v>
      </c>
      <c r="W45" s="665">
        <f t="shared" si="14"/>
        <v>100</v>
      </c>
      <c r="X45" s="666"/>
      <c r="Y45" s="347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72"/>
      <c r="Q46" s="1263">
        <f t="shared" si="11"/>
        <v>111</v>
      </c>
      <c r="R46" s="667" t="s">
        <v>14</v>
      </c>
      <c r="S46" s="668">
        <f t="shared" si="12"/>
        <v>100</v>
      </c>
      <c r="T46" s="667" t="s">
        <v>14</v>
      </c>
      <c r="U46" s="668">
        <f t="shared" si="13"/>
        <v>100</v>
      </c>
      <c r="V46" s="667" t="s">
        <v>14</v>
      </c>
      <c r="W46" s="668">
        <f t="shared" si="14"/>
        <v>100</v>
      </c>
      <c r="X46" s="1265"/>
      <c r="Y46" s="347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73"/>
      <c r="Q47" s="1263">
        <f t="shared" si="11"/>
        <v>111</v>
      </c>
      <c r="R47" s="667" t="s">
        <v>14</v>
      </c>
      <c r="S47" s="668">
        <f t="shared" si="12"/>
        <v>100</v>
      </c>
      <c r="T47" s="667" t="s">
        <v>14</v>
      </c>
      <c r="U47" s="668">
        <f t="shared" si="13"/>
        <v>100</v>
      </c>
      <c r="V47" s="667" t="s">
        <v>14</v>
      </c>
      <c r="W47" s="668">
        <f t="shared" si="14"/>
        <v>100</v>
      </c>
      <c r="X47" s="1265"/>
      <c r="Y47" s="3475"/>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450" t="str">
        <f>A48</f>
        <v>成交单价（元/平方米）</v>
      </c>
      <c r="Q48" s="3468"/>
      <c r="R48" s="3463">
        <f>E48</f>
        <v>0</v>
      </c>
      <c r="S48" s="3463"/>
      <c r="T48" s="3463">
        <f>G48</f>
        <v>0</v>
      </c>
      <c r="U48" s="3463"/>
      <c r="V48" s="3463">
        <f>I48</f>
        <v>0</v>
      </c>
      <c r="W48" s="3463"/>
      <c r="X48" s="385"/>
      <c r="Y48" s="673"/>
      <c r="Z48" s="385"/>
      <c r="AA48" s="385"/>
      <c r="AB48" s="385"/>
      <c r="AC48" s="555"/>
    </row>
    <row r="49" spans="1:29" ht="15" thickBot="1">
      <c r="A49" s="423" t="s">
        <v>1793</v>
      </c>
      <c r="B49" s="424"/>
      <c r="C49" s="1082" t="e">
        <f>R50</f>
        <v>#DIV/0!</v>
      </c>
      <c r="D49" s="2140" t="s">
        <v>2136</v>
      </c>
      <c r="E49" s="1083" t="e">
        <f>R49</f>
        <v>#DIV/0!</v>
      </c>
      <c r="F49" s="2141"/>
      <c r="G49" s="1082" t="e">
        <f>T49</f>
        <v>#DIV/0!</v>
      </c>
      <c r="H49" s="2141"/>
      <c r="I49" s="1083" t="e">
        <f>V49</f>
        <v>#DIV/0!</v>
      </c>
      <c r="J49" s="2141"/>
      <c r="K49" s="2143">
        <f>F49+H49+J49</f>
        <v>0</v>
      </c>
      <c r="L49" s="2492"/>
      <c r="M49" s="2485"/>
      <c r="N49" s="2485"/>
      <c r="O49" s="2485"/>
      <c r="P49" s="3450" t="str">
        <f>A49</f>
        <v>比较价值（元/平方米）</v>
      </c>
      <c r="Q49" s="3468"/>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90" t="str">
        <f>A50</f>
        <v>估价对象XX用房的比较价值（楼面单价，元/平方米）</v>
      </c>
      <c r="Q50" s="3491"/>
      <c r="R50" s="3492" t="e">
        <f>IF(F1="售价",ROUND(IF(D49="简单平均",AVERAGE(R49:V49),R49*F49+T49*H49+V49*J49),0),ROUND(IF(D49="简单平均",AVERAGE(R49:V49),R49*F49+T49*H49+V49*J49),1))</f>
        <v>#DIV/0!</v>
      </c>
      <c r="S50" s="3492"/>
      <c r="T50" s="3492"/>
      <c r="U50" s="3492"/>
      <c r="V50" s="3492"/>
      <c r="W50" s="3492"/>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受贵公司委托，我公司对北京市密云区滨河路178号院3号楼2层2单元201等共计156套房地产抵押价值进行了预评估。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滨河路178号院3号楼2层2单元201等共计156套房地产，为北京密云生态商务区开发有限责任公司所有。根据《国有土地使用证》[]，估价对象（分摊）出让国有建设用地使用权面积为0平方米，建筑面积为81.71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滨河路178号院3号楼2层2单元201等共计156套房地产,属北京密云生态商务区开发有限责任公司开发建设的办公项目，该项目尚在开发建设中。根据《国有土地使用证》[]，估价对象（分摊）出让国有建设用地使用权面积为0平方米，规划建筑面积为81.71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密云区滨河路178号院3号楼2层2单元201等共计156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2025年8月6日（评估专业人员实地查勘之日）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6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81.709999999999994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51" t="s">
        <v>1770</v>
      </c>
      <c r="D4" s="3452"/>
      <c r="E4" s="3453" t="s">
        <v>1771</v>
      </c>
      <c r="F4" s="3454"/>
      <c r="G4" s="3451" t="s">
        <v>1772</v>
      </c>
      <c r="H4" s="3452"/>
      <c r="I4" s="3451" t="s">
        <v>1773</v>
      </c>
      <c r="J4" s="3452"/>
      <c r="K4" s="537" t="s">
        <v>1774</v>
      </c>
      <c r="L4" s="860"/>
      <c r="M4" s="861"/>
      <c r="N4" s="861"/>
      <c r="O4" s="861"/>
      <c r="P4" s="3455" t="s">
        <v>1775</v>
      </c>
      <c r="Q4" s="3456"/>
      <c r="R4" s="3438" t="s">
        <v>1771</v>
      </c>
      <c r="S4" s="3439"/>
      <c r="T4" s="3438" t="s">
        <v>1772</v>
      </c>
      <c r="U4" s="3439"/>
      <c r="V4" s="3463" t="s">
        <v>1773</v>
      </c>
      <c r="W4" s="3463"/>
      <c r="X4" s="1265"/>
      <c r="Y4" s="3438" t="s">
        <v>1775</v>
      </c>
      <c r="Z4" s="3439"/>
      <c r="AA4" s="3433" t="s">
        <v>1771</v>
      </c>
      <c r="AB4" s="3434" t="s">
        <v>1772</v>
      </c>
      <c r="AC4" s="3433" t="s">
        <v>1773</v>
      </c>
    </row>
    <row r="5" spans="1:29">
      <c r="A5" s="348"/>
      <c r="B5" s="349"/>
      <c r="C5" s="3444" t="s">
        <v>1673</v>
      </c>
      <c r="D5" s="3445"/>
      <c r="E5" s="3442" t="s">
        <v>1674</v>
      </c>
      <c r="F5" s="3443"/>
      <c r="G5" s="3444" t="s">
        <v>1675</v>
      </c>
      <c r="H5" s="3445"/>
      <c r="I5" s="3444" t="s">
        <v>1676</v>
      </c>
      <c r="J5" s="3445"/>
      <c r="K5" s="537"/>
      <c r="L5" s="860"/>
      <c r="M5" s="861"/>
      <c r="N5" s="861"/>
      <c r="O5" s="861"/>
      <c r="P5" s="3457"/>
      <c r="Q5" s="3458"/>
      <c r="R5" s="3440"/>
      <c r="S5" s="3441"/>
      <c r="T5" s="3440"/>
      <c r="U5" s="3441"/>
      <c r="V5" s="3463"/>
      <c r="W5" s="3463"/>
      <c r="X5" s="1265"/>
      <c r="Y5" s="3440"/>
      <c r="Z5" s="3441"/>
      <c r="AA5" s="3434"/>
      <c r="AB5" s="3434"/>
      <c r="AC5" s="3434"/>
    </row>
    <row r="6" spans="1:29" ht="15" thickBot="1">
      <c r="A6" s="350"/>
      <c r="B6" s="351"/>
      <c r="C6" s="3446" t="s">
        <v>1677</v>
      </c>
      <c r="D6" s="3447"/>
      <c r="E6" s="3448" t="s">
        <v>1677</v>
      </c>
      <c r="F6" s="3449"/>
      <c r="G6" s="3446" t="s">
        <v>1677</v>
      </c>
      <c r="H6" s="3447"/>
      <c r="I6" s="3446" t="s">
        <v>1677</v>
      </c>
      <c r="J6" s="3447"/>
      <c r="K6" s="537" t="s">
        <v>1678</v>
      </c>
      <c r="L6" s="860"/>
      <c r="M6" s="861"/>
      <c r="N6" s="861"/>
      <c r="O6" s="861"/>
      <c r="P6" s="3459"/>
      <c r="Q6" s="3460"/>
      <c r="R6" s="3440"/>
      <c r="S6" s="3441"/>
      <c r="T6" s="3461"/>
      <c r="U6" s="3462"/>
      <c r="V6" s="3463"/>
      <c r="W6" s="3463"/>
      <c r="X6" s="1265"/>
      <c r="Y6" s="3461"/>
      <c r="Z6" s="3462"/>
      <c r="AA6" s="3435"/>
      <c r="AB6" s="3435"/>
      <c r="AC6" s="3435"/>
    </row>
    <row r="7" spans="1:29" s="102" customFormat="1" ht="15" thickBot="1">
      <c r="A7" s="352" t="s">
        <v>1679</v>
      </c>
      <c r="B7" s="353"/>
      <c r="C7" s="354">
        <f>'数据-取费表'!B2</f>
        <v>45875</v>
      </c>
      <c r="D7" s="355">
        <v>100</v>
      </c>
      <c r="E7" s="356"/>
      <c r="F7" s="357">
        <f>SUMIF(52:52,YEAR(E7)&amp;"-"&amp;MONTH(E7),53:53)</f>
        <v>0</v>
      </c>
      <c r="G7" s="356"/>
      <c r="H7" s="355">
        <f>SUMIF(52:52,YEAR(G7)&amp;"-"&amp;MONTH(G7),53:53)</f>
        <v>0</v>
      </c>
      <c r="I7" s="356"/>
      <c r="J7" s="355">
        <f>SUMIF(52:52,YEAR(I7)&amp;"-"&amp;MONTH(I7),53:53)</f>
        <v>0</v>
      </c>
      <c r="K7" s="38"/>
      <c r="L7" s="862"/>
      <c r="M7" s="863"/>
      <c r="N7" s="863"/>
      <c r="O7" s="863"/>
      <c r="P7" s="3436" t="s">
        <v>1680</v>
      </c>
      <c r="Q7" s="3464"/>
      <c r="R7" s="664" t="s">
        <v>14</v>
      </c>
      <c r="S7" s="665">
        <f t="shared" ref="S7:S15" si="0">F7</f>
        <v>0</v>
      </c>
      <c r="T7" s="664" t="s">
        <v>14</v>
      </c>
      <c r="U7" s="665">
        <f t="shared" ref="U7:U15" si="1">H7</f>
        <v>0</v>
      </c>
      <c r="V7" s="664" t="s">
        <v>14</v>
      </c>
      <c r="W7" s="665">
        <f t="shared" ref="W7:W15" si="2">J7</f>
        <v>0</v>
      </c>
      <c r="X7" s="666"/>
      <c r="Y7" s="3436" t="s">
        <v>1680</v>
      </c>
      <c r="Z7" s="343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6" t="s">
        <v>1683</v>
      </c>
      <c r="Q8" s="3437"/>
      <c r="R8" s="664" t="s">
        <v>14</v>
      </c>
      <c r="S8" s="665">
        <f t="shared" si="0"/>
        <v>100</v>
      </c>
      <c r="T8" s="664" t="s">
        <v>14</v>
      </c>
      <c r="U8" s="665">
        <f t="shared" si="1"/>
        <v>100</v>
      </c>
      <c r="V8" s="664" t="s">
        <v>14</v>
      </c>
      <c r="W8" s="665">
        <f t="shared" si="2"/>
        <v>100</v>
      </c>
      <c r="X8" s="666"/>
      <c r="Y8" s="3436" t="s">
        <v>1683</v>
      </c>
      <c r="Z8" s="343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68"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68"/>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68"/>
      <c r="Q11" s="530" t="str">
        <f t="shared" si="6"/>
        <v>容积率</v>
      </c>
      <c r="R11" s="664" t="s">
        <v>14</v>
      </c>
      <c r="S11" s="665">
        <f t="shared" si="0"/>
        <v>100</v>
      </c>
      <c r="T11" s="664" t="s">
        <v>14</v>
      </c>
      <c r="U11" s="665">
        <f t="shared" si="1"/>
        <v>100</v>
      </c>
      <c r="V11" s="664" t="s">
        <v>14</v>
      </c>
      <c r="W11" s="665">
        <f t="shared" si="2"/>
        <v>100</v>
      </c>
      <c r="X11" s="666"/>
      <c r="Y11" s="336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68"/>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68"/>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68"/>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69" t="s">
        <v>1691</v>
      </c>
      <c r="Q15" s="1263" t="str">
        <f t="shared" si="6"/>
        <v>产业集聚程度</v>
      </c>
      <c r="R15" s="667" t="s">
        <v>14</v>
      </c>
      <c r="S15" s="668">
        <f t="shared" si="0"/>
        <v>100</v>
      </c>
      <c r="T15" s="667" t="s">
        <v>14</v>
      </c>
      <c r="U15" s="668">
        <f t="shared" si="1"/>
        <v>100</v>
      </c>
      <c r="V15" s="667" t="s">
        <v>14</v>
      </c>
      <c r="W15" s="668">
        <f t="shared" si="2"/>
        <v>100</v>
      </c>
      <c r="X15" s="1265"/>
      <c r="Y15" s="346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70"/>
      <c r="Q16" s="1263"/>
      <c r="R16" s="667"/>
      <c r="S16" s="668"/>
      <c r="T16" s="667"/>
      <c r="U16" s="668"/>
      <c r="V16" s="667"/>
      <c r="W16" s="668"/>
      <c r="X16" s="1265"/>
      <c r="Y16" s="347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70"/>
      <c r="Q17" s="1263" t="str">
        <f>B17</f>
        <v>交通便捷度</v>
      </c>
      <c r="R17" s="667" t="s">
        <v>14</v>
      </c>
      <c r="S17" s="668">
        <f>F17</f>
        <v>100</v>
      </c>
      <c r="T17" s="667" t="s">
        <v>14</v>
      </c>
      <c r="U17" s="668">
        <f>H17</f>
        <v>100</v>
      </c>
      <c r="V17" s="667" t="s">
        <v>14</v>
      </c>
      <c r="W17" s="668">
        <f>J17</f>
        <v>100</v>
      </c>
      <c r="X17" s="1265"/>
      <c r="Y17" s="347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70"/>
      <c r="Q18" s="1263"/>
      <c r="R18" s="667"/>
      <c r="S18" s="668"/>
      <c r="T18" s="667"/>
      <c r="U18" s="668"/>
      <c r="V18" s="667"/>
      <c r="W18" s="668"/>
      <c r="X18" s="1265"/>
      <c r="Y18" s="347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70"/>
      <c r="Q19" s="1263" t="str">
        <f>B19</f>
        <v>公共配套设施</v>
      </c>
      <c r="R19" s="667" t="s">
        <v>14</v>
      </c>
      <c r="S19" s="668">
        <f>F19</f>
        <v>100</v>
      </c>
      <c r="T19" s="667" t="s">
        <v>14</v>
      </c>
      <c r="U19" s="668">
        <f>H19</f>
        <v>100</v>
      </c>
      <c r="V19" s="667" t="s">
        <v>14</v>
      </c>
      <c r="W19" s="668">
        <f>J19</f>
        <v>100</v>
      </c>
      <c r="X19" s="1265"/>
      <c r="Y19" s="347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70"/>
      <c r="Q20" s="1263"/>
      <c r="R20" s="667"/>
      <c r="S20" s="668"/>
      <c r="T20" s="667"/>
      <c r="U20" s="668"/>
      <c r="V20" s="667"/>
      <c r="W20" s="668"/>
      <c r="X20" s="1265"/>
      <c r="Y20" s="347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70"/>
      <c r="Q21" s="1263" t="str">
        <f>B21</f>
        <v>基础设施水平</v>
      </c>
      <c r="R21" s="667" t="s">
        <v>14</v>
      </c>
      <c r="S21" s="668">
        <f>F21</f>
        <v>100</v>
      </c>
      <c r="T21" s="667" t="s">
        <v>14</v>
      </c>
      <c r="U21" s="668">
        <f>H21</f>
        <v>100</v>
      </c>
      <c r="V21" s="667" t="s">
        <v>14</v>
      </c>
      <c r="W21" s="668">
        <f>J21</f>
        <v>100</v>
      </c>
      <c r="X21" s="1265"/>
      <c r="Y21" s="34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70"/>
      <c r="Q22" s="1263"/>
      <c r="R22" s="667"/>
      <c r="S22" s="668"/>
      <c r="T22" s="667"/>
      <c r="U22" s="668"/>
      <c r="V22" s="667"/>
      <c r="W22" s="668"/>
      <c r="X22" s="1265"/>
      <c r="Y22" s="347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70"/>
      <c r="Q23" s="1263" t="str">
        <f>B23</f>
        <v>环境质量</v>
      </c>
      <c r="R23" s="667" t="s">
        <v>14</v>
      </c>
      <c r="S23" s="668">
        <f>F23</f>
        <v>100</v>
      </c>
      <c r="T23" s="667" t="s">
        <v>14</v>
      </c>
      <c r="U23" s="668">
        <f>H23</f>
        <v>100</v>
      </c>
      <c r="V23" s="667" t="s">
        <v>14</v>
      </c>
      <c r="W23" s="668">
        <f>J23</f>
        <v>100</v>
      </c>
      <c r="X23" s="1265"/>
      <c r="Y23" s="347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70"/>
      <c r="Q24" s="1263"/>
      <c r="R24" s="667"/>
      <c r="S24" s="668"/>
      <c r="T24" s="667"/>
      <c r="U24" s="668"/>
      <c r="V24" s="667"/>
      <c r="W24" s="668"/>
      <c r="X24" s="1265"/>
      <c r="Y24" s="347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70"/>
      <c r="Q25" s="1263">
        <f>B25</f>
        <v>111</v>
      </c>
      <c r="R25" s="667" t="s">
        <v>14</v>
      </c>
      <c r="S25" s="668">
        <f>F25</f>
        <v>100</v>
      </c>
      <c r="T25" s="667" t="s">
        <v>14</v>
      </c>
      <c r="U25" s="668">
        <f>H25</f>
        <v>100</v>
      </c>
      <c r="V25" s="667" t="s">
        <v>14</v>
      </c>
      <c r="W25" s="668">
        <f>J25</f>
        <v>100</v>
      </c>
      <c r="X25" s="1265"/>
      <c r="Y25" s="347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70"/>
      <c r="Q26" s="1263">
        <f t="shared" ref="Q26:Q40" si="11">B26</f>
        <v>111</v>
      </c>
      <c r="R26" s="667" t="s">
        <v>14</v>
      </c>
      <c r="S26" s="668">
        <f>F26</f>
        <v>100</v>
      </c>
      <c r="T26" s="667" t="s">
        <v>14</v>
      </c>
      <c r="U26" s="668">
        <f>H26</f>
        <v>100</v>
      </c>
      <c r="V26" s="667" t="s">
        <v>14</v>
      </c>
      <c r="W26" s="668">
        <f>J26</f>
        <v>100</v>
      </c>
      <c r="X26" s="1265"/>
      <c r="Y26" s="347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70"/>
      <c r="Q27" s="530">
        <f t="shared" si="11"/>
        <v>111</v>
      </c>
      <c r="R27" s="664" t="s">
        <v>14</v>
      </c>
      <c r="S27" s="665">
        <f>F27</f>
        <v>100</v>
      </c>
      <c r="T27" s="664" t="s">
        <v>14</v>
      </c>
      <c r="U27" s="665">
        <f>H27</f>
        <v>100</v>
      </c>
      <c r="V27" s="664" t="s">
        <v>14</v>
      </c>
      <c r="W27" s="665">
        <f>J27</f>
        <v>100</v>
      </c>
      <c r="X27" s="666"/>
      <c r="Y27" s="347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70"/>
      <c r="Q28" s="1263">
        <f t="shared" si="11"/>
        <v>111</v>
      </c>
      <c r="R28" s="667" t="s">
        <v>14</v>
      </c>
      <c r="S28" s="668">
        <f t="shared" ref="S28:S40" si="12">F28</f>
        <v>100</v>
      </c>
      <c r="T28" s="667" t="s">
        <v>14</v>
      </c>
      <c r="U28" s="668">
        <f t="shared" ref="U28:U40" si="13">H28</f>
        <v>100</v>
      </c>
      <c r="V28" s="667" t="s">
        <v>14</v>
      </c>
      <c r="W28" s="668">
        <f t="shared" ref="W28:W40" si="14">J28</f>
        <v>100</v>
      </c>
      <c r="X28" s="1265"/>
      <c r="Y28" s="347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93" t="s">
        <v>1696</v>
      </c>
      <c r="Q29" s="1263" t="str">
        <f t="shared" si="11"/>
        <v>建筑类型</v>
      </c>
      <c r="R29" s="667" t="s">
        <v>14</v>
      </c>
      <c r="S29" s="668">
        <f t="shared" si="12"/>
        <v>100</v>
      </c>
      <c r="T29" s="667" t="s">
        <v>14</v>
      </c>
      <c r="U29" s="668">
        <f t="shared" si="13"/>
        <v>100</v>
      </c>
      <c r="V29" s="667" t="s">
        <v>14</v>
      </c>
      <c r="W29" s="668">
        <f t="shared" si="14"/>
        <v>100</v>
      </c>
      <c r="X29" s="1265"/>
      <c r="Y29" s="347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74"/>
      <c r="Q30" s="531" t="str">
        <f t="shared" si="11"/>
        <v>项目建筑规模</v>
      </c>
      <c r="R30" s="669" t="s">
        <v>14</v>
      </c>
      <c r="S30" s="670" t="e">
        <f t="shared" si="12"/>
        <v>#N/A</v>
      </c>
      <c r="T30" s="669" t="s">
        <v>14</v>
      </c>
      <c r="U30" s="670" t="e">
        <f t="shared" si="13"/>
        <v>#N/A</v>
      </c>
      <c r="V30" s="669" t="s">
        <v>14</v>
      </c>
      <c r="W30" s="670" t="e">
        <f t="shared" si="14"/>
        <v>#N/A</v>
      </c>
      <c r="X30" s="671"/>
      <c r="Y30" s="347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74"/>
      <c r="Q31" s="1263" t="str">
        <f t="shared" si="11"/>
        <v>建筑结构</v>
      </c>
      <c r="R31" s="667" t="s">
        <v>14</v>
      </c>
      <c r="S31" s="668">
        <f t="shared" si="12"/>
        <v>100</v>
      </c>
      <c r="T31" s="667" t="s">
        <v>14</v>
      </c>
      <c r="U31" s="668">
        <f t="shared" si="13"/>
        <v>100</v>
      </c>
      <c r="V31" s="667" t="s">
        <v>14</v>
      </c>
      <c r="W31" s="668">
        <f t="shared" si="14"/>
        <v>100</v>
      </c>
      <c r="X31" s="1265"/>
      <c r="Y31" s="347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74"/>
      <c r="Q32" s="1263" t="str">
        <f t="shared" si="11"/>
        <v>公共部分装修</v>
      </c>
      <c r="R32" s="667" t="s">
        <v>14</v>
      </c>
      <c r="S32" s="668">
        <f t="shared" si="12"/>
        <v>100</v>
      </c>
      <c r="T32" s="667" t="s">
        <v>14</v>
      </c>
      <c r="U32" s="668">
        <f t="shared" si="13"/>
        <v>100</v>
      </c>
      <c r="V32" s="667" t="s">
        <v>14</v>
      </c>
      <c r="W32" s="668">
        <f t="shared" si="14"/>
        <v>100</v>
      </c>
      <c r="X32" s="1265"/>
      <c r="Y32" s="347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74"/>
      <c r="Q33" s="1263" t="str">
        <f t="shared" si="11"/>
        <v>成新度</v>
      </c>
      <c r="R33" s="667" t="s">
        <v>14</v>
      </c>
      <c r="S33" s="668" t="e">
        <f t="shared" si="12"/>
        <v>#N/A</v>
      </c>
      <c r="T33" s="667" t="s">
        <v>14</v>
      </c>
      <c r="U33" s="668" t="e">
        <f t="shared" si="13"/>
        <v>#N/A</v>
      </c>
      <c r="V33" s="667" t="s">
        <v>14</v>
      </c>
      <c r="W33" s="668" t="e">
        <f t="shared" si="14"/>
        <v>#N/A</v>
      </c>
      <c r="X33" s="1265"/>
      <c r="Y33" s="347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74"/>
      <c r="Q34" s="530" t="str">
        <f t="shared" si="11"/>
        <v>物业管理</v>
      </c>
      <c r="R34" s="664" t="s">
        <v>14</v>
      </c>
      <c r="S34" s="665">
        <f t="shared" si="12"/>
        <v>100</v>
      </c>
      <c r="T34" s="664" t="s">
        <v>14</v>
      </c>
      <c r="U34" s="665">
        <f t="shared" si="13"/>
        <v>100</v>
      </c>
      <c r="V34" s="664" t="s">
        <v>14</v>
      </c>
      <c r="W34" s="665">
        <f t="shared" si="14"/>
        <v>100</v>
      </c>
      <c r="X34" s="666"/>
      <c r="Y34" s="347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74" t="s">
        <v>1696</v>
      </c>
      <c r="Q35" s="1263" t="str">
        <f t="shared" si="11"/>
        <v>市政基础设施</v>
      </c>
      <c r="R35" s="667" t="s">
        <v>14</v>
      </c>
      <c r="S35" s="668">
        <f t="shared" si="12"/>
        <v>100</v>
      </c>
      <c r="T35" s="667" t="s">
        <v>14</v>
      </c>
      <c r="U35" s="668">
        <f t="shared" si="13"/>
        <v>100</v>
      </c>
      <c r="V35" s="667" t="s">
        <v>14</v>
      </c>
      <c r="W35" s="668">
        <f t="shared" si="14"/>
        <v>100</v>
      </c>
      <c r="X35" s="1265"/>
      <c r="Y35" s="347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74"/>
      <c r="Q36" s="1263" t="str">
        <f t="shared" si="11"/>
        <v>内部装修</v>
      </c>
      <c r="R36" s="667" t="s">
        <v>14</v>
      </c>
      <c r="S36" s="668">
        <f t="shared" si="12"/>
        <v>100</v>
      </c>
      <c r="T36" s="667" t="s">
        <v>14</v>
      </c>
      <c r="U36" s="668">
        <f t="shared" si="13"/>
        <v>100</v>
      </c>
      <c r="V36" s="667" t="s">
        <v>14</v>
      </c>
      <c r="W36" s="668">
        <f t="shared" si="14"/>
        <v>100</v>
      </c>
      <c r="X36" s="1265"/>
      <c r="Y36" s="347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74"/>
      <c r="Q37" s="1263" t="str">
        <f t="shared" si="11"/>
        <v>内部装修状况</v>
      </c>
      <c r="R37" s="667" t="s">
        <v>14</v>
      </c>
      <c r="S37" s="668">
        <f t="shared" si="12"/>
        <v>100</v>
      </c>
      <c r="T37" s="667" t="s">
        <v>14</v>
      </c>
      <c r="U37" s="668">
        <f t="shared" si="13"/>
        <v>100</v>
      </c>
      <c r="V37" s="667" t="s">
        <v>14</v>
      </c>
      <c r="W37" s="668">
        <f t="shared" si="14"/>
        <v>100</v>
      </c>
      <c r="X37" s="1265"/>
      <c r="Y37" s="347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74"/>
      <c r="Q38" s="531">
        <f t="shared" si="11"/>
        <v>111</v>
      </c>
      <c r="R38" s="669" t="s">
        <v>14</v>
      </c>
      <c r="S38" s="670">
        <f t="shared" si="12"/>
        <v>100</v>
      </c>
      <c r="T38" s="669" t="s">
        <v>14</v>
      </c>
      <c r="U38" s="670">
        <f t="shared" si="13"/>
        <v>100</v>
      </c>
      <c r="V38" s="669" t="s">
        <v>14</v>
      </c>
      <c r="W38" s="670">
        <f t="shared" si="14"/>
        <v>100</v>
      </c>
      <c r="X38" s="671"/>
      <c r="Y38" s="347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74"/>
      <c r="Q39" s="1263">
        <f t="shared" si="11"/>
        <v>111</v>
      </c>
      <c r="R39" s="667" t="s">
        <v>14</v>
      </c>
      <c r="S39" s="668">
        <f t="shared" si="12"/>
        <v>100</v>
      </c>
      <c r="T39" s="667" t="s">
        <v>14</v>
      </c>
      <c r="U39" s="668">
        <f t="shared" si="13"/>
        <v>100</v>
      </c>
      <c r="V39" s="667" t="s">
        <v>14</v>
      </c>
      <c r="W39" s="668">
        <f t="shared" si="14"/>
        <v>100</v>
      </c>
      <c r="X39" s="1265"/>
      <c r="Y39" s="347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75"/>
      <c r="Q40" s="1263">
        <f t="shared" si="11"/>
        <v>111</v>
      </c>
      <c r="R40" s="667" t="s">
        <v>14</v>
      </c>
      <c r="S40" s="668">
        <f t="shared" si="12"/>
        <v>100</v>
      </c>
      <c r="T40" s="667" t="s">
        <v>14</v>
      </c>
      <c r="U40" s="668">
        <f t="shared" si="13"/>
        <v>100</v>
      </c>
      <c r="V40" s="667" t="s">
        <v>14</v>
      </c>
      <c r="W40" s="668">
        <f t="shared" si="14"/>
        <v>100</v>
      </c>
      <c r="X40" s="1265"/>
      <c r="Y40" s="347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68" t="str">
        <f>A41</f>
        <v>成交单价（元/平方米）</v>
      </c>
      <c r="Q41" s="3468"/>
      <c r="R41" s="3463">
        <f>E41</f>
        <v>0</v>
      </c>
      <c r="S41" s="3463"/>
      <c r="T41" s="3463">
        <f>G41</f>
        <v>0</v>
      </c>
      <c r="U41" s="3463"/>
      <c r="V41" s="3463">
        <f>I41</f>
        <v>0</v>
      </c>
      <c r="W41" s="3463"/>
      <c r="X41" s="385"/>
      <c r="Y41" s="673"/>
      <c r="Z41" s="385"/>
      <c r="AA41" s="385"/>
      <c r="AB41" s="385"/>
      <c r="AC41" s="385"/>
    </row>
    <row r="42" spans="1:29" ht="15" thickBot="1">
      <c r="A42" s="423" t="s">
        <v>1793</v>
      </c>
      <c r="B42" s="424"/>
      <c r="C42" s="1082" t="e">
        <f>R43</f>
        <v>#DIV/0!</v>
      </c>
      <c r="D42" s="2140" t="s">
        <v>2136</v>
      </c>
      <c r="E42" s="1083" t="e">
        <f>R42</f>
        <v>#DIV/0!</v>
      </c>
      <c r="F42" s="2141"/>
      <c r="G42" s="1082" t="e">
        <f>T42</f>
        <v>#DIV/0!</v>
      </c>
      <c r="H42" s="2141"/>
      <c r="I42" s="1083" t="e">
        <f>V42</f>
        <v>#DIV/0!</v>
      </c>
      <c r="J42" s="2141"/>
      <c r="K42" s="2143">
        <f>F42+H42+J42</f>
        <v>0</v>
      </c>
      <c r="L42" s="873"/>
      <c r="M42" s="861"/>
      <c r="N42" s="861"/>
      <c r="O42" s="861"/>
      <c r="P42" s="3468" t="str">
        <f>A42</f>
        <v>比较价值（元/平方米）</v>
      </c>
      <c r="Q42" s="3468"/>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65" t="str">
        <f>A43</f>
        <v>估价对象XX用房的比较价值（楼面单价，元/平方米）</v>
      </c>
      <c r="Q43" s="3466"/>
      <c r="R43" s="3467" t="e">
        <f>IF(F1="售价",ROUND(IF(D42="简单平均",AVERAGE(R42:V42),R42*F42+T42*H42+V42*J42),0),ROUND(IF(D42="简单平均",AVERAGE(R42:V42),R42*F42+T42*H42+V42*J42),1))</f>
        <v>#DIV/0!</v>
      </c>
      <c r="S43" s="3467"/>
      <c r="T43" s="3467"/>
      <c r="U43" s="3467"/>
      <c r="V43" s="3467"/>
      <c r="W43" s="346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51" t="s">
        <v>1770</v>
      </c>
      <c r="D4" s="3452"/>
      <c r="E4" s="3453" t="s">
        <v>1771</v>
      </c>
      <c r="F4" s="3454"/>
      <c r="G4" s="3451" t="s">
        <v>1772</v>
      </c>
      <c r="H4" s="3452"/>
      <c r="I4" s="3451" t="s">
        <v>1773</v>
      </c>
      <c r="J4" s="3452"/>
      <c r="K4" s="537" t="s">
        <v>1774</v>
      </c>
      <c r="L4" s="2484"/>
      <c r="M4" s="2485"/>
      <c r="N4" s="2485"/>
      <c r="O4" s="2485"/>
      <c r="P4" s="3455" t="s">
        <v>1775</v>
      </c>
      <c r="Q4" s="3456"/>
      <c r="R4" s="3438" t="s">
        <v>1771</v>
      </c>
      <c r="S4" s="3439"/>
      <c r="T4" s="3438" t="s">
        <v>1772</v>
      </c>
      <c r="U4" s="3439"/>
      <c r="V4" s="3463" t="s">
        <v>1773</v>
      </c>
      <c r="W4" s="3463"/>
      <c r="X4" s="1265"/>
      <c r="Y4" s="3438" t="s">
        <v>1775</v>
      </c>
      <c r="Z4" s="3439"/>
      <c r="AA4" s="3433" t="s">
        <v>1771</v>
      </c>
      <c r="AB4" s="3434" t="s">
        <v>1772</v>
      </c>
      <c r="AC4" s="3433" t="s">
        <v>1773</v>
      </c>
    </row>
    <row r="5" spans="1:29">
      <c r="A5" s="348"/>
      <c r="B5" s="349"/>
      <c r="C5" s="3444" t="s">
        <v>1673</v>
      </c>
      <c r="D5" s="3445"/>
      <c r="E5" s="3442" t="s">
        <v>1674</v>
      </c>
      <c r="F5" s="3443"/>
      <c r="G5" s="3444" t="s">
        <v>1675</v>
      </c>
      <c r="H5" s="3445"/>
      <c r="I5" s="3444" t="s">
        <v>1676</v>
      </c>
      <c r="J5" s="3445"/>
      <c r="K5" s="537"/>
      <c r="L5" s="2484"/>
      <c r="M5" s="2485"/>
      <c r="N5" s="2485"/>
      <c r="O5" s="2485"/>
      <c r="P5" s="3457"/>
      <c r="Q5" s="3458"/>
      <c r="R5" s="3440"/>
      <c r="S5" s="3441"/>
      <c r="T5" s="3440"/>
      <c r="U5" s="3441"/>
      <c r="V5" s="3463"/>
      <c r="W5" s="3463"/>
      <c r="X5" s="1265"/>
      <c r="Y5" s="3440"/>
      <c r="Z5" s="3441"/>
      <c r="AA5" s="3434"/>
      <c r="AB5" s="3434"/>
      <c r="AC5" s="3434"/>
    </row>
    <row r="6" spans="1:29" ht="15" thickBot="1">
      <c r="A6" s="350"/>
      <c r="B6" s="351"/>
      <c r="C6" s="3446" t="s">
        <v>1677</v>
      </c>
      <c r="D6" s="3447"/>
      <c r="E6" s="3448" t="s">
        <v>1677</v>
      </c>
      <c r="F6" s="3449"/>
      <c r="G6" s="3446" t="s">
        <v>1677</v>
      </c>
      <c r="H6" s="3447"/>
      <c r="I6" s="3446" t="s">
        <v>1677</v>
      </c>
      <c r="J6" s="3447"/>
      <c r="K6" s="537" t="s">
        <v>1678</v>
      </c>
      <c r="L6" s="2484"/>
      <c r="M6" s="2485"/>
      <c r="N6" s="2485"/>
      <c r="O6" s="2485"/>
      <c r="P6" s="3459"/>
      <c r="Q6" s="3460"/>
      <c r="R6" s="3440"/>
      <c r="S6" s="3441"/>
      <c r="T6" s="3461"/>
      <c r="U6" s="3462"/>
      <c r="V6" s="3463"/>
      <c r="W6" s="3463"/>
      <c r="X6" s="1265"/>
      <c r="Y6" s="3461"/>
      <c r="Z6" s="3462"/>
      <c r="AA6" s="3435"/>
      <c r="AB6" s="3435"/>
      <c r="AC6" s="3435"/>
    </row>
    <row r="7" spans="1:29" s="102" customFormat="1" ht="15" thickBot="1">
      <c r="A7" s="352" t="s">
        <v>1679</v>
      </c>
      <c r="B7" s="353"/>
      <c r="C7" s="354">
        <f>'数据-取费表'!B2</f>
        <v>45875</v>
      </c>
      <c r="D7" s="355">
        <v>100</v>
      </c>
      <c r="E7" s="356"/>
      <c r="F7" s="357">
        <f>SUMIF(48:48,YEAR(E7)&amp;"-"&amp;MONTH(E7),49:49)</f>
        <v>0</v>
      </c>
      <c r="G7" s="356"/>
      <c r="H7" s="355">
        <f>SUMIF(48:48,YEAR(G7)&amp;"-"&amp;MONTH(G7),49:49)</f>
        <v>0</v>
      </c>
      <c r="I7" s="356"/>
      <c r="J7" s="355">
        <f>SUMIF(48:48,YEAR(I7)&amp;"-"&amp;MONTH(I7),49:49)</f>
        <v>0</v>
      </c>
      <c r="K7" s="38"/>
      <c r="L7" s="2486"/>
      <c r="M7" s="2438"/>
      <c r="N7" s="2438"/>
      <c r="O7" s="2438"/>
      <c r="P7" s="3436" t="s">
        <v>1680</v>
      </c>
      <c r="Q7" s="3464"/>
      <c r="R7" s="664" t="s">
        <v>14</v>
      </c>
      <c r="S7" s="665">
        <f t="shared" ref="S7:S14" si="0">F7</f>
        <v>0</v>
      </c>
      <c r="T7" s="664" t="s">
        <v>14</v>
      </c>
      <c r="U7" s="665">
        <f t="shared" ref="U7:U14" si="1">H7</f>
        <v>0</v>
      </c>
      <c r="V7" s="664" t="s">
        <v>14</v>
      </c>
      <c r="W7" s="665">
        <f t="shared" ref="W7:W14" si="2">J7</f>
        <v>0</v>
      </c>
      <c r="X7" s="666"/>
      <c r="Y7" s="3436" t="s">
        <v>1680</v>
      </c>
      <c r="Z7" s="343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36" t="s">
        <v>1683</v>
      </c>
      <c r="Q8" s="3437"/>
      <c r="R8" s="664" t="s">
        <v>14</v>
      </c>
      <c r="S8" s="665">
        <f t="shared" si="0"/>
        <v>100</v>
      </c>
      <c r="T8" s="664" t="s">
        <v>14</v>
      </c>
      <c r="U8" s="665">
        <f t="shared" si="1"/>
        <v>100</v>
      </c>
      <c r="V8" s="664" t="s">
        <v>14</v>
      </c>
      <c r="W8" s="665">
        <f t="shared" si="2"/>
        <v>100</v>
      </c>
      <c r="X8" s="666"/>
      <c r="Y8" s="3436" t="s">
        <v>1683</v>
      </c>
      <c r="Z8" s="343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68" t="s">
        <v>1686</v>
      </c>
      <c r="Q9" s="530" t="str">
        <f t="shared" ref="Q9:Q14" si="6">B9</f>
        <v>用途</v>
      </c>
      <c r="R9" s="664" t="s">
        <v>14</v>
      </c>
      <c r="S9" s="665">
        <f t="shared" si="0"/>
        <v>100</v>
      </c>
      <c r="T9" s="664" t="s">
        <v>14</v>
      </c>
      <c r="U9" s="665">
        <f t="shared" si="1"/>
        <v>100</v>
      </c>
      <c r="V9" s="664" t="s">
        <v>14</v>
      </c>
      <c r="W9" s="665">
        <f t="shared" si="2"/>
        <v>100</v>
      </c>
      <c r="X9" s="666"/>
      <c r="Y9" s="3361"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68"/>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68"/>
      <c r="Q11" s="530">
        <f t="shared" si="6"/>
        <v>111</v>
      </c>
      <c r="R11" s="664" t="s">
        <v>14</v>
      </c>
      <c r="S11" s="665">
        <f t="shared" si="0"/>
        <v>100</v>
      </c>
      <c r="T11" s="664" t="s">
        <v>14</v>
      </c>
      <c r="U11" s="665">
        <f t="shared" si="1"/>
        <v>100</v>
      </c>
      <c r="V11" s="664" t="s">
        <v>14</v>
      </c>
      <c r="W11" s="665">
        <f t="shared" si="2"/>
        <v>100</v>
      </c>
      <c r="X11" s="666"/>
      <c r="Y11" s="336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68"/>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68"/>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69" t="s">
        <v>1691</v>
      </c>
      <c r="Q14" s="1263" t="str">
        <f t="shared" si="6"/>
        <v>交通便捷度</v>
      </c>
      <c r="R14" s="667" t="s">
        <v>14</v>
      </c>
      <c r="S14" s="668">
        <f t="shared" si="0"/>
        <v>100</v>
      </c>
      <c r="T14" s="667" t="s">
        <v>14</v>
      </c>
      <c r="U14" s="668">
        <f t="shared" si="1"/>
        <v>100</v>
      </c>
      <c r="V14" s="667" t="s">
        <v>14</v>
      </c>
      <c r="W14" s="668">
        <f t="shared" si="2"/>
        <v>100</v>
      </c>
      <c r="X14" s="1265"/>
      <c r="Y14" s="346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70"/>
      <c r="Q15" s="1263"/>
      <c r="R15" s="667"/>
      <c r="S15" s="668"/>
      <c r="T15" s="667"/>
      <c r="U15" s="668"/>
      <c r="V15" s="667"/>
      <c r="W15" s="668"/>
      <c r="X15" s="1265"/>
      <c r="Y15" s="3470"/>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70"/>
      <c r="Q16" s="1263" t="str">
        <f>B16</f>
        <v>公共配套设施</v>
      </c>
      <c r="R16" s="667" t="s">
        <v>14</v>
      </c>
      <c r="S16" s="668">
        <f>F16</f>
        <v>100</v>
      </c>
      <c r="T16" s="667" t="s">
        <v>14</v>
      </c>
      <c r="U16" s="668">
        <f>H16</f>
        <v>100</v>
      </c>
      <c r="V16" s="667" t="s">
        <v>14</v>
      </c>
      <c r="W16" s="668">
        <f>J16</f>
        <v>100</v>
      </c>
      <c r="X16" s="1265"/>
      <c r="Y16" s="347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70"/>
      <c r="Q17" s="1263"/>
      <c r="R17" s="667"/>
      <c r="S17" s="668"/>
      <c r="T17" s="667"/>
      <c r="U17" s="668"/>
      <c r="V17" s="667"/>
      <c r="W17" s="668"/>
      <c r="X17" s="1265"/>
      <c r="Y17" s="3470"/>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70"/>
      <c r="Q18" s="1263" t="str">
        <f>B18</f>
        <v>基础设施水平</v>
      </c>
      <c r="R18" s="667" t="s">
        <v>14</v>
      </c>
      <c r="S18" s="668">
        <f>F18</f>
        <v>100</v>
      </c>
      <c r="T18" s="667" t="s">
        <v>14</v>
      </c>
      <c r="U18" s="668">
        <f>H18</f>
        <v>100</v>
      </c>
      <c r="V18" s="667" t="s">
        <v>14</v>
      </c>
      <c r="W18" s="668">
        <f>J18</f>
        <v>100</v>
      </c>
      <c r="X18" s="1265"/>
      <c r="Y18" s="347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70"/>
      <c r="Q19" s="1263"/>
      <c r="R19" s="667"/>
      <c r="S19" s="668"/>
      <c r="T19" s="667"/>
      <c r="U19" s="668"/>
      <c r="V19" s="667"/>
      <c r="W19" s="668"/>
      <c r="X19" s="1265"/>
      <c r="Y19" s="3470"/>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70"/>
      <c r="Q20" s="1263" t="str">
        <f>B20</f>
        <v>自然及人文环境</v>
      </c>
      <c r="R20" s="667" t="s">
        <v>14</v>
      </c>
      <c r="S20" s="668">
        <f>F20</f>
        <v>100</v>
      </c>
      <c r="T20" s="667" t="s">
        <v>14</v>
      </c>
      <c r="U20" s="668">
        <f>H20</f>
        <v>100</v>
      </c>
      <c r="V20" s="667" t="s">
        <v>14</v>
      </c>
      <c r="W20" s="668">
        <f>J20</f>
        <v>100</v>
      </c>
      <c r="X20" s="1265"/>
      <c r="Y20" s="347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70"/>
      <c r="Q21" s="1263"/>
      <c r="R21" s="667"/>
      <c r="S21" s="668"/>
      <c r="T21" s="667"/>
      <c r="U21" s="668"/>
      <c r="V21" s="667"/>
      <c r="W21" s="668"/>
      <c r="X21" s="1265"/>
      <c r="Y21" s="347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70"/>
      <c r="Q22" s="1263" t="str">
        <f>B22</f>
        <v>楼层</v>
      </c>
      <c r="R22" s="667" t="s">
        <v>14</v>
      </c>
      <c r="S22" s="668">
        <f>F22</f>
        <v>100</v>
      </c>
      <c r="T22" s="667" t="s">
        <v>14</v>
      </c>
      <c r="U22" s="668">
        <f>H22</f>
        <v>100</v>
      </c>
      <c r="V22" s="667" t="s">
        <v>14</v>
      </c>
      <c r="W22" s="668">
        <f>J22</f>
        <v>100</v>
      </c>
      <c r="X22" s="1265"/>
      <c r="Y22" s="347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70"/>
      <c r="Q23" s="1263">
        <f>B23</f>
        <v>111</v>
      </c>
      <c r="R23" s="667" t="s">
        <v>14</v>
      </c>
      <c r="S23" s="668">
        <f>F23</f>
        <v>100</v>
      </c>
      <c r="T23" s="667" t="s">
        <v>14</v>
      </c>
      <c r="U23" s="668">
        <f>H23</f>
        <v>100</v>
      </c>
      <c r="V23" s="667" t="s">
        <v>14</v>
      </c>
      <c r="W23" s="668">
        <f>J23</f>
        <v>100</v>
      </c>
      <c r="X23" s="1265"/>
      <c r="Y23" s="347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70"/>
      <c r="Q24" s="1263">
        <f t="shared" ref="Q24:Q36" si="11">B24</f>
        <v>111</v>
      </c>
      <c r="R24" s="667" t="s">
        <v>14</v>
      </c>
      <c r="S24" s="668">
        <f>F24</f>
        <v>100</v>
      </c>
      <c r="T24" s="667" t="s">
        <v>14</v>
      </c>
      <c r="U24" s="668">
        <f>H24</f>
        <v>100</v>
      </c>
      <c r="V24" s="667" t="s">
        <v>14</v>
      </c>
      <c r="W24" s="668">
        <f>J24</f>
        <v>100</v>
      </c>
      <c r="X24" s="1265"/>
      <c r="Y24" s="347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70"/>
      <c r="Q25" s="530">
        <f t="shared" si="11"/>
        <v>111</v>
      </c>
      <c r="R25" s="664" t="s">
        <v>14</v>
      </c>
      <c r="S25" s="665">
        <f>F25</f>
        <v>100</v>
      </c>
      <c r="T25" s="664" t="s">
        <v>14</v>
      </c>
      <c r="U25" s="665">
        <f>H25</f>
        <v>100</v>
      </c>
      <c r="V25" s="664" t="s">
        <v>14</v>
      </c>
      <c r="W25" s="665">
        <f>J25</f>
        <v>100</v>
      </c>
      <c r="X25" s="666"/>
      <c r="Y25" s="347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9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7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74"/>
      <c r="Q27" s="531" t="str">
        <f t="shared" si="11"/>
        <v>项目停车位配比</v>
      </c>
      <c r="R27" s="669" t="s">
        <v>14</v>
      </c>
      <c r="S27" s="670">
        <f t="shared" si="12"/>
        <v>100</v>
      </c>
      <c r="T27" s="669" t="s">
        <v>14</v>
      </c>
      <c r="U27" s="670">
        <f t="shared" si="13"/>
        <v>100</v>
      </c>
      <c r="V27" s="669" t="s">
        <v>14</v>
      </c>
      <c r="W27" s="670">
        <f t="shared" si="14"/>
        <v>100</v>
      </c>
      <c r="X27" s="671"/>
      <c r="Y27" s="347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74"/>
      <c r="Q28" s="1263" t="str">
        <f t="shared" si="11"/>
        <v>公共部分装修</v>
      </c>
      <c r="R28" s="667" t="s">
        <v>14</v>
      </c>
      <c r="S28" s="668">
        <f t="shared" si="12"/>
        <v>100</v>
      </c>
      <c r="T28" s="667" t="s">
        <v>14</v>
      </c>
      <c r="U28" s="668">
        <f t="shared" si="13"/>
        <v>100</v>
      </c>
      <c r="V28" s="667" t="s">
        <v>14</v>
      </c>
      <c r="W28" s="668">
        <f t="shared" si="14"/>
        <v>100</v>
      </c>
      <c r="X28" s="1265"/>
      <c r="Y28" s="347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74"/>
      <c r="Q29" s="1263" t="str">
        <f t="shared" si="11"/>
        <v>成新率</v>
      </c>
      <c r="R29" s="667" t="s">
        <v>14</v>
      </c>
      <c r="S29" s="668" t="e">
        <f t="shared" si="12"/>
        <v>#N/A</v>
      </c>
      <c r="T29" s="667" t="s">
        <v>14</v>
      </c>
      <c r="U29" s="668" t="e">
        <f t="shared" si="13"/>
        <v>#N/A</v>
      </c>
      <c r="V29" s="667" t="s">
        <v>14</v>
      </c>
      <c r="W29" s="668" t="e">
        <f t="shared" si="14"/>
        <v>#N/A</v>
      </c>
      <c r="X29" s="1265"/>
      <c r="Y29" s="347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74"/>
      <c r="Q30" s="1263" t="str">
        <f t="shared" si="11"/>
        <v>物业等级</v>
      </c>
      <c r="R30" s="667" t="s">
        <v>14</v>
      </c>
      <c r="S30" s="668">
        <f t="shared" si="12"/>
        <v>100</v>
      </c>
      <c r="T30" s="667" t="s">
        <v>14</v>
      </c>
      <c r="U30" s="668">
        <f t="shared" si="13"/>
        <v>100</v>
      </c>
      <c r="V30" s="667" t="s">
        <v>14</v>
      </c>
      <c r="W30" s="668">
        <f t="shared" si="14"/>
        <v>100</v>
      </c>
      <c r="X30" s="1265"/>
      <c r="Y30" s="347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74"/>
      <c r="Q31" s="530" t="str">
        <f t="shared" si="11"/>
        <v>停车位面积</v>
      </c>
      <c r="R31" s="664" t="s">
        <v>14</v>
      </c>
      <c r="S31" s="665" t="e">
        <f t="shared" si="12"/>
        <v>#N/A</v>
      </c>
      <c r="T31" s="664" t="s">
        <v>14</v>
      </c>
      <c r="U31" s="665" t="e">
        <f t="shared" si="13"/>
        <v>#N/A</v>
      </c>
      <c r="V31" s="664" t="s">
        <v>14</v>
      </c>
      <c r="W31" s="665" t="e">
        <f t="shared" si="14"/>
        <v>#N/A</v>
      </c>
      <c r="X31" s="666"/>
      <c r="Y31" s="347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74" t="s">
        <v>1696</v>
      </c>
      <c r="Q32" s="1263" t="str">
        <f t="shared" si="11"/>
        <v>车位类型</v>
      </c>
      <c r="R32" s="667" t="s">
        <v>14</v>
      </c>
      <c r="S32" s="668">
        <f t="shared" si="12"/>
        <v>100</v>
      </c>
      <c r="T32" s="667" t="s">
        <v>14</v>
      </c>
      <c r="U32" s="668">
        <f t="shared" si="13"/>
        <v>100</v>
      </c>
      <c r="V32" s="667" t="s">
        <v>14</v>
      </c>
      <c r="W32" s="668">
        <f t="shared" si="14"/>
        <v>100</v>
      </c>
      <c r="X32" s="1265"/>
      <c r="Y32" s="347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74"/>
      <c r="Q33" s="1263" t="str">
        <f t="shared" si="11"/>
        <v>是否直接入户</v>
      </c>
      <c r="R33" s="667" t="s">
        <v>14</v>
      </c>
      <c r="S33" s="668">
        <f t="shared" si="12"/>
        <v>100</v>
      </c>
      <c r="T33" s="667" t="s">
        <v>14</v>
      </c>
      <c r="U33" s="668">
        <f t="shared" si="13"/>
        <v>100</v>
      </c>
      <c r="V33" s="667" t="s">
        <v>14</v>
      </c>
      <c r="W33" s="668">
        <f t="shared" si="14"/>
        <v>100</v>
      </c>
      <c r="X33" s="1265"/>
      <c r="Y33" s="347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74"/>
      <c r="Q34" s="1263">
        <f t="shared" si="11"/>
        <v>111</v>
      </c>
      <c r="R34" s="667" t="s">
        <v>14</v>
      </c>
      <c r="S34" s="668">
        <f t="shared" si="12"/>
        <v>100</v>
      </c>
      <c r="T34" s="667" t="s">
        <v>14</v>
      </c>
      <c r="U34" s="668">
        <f t="shared" si="13"/>
        <v>100</v>
      </c>
      <c r="V34" s="667" t="s">
        <v>14</v>
      </c>
      <c r="W34" s="668">
        <f t="shared" si="14"/>
        <v>100</v>
      </c>
      <c r="X34" s="1265"/>
      <c r="Y34" s="347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74"/>
      <c r="Q35" s="531">
        <f t="shared" si="11"/>
        <v>111</v>
      </c>
      <c r="R35" s="669" t="s">
        <v>14</v>
      </c>
      <c r="S35" s="670">
        <f t="shared" si="12"/>
        <v>100</v>
      </c>
      <c r="T35" s="669" t="s">
        <v>14</v>
      </c>
      <c r="U35" s="670">
        <f t="shared" si="13"/>
        <v>100</v>
      </c>
      <c r="V35" s="669" t="s">
        <v>14</v>
      </c>
      <c r="W35" s="670">
        <f t="shared" si="14"/>
        <v>100</v>
      </c>
      <c r="X35" s="671"/>
      <c r="Y35" s="347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74"/>
      <c r="Q36" s="1263">
        <f t="shared" si="11"/>
        <v>111</v>
      </c>
      <c r="R36" s="667" t="s">
        <v>14</v>
      </c>
      <c r="S36" s="668">
        <f t="shared" si="12"/>
        <v>100</v>
      </c>
      <c r="T36" s="667" t="s">
        <v>14</v>
      </c>
      <c r="U36" s="668">
        <f t="shared" si="13"/>
        <v>100</v>
      </c>
      <c r="V36" s="667" t="s">
        <v>14</v>
      </c>
      <c r="W36" s="668">
        <f t="shared" si="14"/>
        <v>100</v>
      </c>
      <c r="X36" s="1265"/>
      <c r="Y36" s="3474"/>
      <c r="Z36" s="1264">
        <f t="shared" si="15"/>
        <v>111</v>
      </c>
      <c r="AA36" s="1264">
        <f t="shared" si="3"/>
        <v>1</v>
      </c>
      <c r="AB36" s="1264">
        <f t="shared" si="4"/>
        <v>1</v>
      </c>
      <c r="AC36" s="1264">
        <f t="shared" si="5"/>
        <v>1</v>
      </c>
    </row>
    <row r="37" spans="1:29" ht="14.4">
      <c r="A37" s="416" t="s">
        <v>1844</v>
      </c>
      <c r="B37" s="1821" t="s">
        <v>3351</v>
      </c>
      <c r="C37" s="1081" t="s">
        <v>0</v>
      </c>
      <c r="D37" s="418"/>
      <c r="E37" s="419"/>
      <c r="F37" s="420"/>
      <c r="G37" s="421"/>
      <c r="H37" s="422"/>
      <c r="I37" s="419"/>
      <c r="J37" s="422"/>
      <c r="K37" s="545"/>
      <c r="L37" s="2492"/>
      <c r="M37" s="2485"/>
      <c r="N37" s="2485"/>
      <c r="O37" s="2485"/>
      <c r="P37" s="3468" t="str">
        <f>A37</f>
        <v>成交单价</v>
      </c>
      <c r="Q37" s="3468"/>
      <c r="R37" s="3463">
        <f>E37</f>
        <v>0</v>
      </c>
      <c r="S37" s="3463"/>
      <c r="T37" s="3463">
        <f>G37</f>
        <v>0</v>
      </c>
      <c r="U37" s="3463"/>
      <c r="V37" s="3463">
        <f>I37</f>
        <v>0</v>
      </c>
      <c r="W37" s="3463"/>
      <c r="X37" s="385"/>
      <c r="Y37" s="673"/>
      <c r="Z37" s="385"/>
      <c r="AA37" s="385"/>
      <c r="AB37" s="385"/>
      <c r="AC37" s="385"/>
    </row>
    <row r="38" spans="1:29" ht="15" thickBot="1">
      <c r="A38" s="423" t="s">
        <v>1845</v>
      </c>
      <c r="B38" s="424" t="str">
        <f>B37</f>
        <v>元/平方米</v>
      </c>
      <c r="C38" s="1082" t="e">
        <f>R39</f>
        <v>#DIV/0!</v>
      </c>
      <c r="D38" s="2140" t="s">
        <v>2136</v>
      </c>
      <c r="E38" s="1083" t="e">
        <f>R38</f>
        <v>#DIV/0!</v>
      </c>
      <c r="F38" s="2141"/>
      <c r="G38" s="1082" t="e">
        <f>T38</f>
        <v>#DIV/0!</v>
      </c>
      <c r="H38" s="2141"/>
      <c r="I38" s="1083" t="e">
        <f>V38</f>
        <v>#DIV/0!</v>
      </c>
      <c r="J38" s="2141"/>
      <c r="K38" s="2143">
        <f>F38+H38+J38</f>
        <v>0</v>
      </c>
      <c r="L38" s="2492"/>
      <c r="M38" s="2485"/>
      <c r="N38" s="2485"/>
      <c r="O38" s="2485"/>
      <c r="P38" s="3468" t="str">
        <f>A38</f>
        <v>比较价值（元/平方米）</v>
      </c>
      <c r="Q38" s="3468"/>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65" t="str">
        <f>A39</f>
        <v>估价对象XX用房的比较价值（楼面单价，元/平方米）</v>
      </c>
      <c r="Q39" s="3466"/>
      <c r="R39" s="3494" t="e">
        <f>IF(F1="售价",ROUND(IF(D38="简单平均",AVERAGE(R38:W38),R38*F38+T38*H38+V38*J38),0),ROUND(IF(D38="简单平均",AVERAGE(R38:V38),R38*F38+T38*H38+V38*J38),1))</f>
        <v>#DIV/0!</v>
      </c>
      <c r="S39" s="3494"/>
      <c r="T39" s="3494"/>
      <c r="U39" s="3494"/>
      <c r="V39" s="3494"/>
      <c r="W39" s="349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51" t="s">
        <v>1770</v>
      </c>
      <c r="D4" s="3452"/>
      <c r="E4" s="3453" t="s">
        <v>1771</v>
      </c>
      <c r="F4" s="3454"/>
      <c r="G4" s="3451" t="s">
        <v>1772</v>
      </c>
      <c r="H4" s="3452"/>
      <c r="I4" s="3451" t="s">
        <v>1773</v>
      </c>
      <c r="J4" s="3452"/>
      <c r="K4" s="537" t="s">
        <v>1774</v>
      </c>
      <c r="L4" s="2484"/>
      <c r="M4" s="2485"/>
      <c r="N4" s="2485"/>
      <c r="O4" s="2485"/>
      <c r="P4" s="3455" t="s">
        <v>1775</v>
      </c>
      <c r="Q4" s="3456"/>
      <c r="R4" s="3438" t="s">
        <v>1771</v>
      </c>
      <c r="S4" s="3439"/>
      <c r="T4" s="3438" t="s">
        <v>1772</v>
      </c>
      <c r="U4" s="3439"/>
      <c r="V4" s="3463" t="s">
        <v>1773</v>
      </c>
      <c r="W4" s="3463"/>
      <c r="X4" s="1265"/>
      <c r="Y4" s="3438" t="s">
        <v>1775</v>
      </c>
      <c r="Z4" s="3439"/>
      <c r="AA4" s="3433" t="s">
        <v>1771</v>
      </c>
      <c r="AB4" s="3434" t="s">
        <v>1772</v>
      </c>
      <c r="AC4" s="3433" t="s">
        <v>1773</v>
      </c>
    </row>
    <row r="5" spans="1:29">
      <c r="A5" s="348"/>
      <c r="B5" s="349"/>
      <c r="C5" s="3444" t="s">
        <v>1673</v>
      </c>
      <c r="D5" s="3445"/>
      <c r="E5" s="3442" t="s">
        <v>1674</v>
      </c>
      <c r="F5" s="3443"/>
      <c r="G5" s="3444" t="s">
        <v>1675</v>
      </c>
      <c r="H5" s="3445"/>
      <c r="I5" s="3444" t="s">
        <v>1676</v>
      </c>
      <c r="J5" s="3445"/>
      <c r="K5" s="537"/>
      <c r="L5" s="2484"/>
      <c r="M5" s="2485"/>
      <c r="N5" s="2485"/>
      <c r="O5" s="2485"/>
      <c r="P5" s="3457"/>
      <c r="Q5" s="3458"/>
      <c r="R5" s="3440"/>
      <c r="S5" s="3441"/>
      <c r="T5" s="3440"/>
      <c r="U5" s="3441"/>
      <c r="V5" s="3463"/>
      <c r="W5" s="3463"/>
      <c r="X5" s="1265"/>
      <c r="Y5" s="3440"/>
      <c r="Z5" s="3441"/>
      <c r="AA5" s="3434"/>
      <c r="AB5" s="3434"/>
      <c r="AC5" s="3434"/>
    </row>
    <row r="6" spans="1:29" ht="15" thickBot="1">
      <c r="A6" s="350"/>
      <c r="B6" s="351"/>
      <c r="C6" s="3446" t="s">
        <v>1677</v>
      </c>
      <c r="D6" s="3447"/>
      <c r="E6" s="3448" t="s">
        <v>1677</v>
      </c>
      <c r="F6" s="3449"/>
      <c r="G6" s="3446" t="s">
        <v>1677</v>
      </c>
      <c r="H6" s="3447"/>
      <c r="I6" s="3446" t="s">
        <v>1677</v>
      </c>
      <c r="J6" s="3447"/>
      <c r="K6" s="537" t="s">
        <v>1678</v>
      </c>
      <c r="L6" s="2484"/>
      <c r="M6" s="2485"/>
      <c r="N6" s="2485"/>
      <c r="O6" s="2485"/>
      <c r="P6" s="3459"/>
      <c r="Q6" s="3460"/>
      <c r="R6" s="3440"/>
      <c r="S6" s="3441"/>
      <c r="T6" s="3461"/>
      <c r="U6" s="3462"/>
      <c r="V6" s="3463"/>
      <c r="W6" s="3463"/>
      <c r="X6" s="1265"/>
      <c r="Y6" s="3461"/>
      <c r="Z6" s="3462"/>
      <c r="AA6" s="3435"/>
      <c r="AB6" s="3435"/>
      <c r="AC6" s="3435"/>
    </row>
    <row r="7" spans="1:29" s="102" customFormat="1" ht="15" thickBot="1">
      <c r="A7" s="352" t="s">
        <v>1679</v>
      </c>
      <c r="B7" s="353"/>
      <c r="C7" s="354">
        <f>'数据-取费表'!B2</f>
        <v>45875</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36" t="s">
        <v>1680</v>
      </c>
      <c r="Q7" s="3464"/>
      <c r="R7" s="664" t="s">
        <v>14</v>
      </c>
      <c r="S7" s="665">
        <f t="shared" ref="S7:S14" si="0">F7</f>
        <v>0</v>
      </c>
      <c r="T7" s="664" t="s">
        <v>14</v>
      </c>
      <c r="U7" s="665">
        <f t="shared" ref="U7:U14" si="1">H7</f>
        <v>0</v>
      </c>
      <c r="V7" s="664" t="s">
        <v>14</v>
      </c>
      <c r="W7" s="665">
        <f t="shared" ref="W7:W14" si="2">J7</f>
        <v>0</v>
      </c>
      <c r="X7" s="666"/>
      <c r="Y7" s="3436" t="s">
        <v>1680</v>
      </c>
      <c r="Z7" s="343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36" t="s">
        <v>1683</v>
      </c>
      <c r="Q8" s="3437"/>
      <c r="R8" s="664" t="s">
        <v>14</v>
      </c>
      <c r="S8" s="665">
        <f t="shared" si="0"/>
        <v>100</v>
      </c>
      <c r="T8" s="664" t="s">
        <v>14</v>
      </c>
      <c r="U8" s="665">
        <f t="shared" si="1"/>
        <v>100</v>
      </c>
      <c r="V8" s="664" t="s">
        <v>14</v>
      </c>
      <c r="W8" s="665">
        <f t="shared" si="2"/>
        <v>100</v>
      </c>
      <c r="X8" s="666"/>
      <c r="Y8" s="3436" t="s">
        <v>1683</v>
      </c>
      <c r="Z8" s="343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68" t="s">
        <v>1686</v>
      </c>
      <c r="Q9" s="530" t="str">
        <f t="shared" ref="Q9:Q14" si="6">B9</f>
        <v>用途</v>
      </c>
      <c r="R9" s="664" t="s">
        <v>14</v>
      </c>
      <c r="S9" s="665">
        <f t="shared" si="0"/>
        <v>100</v>
      </c>
      <c r="T9" s="664" t="s">
        <v>14</v>
      </c>
      <c r="U9" s="665">
        <f t="shared" si="1"/>
        <v>100</v>
      </c>
      <c r="V9" s="664" t="s">
        <v>14</v>
      </c>
      <c r="W9" s="665">
        <f t="shared" si="2"/>
        <v>100</v>
      </c>
      <c r="X9" s="666"/>
      <c r="Y9" s="3361"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68"/>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68"/>
      <c r="Q11" s="530">
        <f t="shared" si="6"/>
        <v>111</v>
      </c>
      <c r="R11" s="664" t="s">
        <v>14</v>
      </c>
      <c r="S11" s="665">
        <f t="shared" si="0"/>
        <v>100</v>
      </c>
      <c r="T11" s="664" t="s">
        <v>14</v>
      </c>
      <c r="U11" s="665">
        <f t="shared" si="1"/>
        <v>100</v>
      </c>
      <c r="V11" s="664" t="s">
        <v>14</v>
      </c>
      <c r="W11" s="665">
        <f t="shared" si="2"/>
        <v>100</v>
      </c>
      <c r="X11" s="666"/>
      <c r="Y11" s="336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68"/>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68"/>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69" t="s">
        <v>1691</v>
      </c>
      <c r="Q14" s="1263" t="str">
        <f t="shared" si="6"/>
        <v>交通便捷度</v>
      </c>
      <c r="R14" s="667" t="s">
        <v>14</v>
      </c>
      <c r="S14" s="668">
        <f t="shared" si="0"/>
        <v>100</v>
      </c>
      <c r="T14" s="667" t="s">
        <v>14</v>
      </c>
      <c r="U14" s="668">
        <f t="shared" si="1"/>
        <v>100</v>
      </c>
      <c r="V14" s="667" t="s">
        <v>14</v>
      </c>
      <c r="W14" s="668">
        <f t="shared" si="2"/>
        <v>100</v>
      </c>
      <c r="X14" s="1265"/>
      <c r="Y14" s="346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70"/>
      <c r="Q15" s="1263"/>
      <c r="R15" s="667"/>
      <c r="S15" s="668"/>
      <c r="T15" s="667"/>
      <c r="U15" s="668"/>
      <c r="V15" s="667"/>
      <c r="W15" s="668"/>
      <c r="X15" s="1265"/>
      <c r="Y15" s="3470"/>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70"/>
      <c r="Q16" s="1263" t="str">
        <f>B16</f>
        <v>公共配套设施</v>
      </c>
      <c r="R16" s="667" t="s">
        <v>14</v>
      </c>
      <c r="S16" s="668">
        <f>F16</f>
        <v>100</v>
      </c>
      <c r="T16" s="667" t="s">
        <v>14</v>
      </c>
      <c r="U16" s="668">
        <f>H16</f>
        <v>100</v>
      </c>
      <c r="V16" s="667" t="s">
        <v>14</v>
      </c>
      <c r="W16" s="668">
        <f>J16</f>
        <v>100</v>
      </c>
      <c r="X16" s="1265"/>
      <c r="Y16" s="347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70"/>
      <c r="Q17" s="1263"/>
      <c r="R17" s="667"/>
      <c r="S17" s="668"/>
      <c r="T17" s="667"/>
      <c r="U17" s="668"/>
      <c r="V17" s="667"/>
      <c r="W17" s="668"/>
      <c r="X17" s="1265"/>
      <c r="Y17" s="3470"/>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70"/>
      <c r="Q18" s="1263" t="str">
        <f>B18</f>
        <v>基础设施水平</v>
      </c>
      <c r="R18" s="667" t="s">
        <v>14</v>
      </c>
      <c r="S18" s="668">
        <f>F18</f>
        <v>100</v>
      </c>
      <c r="T18" s="667" t="s">
        <v>14</v>
      </c>
      <c r="U18" s="668">
        <f>H18</f>
        <v>100</v>
      </c>
      <c r="V18" s="667" t="s">
        <v>14</v>
      </c>
      <c r="W18" s="668">
        <f>J18</f>
        <v>100</v>
      </c>
      <c r="X18" s="1265"/>
      <c r="Y18" s="347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70"/>
      <c r="Q19" s="1263"/>
      <c r="R19" s="667"/>
      <c r="S19" s="668"/>
      <c r="T19" s="667"/>
      <c r="U19" s="668"/>
      <c r="V19" s="667"/>
      <c r="W19" s="668"/>
      <c r="X19" s="1265"/>
      <c r="Y19" s="3470"/>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70"/>
      <c r="Q20" s="1263" t="str">
        <f>B20</f>
        <v>自然及人文环境</v>
      </c>
      <c r="R20" s="667" t="s">
        <v>14</v>
      </c>
      <c r="S20" s="668">
        <f>F20</f>
        <v>100</v>
      </c>
      <c r="T20" s="667" t="s">
        <v>14</v>
      </c>
      <c r="U20" s="668">
        <f>H20</f>
        <v>100</v>
      </c>
      <c r="V20" s="667" t="s">
        <v>14</v>
      </c>
      <c r="W20" s="668">
        <f>J20</f>
        <v>100</v>
      </c>
      <c r="X20" s="1265"/>
      <c r="Y20" s="347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70"/>
      <c r="Q21" s="1263"/>
      <c r="R21" s="667"/>
      <c r="S21" s="668"/>
      <c r="T21" s="667"/>
      <c r="U21" s="668"/>
      <c r="V21" s="667"/>
      <c r="W21" s="668"/>
      <c r="X21" s="1265"/>
      <c r="Y21" s="347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70"/>
      <c r="Q22" s="1263" t="str">
        <f>B22</f>
        <v>楼层</v>
      </c>
      <c r="R22" s="667" t="s">
        <v>14</v>
      </c>
      <c r="S22" s="668">
        <f>F22</f>
        <v>100</v>
      </c>
      <c r="T22" s="667" t="s">
        <v>14</v>
      </c>
      <c r="U22" s="668">
        <f>H22</f>
        <v>100</v>
      </c>
      <c r="V22" s="667" t="s">
        <v>14</v>
      </c>
      <c r="W22" s="668">
        <f>J22</f>
        <v>100</v>
      </c>
      <c r="X22" s="1265"/>
      <c r="Y22" s="347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70"/>
      <c r="Q23" s="1263">
        <f>B23</f>
        <v>111</v>
      </c>
      <c r="R23" s="667" t="s">
        <v>14</v>
      </c>
      <c r="S23" s="668">
        <f>F23</f>
        <v>100</v>
      </c>
      <c r="T23" s="667" t="s">
        <v>14</v>
      </c>
      <c r="U23" s="668">
        <f>H23</f>
        <v>100</v>
      </c>
      <c r="V23" s="667" t="s">
        <v>14</v>
      </c>
      <c r="W23" s="668">
        <f>J23</f>
        <v>100</v>
      </c>
      <c r="X23" s="1265"/>
      <c r="Y23" s="347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70"/>
      <c r="Q24" s="1263">
        <f t="shared" ref="Q24:Q34" si="11">B24</f>
        <v>111</v>
      </c>
      <c r="R24" s="667" t="s">
        <v>14</v>
      </c>
      <c r="S24" s="668">
        <f>F24</f>
        <v>100</v>
      </c>
      <c r="T24" s="667" t="s">
        <v>14</v>
      </c>
      <c r="U24" s="668">
        <f>H24</f>
        <v>100</v>
      </c>
      <c r="V24" s="667" t="s">
        <v>14</v>
      </c>
      <c r="W24" s="668">
        <f>J24</f>
        <v>100</v>
      </c>
      <c r="X24" s="1265"/>
      <c r="Y24" s="347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70"/>
      <c r="Q25" s="530">
        <f t="shared" si="11"/>
        <v>111</v>
      </c>
      <c r="R25" s="664" t="s">
        <v>14</v>
      </c>
      <c r="S25" s="665">
        <f>F25</f>
        <v>100</v>
      </c>
      <c r="T25" s="664" t="s">
        <v>14</v>
      </c>
      <c r="U25" s="665">
        <f>H25</f>
        <v>100</v>
      </c>
      <c r="V25" s="664" t="s">
        <v>14</v>
      </c>
      <c r="W25" s="665">
        <f>J25</f>
        <v>100</v>
      </c>
      <c r="X25" s="666"/>
      <c r="Y25" s="347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9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7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74"/>
      <c r="Q27" s="531" t="str">
        <f t="shared" si="11"/>
        <v>成新率</v>
      </c>
      <c r="R27" s="669" t="s">
        <v>14</v>
      </c>
      <c r="S27" s="670" t="e">
        <f t="shared" si="12"/>
        <v>#N/A</v>
      </c>
      <c r="T27" s="669" t="s">
        <v>14</v>
      </c>
      <c r="U27" s="670" t="e">
        <f t="shared" si="13"/>
        <v>#N/A</v>
      </c>
      <c r="V27" s="669" t="s">
        <v>14</v>
      </c>
      <c r="W27" s="670" t="e">
        <f t="shared" si="14"/>
        <v>#N/A</v>
      </c>
      <c r="X27" s="671"/>
      <c r="Y27" s="347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74"/>
      <c r="Q28" s="1263" t="str">
        <f t="shared" si="11"/>
        <v>物业等级</v>
      </c>
      <c r="R28" s="667" t="s">
        <v>14</v>
      </c>
      <c r="S28" s="668">
        <f t="shared" si="12"/>
        <v>100</v>
      </c>
      <c r="T28" s="667" t="s">
        <v>14</v>
      </c>
      <c r="U28" s="668">
        <f t="shared" si="13"/>
        <v>100</v>
      </c>
      <c r="V28" s="667" t="s">
        <v>14</v>
      </c>
      <c r="W28" s="668">
        <f t="shared" si="14"/>
        <v>100</v>
      </c>
      <c r="X28" s="1265"/>
      <c r="Y28" s="347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74"/>
      <c r="Q29" s="1263" t="str">
        <f t="shared" si="11"/>
        <v>有无电梯</v>
      </c>
      <c r="R29" s="667" t="s">
        <v>14</v>
      </c>
      <c r="S29" s="668">
        <f t="shared" si="12"/>
        <v>100</v>
      </c>
      <c r="T29" s="667" t="s">
        <v>14</v>
      </c>
      <c r="U29" s="668">
        <f t="shared" si="13"/>
        <v>100</v>
      </c>
      <c r="V29" s="667" t="s">
        <v>14</v>
      </c>
      <c r="W29" s="668">
        <f t="shared" si="14"/>
        <v>100</v>
      </c>
      <c r="X29" s="1265"/>
      <c r="Y29" s="347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74"/>
      <c r="Q30" s="1263" t="str">
        <f t="shared" si="11"/>
        <v>建筑面积</v>
      </c>
      <c r="R30" s="667" t="s">
        <v>14</v>
      </c>
      <c r="S30" s="668" t="e">
        <f t="shared" si="12"/>
        <v>#N/A</v>
      </c>
      <c r="T30" s="667" t="s">
        <v>14</v>
      </c>
      <c r="U30" s="668" t="e">
        <f t="shared" si="13"/>
        <v>#N/A</v>
      </c>
      <c r="V30" s="667" t="s">
        <v>14</v>
      </c>
      <c r="W30" s="668" t="e">
        <f t="shared" si="14"/>
        <v>#N/A</v>
      </c>
      <c r="X30" s="1265"/>
      <c r="Y30" s="347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74"/>
      <c r="Q31" s="530" t="str">
        <f t="shared" si="11"/>
        <v>是否封闭</v>
      </c>
      <c r="R31" s="664" t="s">
        <v>14</v>
      </c>
      <c r="S31" s="665">
        <f t="shared" si="12"/>
        <v>100</v>
      </c>
      <c r="T31" s="664" t="s">
        <v>14</v>
      </c>
      <c r="U31" s="665">
        <f t="shared" si="13"/>
        <v>100</v>
      </c>
      <c r="V31" s="664" t="s">
        <v>14</v>
      </c>
      <c r="W31" s="665">
        <f t="shared" si="14"/>
        <v>100</v>
      </c>
      <c r="X31" s="666"/>
      <c r="Y31" s="347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74" t="s">
        <v>1696</v>
      </c>
      <c r="Q32" s="1263">
        <f t="shared" si="11"/>
        <v>111</v>
      </c>
      <c r="R32" s="667" t="s">
        <v>14</v>
      </c>
      <c r="S32" s="668">
        <f t="shared" si="12"/>
        <v>100</v>
      </c>
      <c r="T32" s="667" t="s">
        <v>14</v>
      </c>
      <c r="U32" s="668">
        <f t="shared" si="13"/>
        <v>100</v>
      </c>
      <c r="V32" s="667" t="s">
        <v>14</v>
      </c>
      <c r="W32" s="668">
        <f t="shared" si="14"/>
        <v>100</v>
      </c>
      <c r="X32" s="1265"/>
      <c r="Y32" s="347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74"/>
      <c r="Q33" s="1263">
        <f t="shared" si="11"/>
        <v>111</v>
      </c>
      <c r="R33" s="667" t="s">
        <v>14</v>
      </c>
      <c r="S33" s="668">
        <f t="shared" si="12"/>
        <v>100</v>
      </c>
      <c r="T33" s="667" t="s">
        <v>14</v>
      </c>
      <c r="U33" s="668">
        <f t="shared" si="13"/>
        <v>100</v>
      </c>
      <c r="V33" s="667" t="s">
        <v>14</v>
      </c>
      <c r="W33" s="668">
        <f t="shared" si="14"/>
        <v>100</v>
      </c>
      <c r="X33" s="1265"/>
      <c r="Y33" s="347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74"/>
      <c r="Q34" s="1263">
        <f t="shared" si="11"/>
        <v>111</v>
      </c>
      <c r="R34" s="667" t="s">
        <v>14</v>
      </c>
      <c r="S34" s="668">
        <f t="shared" si="12"/>
        <v>100</v>
      </c>
      <c r="T34" s="667" t="s">
        <v>14</v>
      </c>
      <c r="U34" s="668">
        <f t="shared" si="13"/>
        <v>100</v>
      </c>
      <c r="V34" s="667" t="s">
        <v>14</v>
      </c>
      <c r="W34" s="668">
        <f t="shared" si="14"/>
        <v>100</v>
      </c>
      <c r="X34" s="1265"/>
      <c r="Y34" s="347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68" t="str">
        <f>A35</f>
        <v>成交单价（元/平方米）</v>
      </c>
      <c r="Q35" s="3468"/>
      <c r="R35" s="3463">
        <f>E35</f>
        <v>0</v>
      </c>
      <c r="S35" s="3463"/>
      <c r="T35" s="3463">
        <f>G35</f>
        <v>0</v>
      </c>
      <c r="U35" s="3463"/>
      <c r="V35" s="3463">
        <f>I35</f>
        <v>0</v>
      </c>
      <c r="W35" s="3463"/>
      <c r="X35" s="385"/>
      <c r="Y35" s="673"/>
      <c r="Z35" s="385"/>
      <c r="AA35" s="385"/>
      <c r="AB35" s="385"/>
      <c r="AC35" s="385"/>
    </row>
    <row r="36" spans="1:30" ht="15" thickBot="1">
      <c r="A36" s="423" t="s">
        <v>1793</v>
      </c>
      <c r="B36" s="424"/>
      <c r="C36" s="1082" t="e">
        <f>R37</f>
        <v>#DIV/0!</v>
      </c>
      <c r="D36" s="2140" t="s">
        <v>2136</v>
      </c>
      <c r="E36" s="1083" t="e">
        <f>R36</f>
        <v>#DIV/0!</v>
      </c>
      <c r="F36" s="2141"/>
      <c r="G36" s="1082" t="e">
        <f>T36</f>
        <v>#DIV/0!</v>
      </c>
      <c r="H36" s="2141"/>
      <c r="I36" s="1083" t="e">
        <f>V36</f>
        <v>#DIV/0!</v>
      </c>
      <c r="J36" s="2141"/>
      <c r="K36" s="2143">
        <f>F36+H36+J36</f>
        <v>0</v>
      </c>
      <c r="L36" s="2492"/>
      <c r="M36" s="2485"/>
      <c r="N36" s="2485"/>
      <c r="O36" s="2485"/>
      <c r="P36" s="3468" t="str">
        <f>A36</f>
        <v>比较价值（元/平方米）</v>
      </c>
      <c r="Q36" s="3468"/>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65" t="str">
        <f>A37</f>
        <v>估价对象XX用房的比较价值（楼面单价，元/平方米）</v>
      </c>
      <c r="Q37" s="3466"/>
      <c r="R37" s="3494" t="e">
        <f>IF(F1="售价",ROUND(IF(D36="简单平均",AVERAGE(R36:W36),R36*F36+T36*H36+V36*J36),0),ROUND(IF(D36="简单平均",AVERAGE(R36:V36),R36*F36+T36*H36+V36*J36),1))</f>
        <v>#DIV/0!</v>
      </c>
      <c r="S37" s="3494"/>
      <c r="T37" s="3494"/>
      <c r="U37" s="3494"/>
      <c r="V37" s="3494"/>
      <c r="W37" s="349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51" t="s">
        <v>1770</v>
      </c>
      <c r="D4" s="3452"/>
      <c r="E4" s="3453" t="s">
        <v>1771</v>
      </c>
      <c r="F4" s="3454"/>
      <c r="G4" s="3451" t="s">
        <v>1772</v>
      </c>
      <c r="H4" s="3452"/>
      <c r="I4" s="3451" t="s">
        <v>1773</v>
      </c>
      <c r="J4" s="3452"/>
      <c r="K4" s="537" t="s">
        <v>1774</v>
      </c>
      <c r="L4" s="2484"/>
      <c r="M4" s="2485"/>
      <c r="N4" s="2485"/>
      <c r="O4" s="2485"/>
      <c r="P4" s="3455" t="s">
        <v>1775</v>
      </c>
      <c r="Q4" s="3456"/>
      <c r="R4" s="3438" t="s">
        <v>1771</v>
      </c>
      <c r="S4" s="3439"/>
      <c r="T4" s="3438" t="s">
        <v>1772</v>
      </c>
      <c r="U4" s="3439"/>
      <c r="V4" s="3463" t="s">
        <v>1773</v>
      </c>
      <c r="W4" s="3463"/>
      <c r="X4" s="1265"/>
      <c r="Y4" s="3438" t="s">
        <v>1775</v>
      </c>
      <c r="Z4" s="3439"/>
      <c r="AA4" s="3433" t="s">
        <v>1771</v>
      </c>
      <c r="AB4" s="3434" t="s">
        <v>1772</v>
      </c>
      <c r="AC4" s="3433" t="s">
        <v>1773</v>
      </c>
    </row>
    <row r="5" spans="1:29">
      <c r="A5" s="348"/>
      <c r="B5" s="349"/>
      <c r="C5" s="3444" t="s">
        <v>1673</v>
      </c>
      <c r="D5" s="3445"/>
      <c r="E5" s="3442" t="s">
        <v>1674</v>
      </c>
      <c r="F5" s="3443"/>
      <c r="G5" s="3444" t="s">
        <v>1675</v>
      </c>
      <c r="H5" s="3445"/>
      <c r="I5" s="3444" t="s">
        <v>1676</v>
      </c>
      <c r="J5" s="3445"/>
      <c r="K5" s="537"/>
      <c r="L5" s="2484"/>
      <c r="M5" s="2485"/>
      <c r="N5" s="2485"/>
      <c r="O5" s="2485"/>
      <c r="P5" s="3457"/>
      <c r="Q5" s="3458"/>
      <c r="R5" s="3440"/>
      <c r="S5" s="3441"/>
      <c r="T5" s="3440"/>
      <c r="U5" s="3441"/>
      <c r="V5" s="3463"/>
      <c r="W5" s="3463"/>
      <c r="X5" s="1265"/>
      <c r="Y5" s="3440"/>
      <c r="Z5" s="3441"/>
      <c r="AA5" s="3434"/>
      <c r="AB5" s="3434"/>
      <c r="AC5" s="3434"/>
    </row>
    <row r="6" spans="1:29" ht="15" thickBot="1">
      <c r="A6" s="350"/>
      <c r="B6" s="351"/>
      <c r="C6" s="3446" t="s">
        <v>1677</v>
      </c>
      <c r="D6" s="3447"/>
      <c r="E6" s="3448" t="s">
        <v>1677</v>
      </c>
      <c r="F6" s="3449"/>
      <c r="G6" s="3446" t="s">
        <v>1677</v>
      </c>
      <c r="H6" s="3447"/>
      <c r="I6" s="3446" t="s">
        <v>1677</v>
      </c>
      <c r="J6" s="3447"/>
      <c r="K6" s="537" t="s">
        <v>1678</v>
      </c>
      <c r="L6" s="2484"/>
      <c r="M6" s="2485"/>
      <c r="N6" s="2485"/>
      <c r="O6" s="2485"/>
      <c r="P6" s="3459"/>
      <c r="Q6" s="3460"/>
      <c r="R6" s="3440"/>
      <c r="S6" s="3441"/>
      <c r="T6" s="3461"/>
      <c r="U6" s="3462"/>
      <c r="V6" s="3463"/>
      <c r="W6" s="3463"/>
      <c r="X6" s="1265"/>
      <c r="Y6" s="3461"/>
      <c r="Z6" s="3462"/>
      <c r="AA6" s="3435"/>
      <c r="AB6" s="3435"/>
      <c r="AC6" s="3435"/>
    </row>
    <row r="7" spans="1:29" s="102" customFormat="1" ht="15" thickBot="1">
      <c r="A7" s="352" t="s">
        <v>1679</v>
      </c>
      <c r="B7" s="353"/>
      <c r="C7" s="354">
        <f>'数据-取费表'!B2</f>
        <v>45875</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36" t="s">
        <v>1680</v>
      </c>
      <c r="Q7" s="3464"/>
      <c r="R7" s="664" t="s">
        <v>14</v>
      </c>
      <c r="S7" s="665">
        <f t="shared" ref="S7:S15" si="0">F7</f>
        <v>0</v>
      </c>
      <c r="T7" s="664" t="s">
        <v>14</v>
      </c>
      <c r="U7" s="665">
        <f t="shared" ref="U7:U15" si="1">H7</f>
        <v>0</v>
      </c>
      <c r="V7" s="664" t="s">
        <v>14</v>
      </c>
      <c r="W7" s="665">
        <f t="shared" ref="W7:W15" si="2">J7</f>
        <v>0</v>
      </c>
      <c r="X7" s="666"/>
      <c r="Y7" s="3436" t="s">
        <v>1680</v>
      </c>
      <c r="Z7" s="343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36" t="s">
        <v>1683</v>
      </c>
      <c r="Q8" s="3437"/>
      <c r="R8" s="664" t="s">
        <v>14</v>
      </c>
      <c r="S8" s="665">
        <f t="shared" si="0"/>
        <v>0</v>
      </c>
      <c r="T8" s="664" t="s">
        <v>14</v>
      </c>
      <c r="U8" s="665">
        <f t="shared" si="1"/>
        <v>0</v>
      </c>
      <c r="V8" s="664" t="s">
        <v>14</v>
      </c>
      <c r="W8" s="665">
        <f t="shared" si="2"/>
        <v>0</v>
      </c>
      <c r="X8" s="666"/>
      <c r="Y8" s="3436" t="s">
        <v>1683</v>
      </c>
      <c r="Z8" s="343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68"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109</v>
      </c>
      <c r="G10" s="402"/>
      <c r="H10" s="119">
        <f>ROUND(100/'数据-取费表'!G16,0)</f>
        <v>109</v>
      </c>
      <c r="I10" s="402"/>
      <c r="J10" s="119">
        <f>ROUND(100/'数据-取费表'!G16,0)</f>
        <v>109</v>
      </c>
      <c r="K10" s="592"/>
      <c r="L10" s="2487"/>
      <c r="M10" s="2488"/>
      <c r="N10" s="2488"/>
      <c r="O10" s="2539"/>
      <c r="P10" s="3468"/>
      <c r="Q10" s="530" t="str">
        <f t="shared" si="6"/>
        <v>土地使用年限（年）</v>
      </c>
      <c r="R10" s="664" t="s">
        <v>14</v>
      </c>
      <c r="S10" s="665">
        <f t="shared" si="0"/>
        <v>109</v>
      </c>
      <c r="T10" s="664" t="s">
        <v>14</v>
      </c>
      <c r="U10" s="665">
        <f t="shared" si="1"/>
        <v>109</v>
      </c>
      <c r="V10" s="664" t="s">
        <v>14</v>
      </c>
      <c r="W10" s="665">
        <f t="shared" si="2"/>
        <v>109</v>
      </c>
      <c r="X10" s="666"/>
      <c r="Y10" s="3361"/>
      <c r="Z10" s="50" t="str">
        <f t="shared" si="7"/>
        <v>土地使用年限（年）</v>
      </c>
      <c r="AA10" s="50">
        <f t="shared" si="3"/>
        <v>0.91743119266055051</v>
      </c>
      <c r="AB10" s="50">
        <f t="shared" si="4"/>
        <v>0.91743119266055051</v>
      </c>
      <c r="AC10" s="50">
        <f t="shared" si="5"/>
        <v>0.91743119266055051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68"/>
      <c r="Q11" s="530" t="str">
        <f t="shared" si="6"/>
        <v>容积率</v>
      </c>
      <c r="R11" s="664" t="s">
        <v>14</v>
      </c>
      <c r="S11" s="665" t="e">
        <f t="shared" si="0"/>
        <v>#N/A</v>
      </c>
      <c r="T11" s="664" t="s">
        <v>14</v>
      </c>
      <c r="U11" s="665" t="e">
        <f t="shared" si="1"/>
        <v>#N/A</v>
      </c>
      <c r="V11" s="664" t="s">
        <v>14</v>
      </c>
      <c r="W11" s="665" t="e">
        <f t="shared" si="2"/>
        <v>#N/A</v>
      </c>
      <c r="X11" s="666"/>
      <c r="Y11" s="336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68"/>
      <c r="Q12" s="530" t="str">
        <f t="shared" si="6"/>
        <v>配建</v>
      </c>
      <c r="R12" s="664" t="s">
        <v>14</v>
      </c>
      <c r="S12" s="665">
        <f t="shared" si="0"/>
        <v>100</v>
      </c>
      <c r="T12" s="664" t="s">
        <v>14</v>
      </c>
      <c r="U12" s="665">
        <f t="shared" si="1"/>
        <v>100</v>
      </c>
      <c r="V12" s="664" t="s">
        <v>14</v>
      </c>
      <c r="W12" s="665">
        <f t="shared" si="2"/>
        <v>100</v>
      </c>
      <c r="X12" s="666"/>
      <c r="Y12" s="336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68"/>
      <c r="Q13" s="530">
        <f t="shared" si="6"/>
        <v>111</v>
      </c>
      <c r="R13" s="664" t="s">
        <v>14</v>
      </c>
      <c r="S13" s="665">
        <f t="shared" si="0"/>
        <v>100</v>
      </c>
      <c r="T13" s="664" t="s">
        <v>14</v>
      </c>
      <c r="U13" s="665">
        <f t="shared" si="1"/>
        <v>100</v>
      </c>
      <c r="V13" s="664" t="s">
        <v>14</v>
      </c>
      <c r="W13" s="665">
        <f t="shared" si="2"/>
        <v>100</v>
      </c>
      <c r="X13" s="666"/>
      <c r="Y13" s="336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68"/>
      <c r="Q14" s="530">
        <f t="shared" si="6"/>
        <v>111</v>
      </c>
      <c r="R14" s="664" t="s">
        <v>14</v>
      </c>
      <c r="S14" s="665">
        <f t="shared" si="0"/>
        <v>100</v>
      </c>
      <c r="T14" s="664" t="s">
        <v>14</v>
      </c>
      <c r="U14" s="665">
        <f t="shared" si="1"/>
        <v>100</v>
      </c>
      <c r="V14" s="664" t="s">
        <v>14</v>
      </c>
      <c r="W14" s="665">
        <f t="shared" si="2"/>
        <v>100</v>
      </c>
      <c r="X14" s="666"/>
      <c r="Y14" s="336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69" t="s">
        <v>1691</v>
      </c>
      <c r="Q15" s="1263" t="str">
        <f t="shared" si="6"/>
        <v>居住社区成熟度</v>
      </c>
      <c r="R15" s="667" t="s">
        <v>14</v>
      </c>
      <c r="S15" s="668">
        <f t="shared" si="0"/>
        <v>100</v>
      </c>
      <c r="T15" s="667" t="s">
        <v>14</v>
      </c>
      <c r="U15" s="668">
        <f t="shared" si="1"/>
        <v>100</v>
      </c>
      <c r="V15" s="667" t="s">
        <v>14</v>
      </c>
      <c r="W15" s="668">
        <f t="shared" si="2"/>
        <v>100</v>
      </c>
      <c r="X15" s="1265"/>
      <c r="Y15" s="346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70"/>
      <c r="Q16" s="1263"/>
      <c r="R16" s="667"/>
      <c r="S16" s="668"/>
      <c r="T16" s="667"/>
      <c r="U16" s="668"/>
      <c r="V16" s="667"/>
      <c r="W16" s="668"/>
      <c r="X16" s="1265"/>
      <c r="Y16" s="3470"/>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70"/>
      <c r="Q17" s="1263" t="str">
        <f>B17</f>
        <v>商业繁华度</v>
      </c>
      <c r="R17" s="667" t="s">
        <v>14</v>
      </c>
      <c r="S17" s="668">
        <f>F17</f>
        <v>100</v>
      </c>
      <c r="T17" s="667" t="s">
        <v>14</v>
      </c>
      <c r="U17" s="668">
        <f>H17</f>
        <v>100</v>
      </c>
      <c r="V17" s="667" t="s">
        <v>14</v>
      </c>
      <c r="W17" s="668">
        <f>J17</f>
        <v>100</v>
      </c>
      <c r="X17" s="1265"/>
      <c r="Y17" s="347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70"/>
      <c r="Q18" s="1263"/>
      <c r="R18" s="667"/>
      <c r="S18" s="668"/>
      <c r="T18" s="667"/>
      <c r="U18" s="668"/>
      <c r="V18" s="667"/>
      <c r="W18" s="668"/>
      <c r="X18" s="1265"/>
      <c r="Y18" s="3470"/>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70"/>
      <c r="Q19" s="1263" t="str">
        <f>B19</f>
        <v>办公集聚程度</v>
      </c>
      <c r="R19" s="667" t="s">
        <v>14</v>
      </c>
      <c r="S19" s="668">
        <f>F19</f>
        <v>100</v>
      </c>
      <c r="T19" s="667" t="s">
        <v>14</v>
      </c>
      <c r="U19" s="668">
        <f>H19</f>
        <v>100</v>
      </c>
      <c r="V19" s="667" t="s">
        <v>14</v>
      </c>
      <c r="W19" s="668">
        <f>J19</f>
        <v>100</v>
      </c>
      <c r="X19" s="1265"/>
      <c r="Y19" s="347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70"/>
      <c r="Q20" s="1263"/>
      <c r="R20" s="667"/>
      <c r="S20" s="668"/>
      <c r="T20" s="667"/>
      <c r="U20" s="668"/>
      <c r="V20" s="667"/>
      <c r="W20" s="668"/>
      <c r="X20" s="1265"/>
      <c r="Y20" s="3470"/>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70"/>
      <c r="Q21" s="1263" t="str">
        <f>B21</f>
        <v>交通便捷度</v>
      </c>
      <c r="R21" s="667" t="s">
        <v>14</v>
      </c>
      <c r="S21" s="668">
        <f>F21</f>
        <v>100</v>
      </c>
      <c r="T21" s="667" t="s">
        <v>14</v>
      </c>
      <c r="U21" s="668">
        <f>H21</f>
        <v>100</v>
      </c>
      <c r="V21" s="667" t="s">
        <v>14</v>
      </c>
      <c r="W21" s="668">
        <f>J21</f>
        <v>100</v>
      </c>
      <c r="X21" s="1265"/>
      <c r="Y21" s="347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70"/>
      <c r="Q22" s="1263"/>
      <c r="R22" s="667"/>
      <c r="S22" s="668"/>
      <c r="T22" s="667"/>
      <c r="U22" s="668"/>
      <c r="V22" s="667"/>
      <c r="W22" s="668"/>
      <c r="X22" s="1265"/>
      <c r="Y22" s="347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70"/>
      <c r="Q23" s="1263" t="str">
        <f t="shared" ref="Q23:Q37" si="8">B23</f>
        <v>区域土地利用方向</v>
      </c>
      <c r="R23" s="667" t="s">
        <v>14</v>
      </c>
      <c r="S23" s="668">
        <f>F23</f>
        <v>100</v>
      </c>
      <c r="T23" s="667" t="s">
        <v>14</v>
      </c>
      <c r="U23" s="668">
        <f>H23</f>
        <v>100</v>
      </c>
      <c r="V23" s="667" t="s">
        <v>14</v>
      </c>
      <c r="W23" s="668">
        <f>J23</f>
        <v>100</v>
      </c>
      <c r="X23" s="1265"/>
      <c r="Y23" s="347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70"/>
      <c r="Q24" s="1263"/>
      <c r="R24" s="667"/>
      <c r="S24" s="668"/>
      <c r="T24" s="667"/>
      <c r="U24" s="668"/>
      <c r="V24" s="667"/>
      <c r="W24" s="668"/>
      <c r="X24" s="1265"/>
      <c r="Y24" s="3470"/>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70"/>
      <c r="Q25" s="1263" t="str">
        <f t="shared" si="8"/>
        <v>自然及人文环境状况</v>
      </c>
      <c r="R25" s="667" t="s">
        <v>14</v>
      </c>
      <c r="S25" s="668">
        <f>F25</f>
        <v>100</v>
      </c>
      <c r="T25" s="667" t="s">
        <v>14</v>
      </c>
      <c r="U25" s="668">
        <f>H25</f>
        <v>100</v>
      </c>
      <c r="V25" s="667" t="s">
        <v>14</v>
      </c>
      <c r="W25" s="668">
        <f>J25</f>
        <v>100</v>
      </c>
      <c r="X25" s="1265"/>
      <c r="Y25" s="347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70"/>
      <c r="Q26" s="1263"/>
      <c r="R26" s="667"/>
      <c r="S26" s="668"/>
      <c r="T26" s="667"/>
      <c r="U26" s="668"/>
      <c r="V26" s="667"/>
      <c r="W26" s="668"/>
      <c r="X26" s="1265"/>
      <c r="Y26" s="3470"/>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70"/>
      <c r="Q27" s="530" t="str">
        <f t="shared" si="8"/>
        <v>公共配套设施</v>
      </c>
      <c r="R27" s="664" t="s">
        <v>14</v>
      </c>
      <c r="S27" s="665">
        <f>F27</f>
        <v>100</v>
      </c>
      <c r="T27" s="664" t="s">
        <v>14</v>
      </c>
      <c r="U27" s="665">
        <f>H27</f>
        <v>100</v>
      </c>
      <c r="V27" s="664" t="s">
        <v>14</v>
      </c>
      <c r="W27" s="665">
        <f>J27</f>
        <v>100</v>
      </c>
      <c r="X27" s="666"/>
      <c r="Y27" s="347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70"/>
      <c r="Q28" s="530"/>
      <c r="R28" s="664"/>
      <c r="S28" s="665"/>
      <c r="T28" s="664"/>
      <c r="U28" s="665"/>
      <c r="V28" s="664"/>
      <c r="W28" s="665"/>
      <c r="X28" s="666"/>
      <c r="Y28" s="3470"/>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70"/>
      <c r="Q29" s="530" t="str">
        <f t="shared" ref="Q29" si="9">B29</f>
        <v>基础设施水平</v>
      </c>
      <c r="R29" s="664" t="s">
        <v>14</v>
      </c>
      <c r="S29" s="665">
        <f>F29</f>
        <v>100</v>
      </c>
      <c r="T29" s="664" t="s">
        <v>14</v>
      </c>
      <c r="U29" s="665">
        <f>H29</f>
        <v>100</v>
      </c>
      <c r="V29" s="664" t="s">
        <v>14</v>
      </c>
      <c r="W29" s="665">
        <f>J29</f>
        <v>100</v>
      </c>
      <c r="X29" s="666"/>
      <c r="Y29" s="347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70"/>
      <c r="Q30" s="530"/>
      <c r="R30" s="664"/>
      <c r="S30" s="665"/>
      <c r="T30" s="664"/>
      <c r="U30" s="665"/>
      <c r="V30" s="664"/>
      <c r="W30" s="665"/>
      <c r="X30" s="666"/>
      <c r="Y30" s="347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7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7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70"/>
      <c r="Q32" s="1263" t="str">
        <f t="shared" si="8"/>
        <v>毗邻道路的类型与等级</v>
      </c>
      <c r="R32" s="667" t="s">
        <v>14</v>
      </c>
      <c r="S32" s="668">
        <f t="shared" si="10"/>
        <v>100</v>
      </c>
      <c r="T32" s="667" t="s">
        <v>14</v>
      </c>
      <c r="U32" s="668">
        <f t="shared" si="11"/>
        <v>100</v>
      </c>
      <c r="V32" s="667" t="s">
        <v>14</v>
      </c>
      <c r="W32" s="668">
        <f t="shared" si="12"/>
        <v>100</v>
      </c>
      <c r="X32" s="1265"/>
      <c r="Y32" s="347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70"/>
      <c r="Q33" s="1263"/>
      <c r="R33" s="667"/>
      <c r="S33" s="668"/>
      <c r="T33" s="667"/>
      <c r="U33" s="668"/>
      <c r="V33" s="667"/>
      <c r="W33" s="668"/>
      <c r="X33" s="1265"/>
      <c r="Y33" s="347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70"/>
      <c r="Q34" s="1263" t="str">
        <f t="shared" si="8"/>
        <v>土地级别</v>
      </c>
      <c r="R34" s="667" t="s">
        <v>14</v>
      </c>
      <c r="S34" s="668">
        <f t="shared" si="10"/>
        <v>100</v>
      </c>
      <c r="T34" s="667" t="s">
        <v>14</v>
      </c>
      <c r="U34" s="668">
        <f t="shared" si="11"/>
        <v>100</v>
      </c>
      <c r="V34" s="667" t="s">
        <v>14</v>
      </c>
      <c r="W34" s="668">
        <f t="shared" si="12"/>
        <v>100</v>
      </c>
      <c r="X34" s="1265"/>
      <c r="Y34" s="347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70"/>
      <c r="Q35" s="1263">
        <f t="shared" si="8"/>
        <v>111</v>
      </c>
      <c r="R35" s="667" t="s">
        <v>14</v>
      </c>
      <c r="S35" s="668">
        <f t="shared" si="10"/>
        <v>100</v>
      </c>
      <c r="T35" s="667" t="s">
        <v>14</v>
      </c>
      <c r="U35" s="668">
        <f t="shared" si="11"/>
        <v>100</v>
      </c>
      <c r="V35" s="667" t="s">
        <v>14</v>
      </c>
      <c r="W35" s="668">
        <f t="shared" si="12"/>
        <v>100</v>
      </c>
      <c r="X35" s="1265"/>
      <c r="Y35" s="347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93" t="s">
        <v>1696</v>
      </c>
      <c r="Q36" s="1263">
        <f t="shared" si="8"/>
        <v>111</v>
      </c>
      <c r="R36" s="667" t="s">
        <v>14</v>
      </c>
      <c r="S36" s="668">
        <f t="shared" si="10"/>
        <v>100</v>
      </c>
      <c r="T36" s="667" t="s">
        <v>14</v>
      </c>
      <c r="U36" s="668">
        <f t="shared" si="11"/>
        <v>100</v>
      </c>
      <c r="V36" s="667" t="s">
        <v>14</v>
      </c>
      <c r="W36" s="668">
        <f t="shared" si="12"/>
        <v>100</v>
      </c>
      <c r="X36" s="1265"/>
      <c r="Y36" s="347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74"/>
      <c r="Q37" s="1263">
        <f t="shared" si="8"/>
        <v>111</v>
      </c>
      <c r="R37" s="669" t="s">
        <v>14</v>
      </c>
      <c r="S37" s="670">
        <f t="shared" si="10"/>
        <v>100</v>
      </c>
      <c r="T37" s="669" t="s">
        <v>14</v>
      </c>
      <c r="U37" s="670">
        <f t="shared" si="11"/>
        <v>100</v>
      </c>
      <c r="V37" s="669" t="s">
        <v>14</v>
      </c>
      <c r="W37" s="670">
        <f t="shared" si="12"/>
        <v>100</v>
      </c>
      <c r="X37" s="671"/>
      <c r="Y37" s="347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74"/>
      <c r="Q38" s="1263" t="str">
        <f>B38</f>
        <v>宗地面积</v>
      </c>
      <c r="R38" s="667" t="s">
        <v>14</v>
      </c>
      <c r="S38" s="668" t="e">
        <f t="shared" si="10"/>
        <v>#N/A</v>
      </c>
      <c r="T38" s="667" t="s">
        <v>14</v>
      </c>
      <c r="U38" s="668" t="e">
        <f t="shared" si="11"/>
        <v>#N/A</v>
      </c>
      <c r="V38" s="667" t="s">
        <v>14</v>
      </c>
      <c r="W38" s="668" t="e">
        <f t="shared" si="12"/>
        <v>#N/A</v>
      </c>
      <c r="X38" s="1265"/>
      <c r="Y38" s="347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74"/>
      <c r="Q39" s="1263" t="str">
        <f t="shared" ref="Q39:Q45" si="14">B39</f>
        <v>宗地形状</v>
      </c>
      <c r="R39" s="667" t="s">
        <v>14</v>
      </c>
      <c r="S39" s="668">
        <f t="shared" si="10"/>
        <v>100</v>
      </c>
      <c r="T39" s="667" t="s">
        <v>14</v>
      </c>
      <c r="U39" s="668">
        <f t="shared" si="11"/>
        <v>100</v>
      </c>
      <c r="V39" s="667" t="s">
        <v>14</v>
      </c>
      <c r="W39" s="668">
        <f t="shared" si="12"/>
        <v>100</v>
      </c>
      <c r="X39" s="1265"/>
      <c r="Y39" s="347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74"/>
      <c r="Q40" s="1263" t="str">
        <f t="shared" si="14"/>
        <v>临街宽度及深度</v>
      </c>
      <c r="R40" s="667" t="s">
        <v>14</v>
      </c>
      <c r="S40" s="668">
        <f t="shared" si="10"/>
        <v>100</v>
      </c>
      <c r="T40" s="667" t="s">
        <v>14</v>
      </c>
      <c r="U40" s="668">
        <f t="shared" si="11"/>
        <v>100</v>
      </c>
      <c r="V40" s="667" t="s">
        <v>14</v>
      </c>
      <c r="W40" s="668">
        <f t="shared" si="12"/>
        <v>100</v>
      </c>
      <c r="X40" s="1265"/>
      <c r="Y40" s="347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74"/>
      <c r="Q41" s="1263" t="str">
        <f t="shared" si="14"/>
        <v>宗地开发程度</v>
      </c>
      <c r="R41" s="664" t="s">
        <v>14</v>
      </c>
      <c r="S41" s="665">
        <f t="shared" si="10"/>
        <v>100</v>
      </c>
      <c r="T41" s="664" t="s">
        <v>14</v>
      </c>
      <c r="U41" s="665">
        <f t="shared" si="11"/>
        <v>100</v>
      </c>
      <c r="V41" s="664" t="s">
        <v>14</v>
      </c>
      <c r="W41" s="665">
        <f t="shared" si="12"/>
        <v>100</v>
      </c>
      <c r="X41" s="666"/>
      <c r="Y41" s="347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74" t="s">
        <v>1696</v>
      </c>
      <c r="Q42" s="1263" t="str">
        <f t="shared" si="14"/>
        <v>工程地质条件</v>
      </c>
      <c r="R42" s="667" t="s">
        <v>14</v>
      </c>
      <c r="S42" s="668">
        <f t="shared" si="10"/>
        <v>100</v>
      </c>
      <c r="T42" s="667" t="s">
        <v>14</v>
      </c>
      <c r="U42" s="668">
        <f t="shared" si="11"/>
        <v>100</v>
      </c>
      <c r="V42" s="667" t="s">
        <v>14</v>
      </c>
      <c r="W42" s="668">
        <f t="shared" si="12"/>
        <v>100</v>
      </c>
      <c r="X42" s="1265"/>
      <c r="Y42" s="347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74"/>
      <c r="Q43" s="1263">
        <f t="shared" si="14"/>
        <v>111</v>
      </c>
      <c r="R43" s="667" t="s">
        <v>14</v>
      </c>
      <c r="S43" s="668">
        <f t="shared" si="10"/>
        <v>100</v>
      </c>
      <c r="T43" s="667" t="s">
        <v>14</v>
      </c>
      <c r="U43" s="668">
        <f t="shared" si="11"/>
        <v>100</v>
      </c>
      <c r="V43" s="667" t="s">
        <v>14</v>
      </c>
      <c r="W43" s="668">
        <f t="shared" si="12"/>
        <v>100</v>
      </c>
      <c r="X43" s="1265"/>
      <c r="Y43" s="347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74"/>
      <c r="Q44" s="1263">
        <f t="shared" si="14"/>
        <v>111</v>
      </c>
      <c r="R44" s="667" t="s">
        <v>14</v>
      </c>
      <c r="S44" s="668">
        <f t="shared" si="10"/>
        <v>100</v>
      </c>
      <c r="T44" s="667" t="s">
        <v>14</v>
      </c>
      <c r="U44" s="668">
        <f t="shared" si="11"/>
        <v>100</v>
      </c>
      <c r="V44" s="667" t="s">
        <v>14</v>
      </c>
      <c r="W44" s="668">
        <f t="shared" si="12"/>
        <v>100</v>
      </c>
      <c r="X44" s="1265"/>
      <c r="Y44" s="347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74"/>
      <c r="Q45" s="1263">
        <f t="shared" si="14"/>
        <v>111</v>
      </c>
      <c r="R45" s="669" t="s">
        <v>14</v>
      </c>
      <c r="S45" s="670">
        <f t="shared" si="10"/>
        <v>100</v>
      </c>
      <c r="T45" s="669" t="s">
        <v>14</v>
      </c>
      <c r="U45" s="670">
        <f t="shared" si="11"/>
        <v>100</v>
      </c>
      <c r="V45" s="669" t="s">
        <v>14</v>
      </c>
      <c r="W45" s="670">
        <f t="shared" si="12"/>
        <v>100</v>
      </c>
      <c r="X45" s="671"/>
      <c r="Y45" s="347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68" t="str">
        <f>A46</f>
        <v>成交单价</v>
      </c>
      <c r="Q46" s="3468"/>
      <c r="R46" s="3463">
        <f>E46</f>
        <v>0</v>
      </c>
      <c r="S46" s="3463"/>
      <c r="T46" s="3463">
        <f>G46</f>
        <v>0</v>
      </c>
      <c r="U46" s="3463"/>
      <c r="V46" s="3463">
        <f>I46</f>
        <v>0</v>
      </c>
      <c r="W46" s="3463"/>
      <c r="X46" s="385"/>
      <c r="Y46" s="673"/>
      <c r="Z46" s="385"/>
      <c r="AA46" s="385"/>
      <c r="AB46" s="385"/>
      <c r="AC46" s="385"/>
    </row>
    <row r="47" spans="1:29" ht="15" thickBot="1">
      <c r="A47" s="423" t="s">
        <v>1793</v>
      </c>
      <c r="B47" s="603"/>
      <c r="C47" s="426" t="e">
        <f>R48</f>
        <v>#DIV/0!</v>
      </c>
      <c r="D47" s="2140" t="s">
        <v>2136</v>
      </c>
      <c r="E47" s="426" t="e">
        <f>R47</f>
        <v>#DIV/0!</v>
      </c>
      <c r="F47" s="2141"/>
      <c r="G47" s="425" t="e">
        <f>T47</f>
        <v>#DIV/0!</v>
      </c>
      <c r="H47" s="2141"/>
      <c r="I47" s="426" t="e">
        <f>V47</f>
        <v>#DIV/0!</v>
      </c>
      <c r="J47" s="2141"/>
      <c r="K47" s="2143">
        <f>F47+H47+J47</f>
        <v>0</v>
      </c>
      <c r="L47" s="2492"/>
      <c r="M47" s="2485"/>
      <c r="N47" s="2485"/>
      <c r="O47" s="2485"/>
      <c r="P47" s="3468" t="str">
        <f>A47</f>
        <v>比较价值（元/平方米）</v>
      </c>
      <c r="Q47" s="3468"/>
      <c r="R47" s="3495" t="e">
        <f>ROUND(PRODUCT(R46,AA7:AA45),0)</f>
        <v>#DIV/0!</v>
      </c>
      <c r="S47" s="3495"/>
      <c r="T47" s="3495" t="e">
        <f>ROUND(PRODUCT(T46,AB7:AB45),0)</f>
        <v>#DIV/0!</v>
      </c>
      <c r="U47" s="3495"/>
      <c r="V47" s="3495" t="e">
        <f>ROUND(PRODUCT(V46,AC7:AC45),0)</f>
        <v>#DIV/0!</v>
      </c>
      <c r="W47" s="349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65" t="str">
        <f>A48</f>
        <v>估价对象XX用房的比较价值（楼面单价，元/平方米）</v>
      </c>
      <c r="Q48" s="3466"/>
      <c r="R48" s="3496" t="e">
        <f>ROUND(IF(D47="简单平均",AVERAGE(R47:W47),R47*F47+T47*H47+V47*J47),0)</f>
        <v>#DIV/0!</v>
      </c>
      <c r="S48" s="3496"/>
      <c r="T48" s="3496"/>
      <c r="U48" s="3496"/>
      <c r="V48" s="3496"/>
      <c r="W48" s="349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51" t="s">
        <v>1887</v>
      </c>
      <c r="H55" s="3497"/>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81.709999999999994</v>
      </c>
      <c r="F56" s="833" t="e">
        <f t="shared" ref="F56:F64" si="15">ROUND(B56*E56/10000,0)</f>
        <v>#DIV/0!</v>
      </c>
      <c r="G56" s="3450"/>
      <c r="H56" s="346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九级</v>
      </c>
      <c r="I60" s="838">
        <f>SUMIF(修正!A59:A70,H60,修正!E59:E70)</f>
        <v>0.2</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九级</v>
      </c>
      <c r="I61" s="838">
        <f>SUMIF(修正!A59:A70,H61,修正!F59:F70)</f>
        <v>0.2</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v>
      </c>
      <c r="D64" s="891">
        <v>0.25</v>
      </c>
      <c r="E64" s="209">
        <f>'数据-汇总表'!E15</f>
        <v>0</v>
      </c>
      <c r="F64" s="833" t="e">
        <f t="shared" si="15"/>
        <v>#DIV/0!</v>
      </c>
      <c r="G64" s="1836" t="s">
        <v>1896</v>
      </c>
      <c r="H64" s="844" t="str">
        <f>项目基本情况!C37</f>
        <v>九级</v>
      </c>
      <c r="I64" s="840">
        <f>SUMIF(修正!A59:A70,H64,修正!G59:G70)</f>
        <v>0.1</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81.709999999999994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51" t="s">
        <v>1770</v>
      </c>
      <c r="D4" s="3452"/>
      <c r="E4" s="3453" t="s">
        <v>1771</v>
      </c>
      <c r="F4" s="3454"/>
      <c r="G4" s="3451" t="s">
        <v>1772</v>
      </c>
      <c r="H4" s="3452"/>
      <c r="I4" s="3451" t="s">
        <v>1773</v>
      </c>
      <c r="J4" s="3452"/>
      <c r="K4" s="537" t="s">
        <v>1774</v>
      </c>
      <c r="L4" s="2484"/>
      <c r="M4" s="2485"/>
      <c r="N4" s="2485"/>
      <c r="O4" s="2485"/>
      <c r="P4" s="3455" t="s">
        <v>1775</v>
      </c>
      <c r="Q4" s="3456"/>
      <c r="R4" s="3438" t="s">
        <v>1771</v>
      </c>
      <c r="S4" s="3439"/>
      <c r="T4" s="3438" t="s">
        <v>1772</v>
      </c>
      <c r="U4" s="3439"/>
      <c r="V4" s="3463" t="s">
        <v>1773</v>
      </c>
      <c r="W4" s="3463"/>
      <c r="X4" s="1265"/>
      <c r="Y4" s="3438" t="s">
        <v>1775</v>
      </c>
      <c r="Z4" s="3439"/>
      <c r="AA4" s="3433" t="s">
        <v>1771</v>
      </c>
      <c r="AB4" s="3434" t="s">
        <v>1772</v>
      </c>
      <c r="AC4" s="3433" t="s">
        <v>1773</v>
      </c>
    </row>
    <row r="5" spans="1:29">
      <c r="A5" s="348"/>
      <c r="B5" s="349"/>
      <c r="C5" s="3444" t="s">
        <v>1673</v>
      </c>
      <c r="D5" s="3445"/>
      <c r="E5" s="3442" t="s">
        <v>1674</v>
      </c>
      <c r="F5" s="3443"/>
      <c r="G5" s="3444" t="s">
        <v>1675</v>
      </c>
      <c r="H5" s="3445"/>
      <c r="I5" s="3444" t="s">
        <v>1676</v>
      </c>
      <c r="J5" s="3445"/>
      <c r="K5" s="537"/>
      <c r="L5" s="2484"/>
      <c r="M5" s="2485"/>
      <c r="N5" s="2485"/>
      <c r="O5" s="2485"/>
      <c r="P5" s="3457"/>
      <c r="Q5" s="3458"/>
      <c r="R5" s="3440"/>
      <c r="S5" s="3441"/>
      <c r="T5" s="3440"/>
      <c r="U5" s="3441"/>
      <c r="V5" s="3463"/>
      <c r="W5" s="3463"/>
      <c r="X5" s="1265"/>
      <c r="Y5" s="3440"/>
      <c r="Z5" s="3441"/>
      <c r="AA5" s="3434"/>
      <c r="AB5" s="3434"/>
      <c r="AC5" s="3434"/>
    </row>
    <row r="6" spans="1:29" ht="15" thickBot="1">
      <c r="A6" s="350"/>
      <c r="B6" s="351"/>
      <c r="C6" s="3498" t="s">
        <v>1919</v>
      </c>
      <c r="D6" s="3499"/>
      <c r="E6" s="3500" t="s">
        <v>1919</v>
      </c>
      <c r="F6" s="3501"/>
      <c r="G6" s="3498" t="s">
        <v>1919</v>
      </c>
      <c r="H6" s="3499"/>
      <c r="I6" s="3498" t="s">
        <v>1919</v>
      </c>
      <c r="J6" s="3499"/>
      <c r="K6" s="537" t="s">
        <v>1678</v>
      </c>
      <c r="L6" s="2484"/>
      <c r="M6" s="2485"/>
      <c r="N6" s="2485"/>
      <c r="O6" s="2485"/>
      <c r="P6" s="3459"/>
      <c r="Q6" s="3460"/>
      <c r="R6" s="3440"/>
      <c r="S6" s="3441"/>
      <c r="T6" s="3461"/>
      <c r="U6" s="3462"/>
      <c r="V6" s="3463"/>
      <c r="W6" s="3463"/>
      <c r="X6" s="1265"/>
      <c r="Y6" s="3461"/>
      <c r="Z6" s="3462"/>
      <c r="AA6" s="3435"/>
      <c r="AB6" s="3435"/>
      <c r="AC6" s="3435"/>
    </row>
    <row r="7" spans="1:29" s="102" customFormat="1" ht="15" thickBot="1">
      <c r="A7" s="352" t="s">
        <v>1679</v>
      </c>
      <c r="B7" s="353"/>
      <c r="C7" s="354">
        <f>'数据-取费表'!B2</f>
        <v>45875</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36" t="s">
        <v>1680</v>
      </c>
      <c r="Q7" s="3464"/>
      <c r="R7" s="664" t="s">
        <v>14</v>
      </c>
      <c r="S7" s="665">
        <f t="shared" ref="S7:S15" si="0">F7</f>
        <v>0</v>
      </c>
      <c r="T7" s="664" t="s">
        <v>14</v>
      </c>
      <c r="U7" s="665">
        <f t="shared" ref="U7:U15" si="1">H7</f>
        <v>0</v>
      </c>
      <c r="V7" s="664" t="s">
        <v>14</v>
      </c>
      <c r="W7" s="665">
        <f t="shared" ref="W7:W15" si="2">J7</f>
        <v>0</v>
      </c>
      <c r="X7" s="666"/>
      <c r="Y7" s="3436" t="s">
        <v>1680</v>
      </c>
      <c r="Z7" s="343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36" t="s">
        <v>1683</v>
      </c>
      <c r="Q8" s="3437"/>
      <c r="R8" s="664" t="s">
        <v>14</v>
      </c>
      <c r="S8" s="665">
        <f t="shared" si="0"/>
        <v>0</v>
      </c>
      <c r="T8" s="664" t="s">
        <v>14</v>
      </c>
      <c r="U8" s="665">
        <f t="shared" si="1"/>
        <v>0</v>
      </c>
      <c r="V8" s="664" t="s">
        <v>14</v>
      </c>
      <c r="W8" s="665">
        <f t="shared" si="2"/>
        <v>0</v>
      </c>
      <c r="X8" s="666"/>
      <c r="Y8" s="3436" t="s">
        <v>1683</v>
      </c>
      <c r="Z8" s="343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68"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109</v>
      </c>
      <c r="G10" s="371"/>
      <c r="H10" s="119">
        <f>ROUND(100/'数据-取费表'!G16,0)</f>
        <v>109</v>
      </c>
      <c r="I10" s="371"/>
      <c r="J10" s="119">
        <f>ROUND(100/'数据-取费表'!G16,0)</f>
        <v>109</v>
      </c>
      <c r="K10" s="592"/>
      <c r="L10" s="2487"/>
      <c r="M10" s="2488"/>
      <c r="N10" s="2488"/>
      <c r="O10" s="2539"/>
      <c r="P10" s="3468"/>
      <c r="Q10" s="530" t="str">
        <f t="shared" si="6"/>
        <v>土地使用年限（年）</v>
      </c>
      <c r="R10" s="664" t="s">
        <v>14</v>
      </c>
      <c r="S10" s="665">
        <f t="shared" si="0"/>
        <v>109</v>
      </c>
      <c r="T10" s="664" t="s">
        <v>14</v>
      </c>
      <c r="U10" s="665">
        <f t="shared" si="1"/>
        <v>109</v>
      </c>
      <c r="V10" s="664" t="s">
        <v>14</v>
      </c>
      <c r="W10" s="665">
        <f t="shared" si="2"/>
        <v>109</v>
      </c>
      <c r="X10" s="666"/>
      <c r="Y10" s="3361"/>
      <c r="Z10" s="50" t="str">
        <f t="shared" si="7"/>
        <v>土地使用年限（年）</v>
      </c>
      <c r="AA10" s="50">
        <f t="shared" si="3"/>
        <v>0.91743119266055051</v>
      </c>
      <c r="AB10" s="50">
        <f t="shared" si="4"/>
        <v>0.91743119266055051</v>
      </c>
      <c r="AC10" s="50">
        <f t="shared" si="5"/>
        <v>0.91743119266055051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68"/>
      <c r="Q11" s="530" t="str">
        <f t="shared" si="6"/>
        <v>容积率</v>
      </c>
      <c r="R11" s="664" t="s">
        <v>14</v>
      </c>
      <c r="S11" s="665" t="e">
        <f t="shared" si="0"/>
        <v>#N/A</v>
      </c>
      <c r="T11" s="664" t="s">
        <v>14</v>
      </c>
      <c r="U11" s="665" t="e">
        <f t="shared" si="1"/>
        <v>#N/A</v>
      </c>
      <c r="V11" s="664" t="s">
        <v>14</v>
      </c>
      <c r="W11" s="665" t="e">
        <f t="shared" si="2"/>
        <v>#N/A</v>
      </c>
      <c r="X11" s="666"/>
      <c r="Y11" s="336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68"/>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68"/>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68"/>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69" t="s">
        <v>1691</v>
      </c>
      <c r="Q15" s="1263" t="str">
        <f t="shared" si="6"/>
        <v>产业集聚程度</v>
      </c>
      <c r="R15" s="667" t="s">
        <v>14</v>
      </c>
      <c r="S15" s="668">
        <f t="shared" si="0"/>
        <v>100</v>
      </c>
      <c r="T15" s="667" t="s">
        <v>14</v>
      </c>
      <c r="U15" s="668">
        <f t="shared" si="1"/>
        <v>100</v>
      </c>
      <c r="V15" s="667" t="s">
        <v>14</v>
      </c>
      <c r="W15" s="668">
        <f t="shared" si="2"/>
        <v>100</v>
      </c>
      <c r="X15" s="1265"/>
      <c r="Y15" s="346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70"/>
      <c r="Q16" s="1263"/>
      <c r="R16" s="667"/>
      <c r="S16" s="668"/>
      <c r="T16" s="667"/>
      <c r="U16" s="668"/>
      <c r="V16" s="667"/>
      <c r="W16" s="668"/>
      <c r="X16" s="1265"/>
      <c r="Y16" s="347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70"/>
      <c r="Q17" s="1263" t="str">
        <f>B17</f>
        <v>交通便捷度</v>
      </c>
      <c r="R17" s="667" t="s">
        <v>14</v>
      </c>
      <c r="S17" s="668">
        <f>F17</f>
        <v>100</v>
      </c>
      <c r="T17" s="667" t="s">
        <v>14</v>
      </c>
      <c r="U17" s="668">
        <f>H17</f>
        <v>100</v>
      </c>
      <c r="V17" s="667" t="s">
        <v>14</v>
      </c>
      <c r="W17" s="668">
        <f>J17</f>
        <v>100</v>
      </c>
      <c r="X17" s="1265"/>
      <c r="Y17" s="347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70"/>
      <c r="Q18" s="1263"/>
      <c r="R18" s="667"/>
      <c r="S18" s="668"/>
      <c r="T18" s="667"/>
      <c r="U18" s="668"/>
      <c r="V18" s="667"/>
      <c r="W18" s="668"/>
      <c r="X18" s="1265"/>
      <c r="Y18" s="347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70"/>
      <c r="Q19" s="1263" t="str">
        <f t="shared" ref="Q19:Q33" si="8">B19</f>
        <v>区域土地利用方向</v>
      </c>
      <c r="R19" s="667" t="s">
        <v>14</v>
      </c>
      <c r="S19" s="668">
        <f>F19</f>
        <v>100</v>
      </c>
      <c r="T19" s="667" t="s">
        <v>14</v>
      </c>
      <c r="U19" s="668">
        <f>H19</f>
        <v>100</v>
      </c>
      <c r="V19" s="667" t="s">
        <v>14</v>
      </c>
      <c r="W19" s="668">
        <f>J19</f>
        <v>100</v>
      </c>
      <c r="X19" s="1265"/>
      <c r="Y19" s="347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70"/>
      <c r="Q20" s="1263"/>
      <c r="R20" s="667"/>
      <c r="S20" s="668"/>
      <c r="T20" s="667"/>
      <c r="U20" s="668"/>
      <c r="V20" s="667"/>
      <c r="W20" s="668"/>
      <c r="X20" s="1265"/>
      <c r="Y20" s="347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70"/>
      <c r="Q21" s="1263" t="str">
        <f t="shared" si="8"/>
        <v>环境状况</v>
      </c>
      <c r="R21" s="667" t="s">
        <v>14</v>
      </c>
      <c r="S21" s="668">
        <f>F21</f>
        <v>100</v>
      </c>
      <c r="T21" s="667" t="s">
        <v>14</v>
      </c>
      <c r="U21" s="668">
        <f>H21</f>
        <v>100</v>
      </c>
      <c r="V21" s="667" t="s">
        <v>14</v>
      </c>
      <c r="W21" s="668">
        <f>J21</f>
        <v>100</v>
      </c>
      <c r="X21" s="1265"/>
      <c r="Y21" s="347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70"/>
      <c r="Q22" s="1263"/>
      <c r="R22" s="667"/>
      <c r="S22" s="668"/>
      <c r="T22" s="667"/>
      <c r="U22" s="668"/>
      <c r="V22" s="667"/>
      <c r="W22" s="668"/>
      <c r="X22" s="1265"/>
      <c r="Y22" s="347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70"/>
      <c r="Q23" s="530" t="str">
        <f t="shared" si="8"/>
        <v>公共配套设施</v>
      </c>
      <c r="R23" s="664" t="s">
        <v>14</v>
      </c>
      <c r="S23" s="665">
        <f>F23</f>
        <v>100</v>
      </c>
      <c r="T23" s="664" t="s">
        <v>14</v>
      </c>
      <c r="U23" s="665">
        <f>H23</f>
        <v>100</v>
      </c>
      <c r="V23" s="664" t="s">
        <v>14</v>
      </c>
      <c r="W23" s="665">
        <f>J23</f>
        <v>100</v>
      </c>
      <c r="X23" s="666"/>
      <c r="Y23" s="347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70"/>
      <c r="Q24" s="530"/>
      <c r="R24" s="664"/>
      <c r="S24" s="665"/>
      <c r="T24" s="664"/>
      <c r="U24" s="665"/>
      <c r="V24" s="664"/>
      <c r="W24" s="665"/>
      <c r="X24" s="666"/>
      <c r="Y24" s="347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70"/>
      <c r="Q25" s="530" t="str">
        <f t="shared" ref="Q25" si="9">B25</f>
        <v>基础设施水平</v>
      </c>
      <c r="R25" s="664" t="s">
        <v>14</v>
      </c>
      <c r="S25" s="665">
        <f>F25</f>
        <v>100</v>
      </c>
      <c r="T25" s="664" t="s">
        <v>14</v>
      </c>
      <c r="U25" s="665">
        <f>H25</f>
        <v>100</v>
      </c>
      <c r="V25" s="664" t="s">
        <v>14</v>
      </c>
      <c r="W25" s="665">
        <f>J25</f>
        <v>100</v>
      </c>
      <c r="X25" s="666"/>
      <c r="Y25" s="347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70"/>
      <c r="Q26" s="530"/>
      <c r="R26" s="664"/>
      <c r="S26" s="665"/>
      <c r="T26" s="664"/>
      <c r="U26" s="665"/>
      <c r="V26" s="664"/>
      <c r="W26" s="665"/>
      <c r="X26" s="666"/>
      <c r="Y26" s="347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7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7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70"/>
      <c r="Q28" s="1263" t="str">
        <f t="shared" si="8"/>
        <v>毗邻道路的类型与等级</v>
      </c>
      <c r="R28" s="667" t="s">
        <v>14</v>
      </c>
      <c r="S28" s="668">
        <f t="shared" si="10"/>
        <v>100</v>
      </c>
      <c r="T28" s="667" t="s">
        <v>14</v>
      </c>
      <c r="U28" s="668">
        <f t="shared" si="11"/>
        <v>100</v>
      </c>
      <c r="V28" s="667" t="s">
        <v>14</v>
      </c>
      <c r="W28" s="668">
        <f t="shared" si="12"/>
        <v>100</v>
      </c>
      <c r="X28" s="1265"/>
      <c r="Y28" s="347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70"/>
      <c r="Q29" s="1263"/>
      <c r="R29" s="667"/>
      <c r="S29" s="668"/>
      <c r="T29" s="667"/>
      <c r="U29" s="668"/>
      <c r="V29" s="667"/>
      <c r="W29" s="668"/>
      <c r="X29" s="1265"/>
      <c r="Y29" s="347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70"/>
      <c r="Q30" s="1263" t="str">
        <f t="shared" si="8"/>
        <v>土地级别</v>
      </c>
      <c r="R30" s="667" t="s">
        <v>14</v>
      </c>
      <c r="S30" s="668">
        <f t="shared" si="10"/>
        <v>100</v>
      </c>
      <c r="T30" s="667" t="s">
        <v>14</v>
      </c>
      <c r="U30" s="668">
        <f t="shared" si="11"/>
        <v>100</v>
      </c>
      <c r="V30" s="667" t="s">
        <v>14</v>
      </c>
      <c r="W30" s="668">
        <f t="shared" si="12"/>
        <v>100</v>
      </c>
      <c r="X30" s="1265"/>
      <c r="Y30" s="347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70"/>
      <c r="Q31" s="1263">
        <f t="shared" si="8"/>
        <v>111</v>
      </c>
      <c r="R31" s="667" t="s">
        <v>14</v>
      </c>
      <c r="S31" s="668">
        <f t="shared" si="10"/>
        <v>100</v>
      </c>
      <c r="T31" s="667" t="s">
        <v>14</v>
      </c>
      <c r="U31" s="668">
        <f t="shared" si="11"/>
        <v>100</v>
      </c>
      <c r="V31" s="667" t="s">
        <v>14</v>
      </c>
      <c r="W31" s="668">
        <f t="shared" si="12"/>
        <v>100</v>
      </c>
      <c r="X31" s="1265"/>
      <c r="Y31" s="347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93" t="s">
        <v>1696</v>
      </c>
      <c r="Q32" s="1263">
        <f t="shared" si="8"/>
        <v>111</v>
      </c>
      <c r="R32" s="667" t="s">
        <v>14</v>
      </c>
      <c r="S32" s="668">
        <f t="shared" si="10"/>
        <v>100</v>
      </c>
      <c r="T32" s="667" t="s">
        <v>14</v>
      </c>
      <c r="U32" s="668">
        <f t="shared" si="11"/>
        <v>100</v>
      </c>
      <c r="V32" s="667" t="s">
        <v>14</v>
      </c>
      <c r="W32" s="668">
        <f t="shared" si="12"/>
        <v>100</v>
      </c>
      <c r="X32" s="1265"/>
      <c r="Y32" s="347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74"/>
      <c r="Q33" s="1263">
        <f t="shared" si="8"/>
        <v>111</v>
      </c>
      <c r="R33" s="669" t="s">
        <v>14</v>
      </c>
      <c r="S33" s="670">
        <f t="shared" si="10"/>
        <v>100</v>
      </c>
      <c r="T33" s="669" t="s">
        <v>14</v>
      </c>
      <c r="U33" s="670">
        <f t="shared" si="11"/>
        <v>100</v>
      </c>
      <c r="V33" s="669" t="s">
        <v>14</v>
      </c>
      <c r="W33" s="670">
        <f t="shared" si="12"/>
        <v>100</v>
      </c>
      <c r="X33" s="671"/>
      <c r="Y33" s="347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74"/>
      <c r="Q34" s="1263" t="str">
        <f>B34</f>
        <v>宗地面积</v>
      </c>
      <c r="R34" s="667" t="s">
        <v>14</v>
      </c>
      <c r="S34" s="668" t="e">
        <f t="shared" si="10"/>
        <v>#N/A</v>
      </c>
      <c r="T34" s="667" t="s">
        <v>14</v>
      </c>
      <c r="U34" s="668" t="e">
        <f t="shared" si="11"/>
        <v>#N/A</v>
      </c>
      <c r="V34" s="667" t="s">
        <v>14</v>
      </c>
      <c r="W34" s="668" t="e">
        <f t="shared" si="12"/>
        <v>#N/A</v>
      </c>
      <c r="X34" s="1265"/>
      <c r="Y34" s="347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74"/>
      <c r="Q35" s="1263" t="str">
        <f t="shared" ref="Q35:Q40" si="14">B35</f>
        <v>宗地形状</v>
      </c>
      <c r="R35" s="667" t="s">
        <v>14</v>
      </c>
      <c r="S35" s="668">
        <f t="shared" si="10"/>
        <v>100</v>
      </c>
      <c r="T35" s="667" t="s">
        <v>14</v>
      </c>
      <c r="U35" s="668">
        <f t="shared" si="11"/>
        <v>100</v>
      </c>
      <c r="V35" s="667" t="s">
        <v>14</v>
      </c>
      <c r="W35" s="668">
        <f t="shared" si="12"/>
        <v>100</v>
      </c>
      <c r="X35" s="1265"/>
      <c r="Y35" s="347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74"/>
      <c r="Q36" s="1263" t="str">
        <f t="shared" si="14"/>
        <v>宗地开发程度</v>
      </c>
      <c r="R36" s="664" t="s">
        <v>14</v>
      </c>
      <c r="S36" s="665">
        <f t="shared" si="10"/>
        <v>100</v>
      </c>
      <c r="T36" s="664" t="s">
        <v>14</v>
      </c>
      <c r="U36" s="665">
        <f t="shared" si="11"/>
        <v>100</v>
      </c>
      <c r="V36" s="664" t="s">
        <v>14</v>
      </c>
      <c r="W36" s="665">
        <f t="shared" si="12"/>
        <v>100</v>
      </c>
      <c r="X36" s="666"/>
      <c r="Y36" s="347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74" t="s">
        <v>1696</v>
      </c>
      <c r="Q37" s="1263" t="str">
        <f t="shared" si="14"/>
        <v>工程地质条件</v>
      </c>
      <c r="R37" s="667" t="s">
        <v>14</v>
      </c>
      <c r="S37" s="668">
        <f t="shared" si="10"/>
        <v>100</v>
      </c>
      <c r="T37" s="667" t="s">
        <v>14</v>
      </c>
      <c r="U37" s="668">
        <f t="shared" si="11"/>
        <v>100</v>
      </c>
      <c r="V37" s="667" t="s">
        <v>14</v>
      </c>
      <c r="W37" s="668">
        <f t="shared" si="12"/>
        <v>100</v>
      </c>
      <c r="X37" s="1265"/>
      <c r="Y37" s="347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74"/>
      <c r="Q38" s="1263">
        <f t="shared" si="14"/>
        <v>111</v>
      </c>
      <c r="R38" s="667" t="s">
        <v>14</v>
      </c>
      <c r="S38" s="668">
        <f t="shared" si="10"/>
        <v>100</v>
      </c>
      <c r="T38" s="667" t="s">
        <v>14</v>
      </c>
      <c r="U38" s="668">
        <f t="shared" si="11"/>
        <v>100</v>
      </c>
      <c r="V38" s="667" t="s">
        <v>14</v>
      </c>
      <c r="W38" s="668">
        <f t="shared" si="12"/>
        <v>100</v>
      </c>
      <c r="X38" s="1265"/>
      <c r="Y38" s="347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74"/>
      <c r="Q39" s="1263">
        <f t="shared" si="14"/>
        <v>111</v>
      </c>
      <c r="R39" s="667" t="s">
        <v>14</v>
      </c>
      <c r="S39" s="668">
        <f t="shared" si="10"/>
        <v>100</v>
      </c>
      <c r="T39" s="667" t="s">
        <v>14</v>
      </c>
      <c r="U39" s="668">
        <f t="shared" si="11"/>
        <v>100</v>
      </c>
      <c r="V39" s="667" t="s">
        <v>14</v>
      </c>
      <c r="W39" s="668">
        <f t="shared" si="12"/>
        <v>100</v>
      </c>
      <c r="X39" s="1265"/>
      <c r="Y39" s="347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74"/>
      <c r="Q40" s="1263">
        <f t="shared" si="14"/>
        <v>111</v>
      </c>
      <c r="R40" s="669" t="s">
        <v>14</v>
      </c>
      <c r="S40" s="670">
        <f t="shared" si="10"/>
        <v>100</v>
      </c>
      <c r="T40" s="669" t="s">
        <v>14</v>
      </c>
      <c r="U40" s="670">
        <f t="shared" si="11"/>
        <v>100</v>
      </c>
      <c r="V40" s="669" t="s">
        <v>14</v>
      </c>
      <c r="W40" s="670">
        <f t="shared" si="12"/>
        <v>100</v>
      </c>
      <c r="X40" s="671"/>
      <c r="Y40" s="347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68" t="str">
        <f>A41</f>
        <v>成交单价</v>
      </c>
      <c r="Q41" s="3468"/>
      <c r="R41" s="3463">
        <f>E41</f>
        <v>0</v>
      </c>
      <c r="S41" s="3463"/>
      <c r="T41" s="3463">
        <f>G41</f>
        <v>0</v>
      </c>
      <c r="U41" s="3463"/>
      <c r="V41" s="3463">
        <f>I41</f>
        <v>0</v>
      </c>
      <c r="W41" s="3463"/>
      <c r="X41" s="385"/>
      <c r="Y41" s="673"/>
      <c r="Z41" s="385"/>
      <c r="AA41" s="385"/>
      <c r="AB41" s="385"/>
      <c r="AC41" s="385"/>
    </row>
    <row r="42" spans="1:31" ht="15" thickBot="1">
      <c r="A42" s="423" t="s">
        <v>1793</v>
      </c>
      <c r="B42" s="603"/>
      <c r="C42" s="426" t="e">
        <f>R43</f>
        <v>#DIV/0!</v>
      </c>
      <c r="D42" s="2140" t="s">
        <v>2136</v>
      </c>
      <c r="E42" s="426" t="e">
        <f>R42</f>
        <v>#DIV/0!</v>
      </c>
      <c r="F42" s="2141"/>
      <c r="G42" s="425" t="e">
        <f>T42</f>
        <v>#DIV/0!</v>
      </c>
      <c r="H42" s="2141"/>
      <c r="I42" s="426" t="e">
        <f>V42</f>
        <v>#DIV/0!</v>
      </c>
      <c r="J42" s="2141"/>
      <c r="K42" s="2143">
        <f>F42+H42+J42</f>
        <v>0</v>
      </c>
      <c r="L42" s="2492"/>
      <c r="M42" s="2485"/>
      <c r="N42" s="2485"/>
      <c r="O42" s="2485"/>
      <c r="P42" s="3468" t="str">
        <f>A42</f>
        <v>比较价值（元/平方米）</v>
      </c>
      <c r="Q42" s="3468"/>
      <c r="R42" s="3495" t="e">
        <f>ROUND(PRODUCT(R41,AA7:AA40),0)</f>
        <v>#DIV/0!</v>
      </c>
      <c r="S42" s="3495"/>
      <c r="T42" s="3495" t="e">
        <f>ROUND(PRODUCT(T41,AB7:AB40),0)</f>
        <v>#DIV/0!</v>
      </c>
      <c r="U42" s="3495"/>
      <c r="V42" s="3495" t="e">
        <f>ROUND(PRODUCT(V41,AC7:AC40),0)</f>
        <v>#DIV/0!</v>
      </c>
      <c r="W42" s="349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65" t="str">
        <f>A43</f>
        <v>估价对象XX用房的比较价值（楼面单价，元/平方米）</v>
      </c>
      <c r="Q43" s="3466"/>
      <c r="R43" s="3496" t="e">
        <f>ROUND(IF(D42="简单平均",AVERAGE(R42:W42),R42*F42+T42*H42+V42*J42),0)</f>
        <v>#DIV/0!</v>
      </c>
      <c r="S43" s="3496"/>
      <c r="T43" s="3496"/>
      <c r="U43" s="3496"/>
      <c r="V43" s="3496"/>
      <c r="W43" s="349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51" t="s">
        <v>1887</v>
      </c>
      <c r="H50" s="3497"/>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81.709999999999994</v>
      </c>
      <c r="F51" s="611" t="e">
        <f t="shared" ref="F51:F60" si="15">ROUND(B51*E51/10000,0)</f>
        <v>#DIV/0!</v>
      </c>
      <c r="G51" s="3450"/>
      <c r="H51" s="346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九级</v>
      </c>
      <c r="I56" s="727">
        <f>SUMIF(修正!A59:A70,H56,修正!E59:E70)</f>
        <v>0.2</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九级</v>
      </c>
      <c r="I57" s="727">
        <f>SUMIF(修正!A59:A70,H57,修正!F59:F70)</f>
        <v>0.2</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v>
      </c>
      <c r="D60" s="891">
        <v>0.25</v>
      </c>
      <c r="E60" s="209">
        <f>'数据-汇总表'!E15</f>
        <v>0</v>
      </c>
      <c r="F60" s="611" t="e">
        <f t="shared" si="15"/>
        <v>#DIV/0!</v>
      </c>
      <c r="G60" s="1836" t="s">
        <v>1896</v>
      </c>
      <c r="H60" s="844" t="str">
        <f>项目基本情况!C37</f>
        <v>九级</v>
      </c>
      <c r="I60" s="727">
        <f>SUMIF(修正!A59:A70,H60,修正!G59:G70)</f>
        <v>0.1</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opLeftCell="J1" zoomScale="70" zoomScaleNormal="70" workbookViewId="0">
      <pane ySplit="24" topLeftCell="A25" activePane="bottomLeft" state="frozen"/>
      <selection activeCell="C50" sqref="C50"/>
      <selection pane="bottomLeft" activeCell="X180" sqref="T24:X180"/>
    </sheetView>
  </sheetViews>
  <sheetFormatPr defaultColWidth="9" defaultRowHeight="13.2"/>
  <cols>
    <col min="1" max="1" width="11.44140625" style="122" customWidth="1"/>
    <col min="2" max="2" width="11.88671875" style="24" customWidth="1"/>
    <col min="3" max="3" width="8.109375" style="24" customWidth="1"/>
    <col min="4" max="4" width="9" style="24"/>
    <col min="5" max="5" width="8.2187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16" style="122" customWidth="1"/>
    <col min="20" max="20" width="12.109375" style="684" customWidth="1"/>
    <col min="21" max="21" width="9" style="684"/>
    <col min="22" max="22" width="10.44140625" style="684" customWidth="1"/>
    <col min="23" max="23" width="9" style="684"/>
    <col min="24" max="24" width="15.21875" style="684" customWidth="1"/>
    <col min="25" max="29" width="9" style="684"/>
    <col min="30" max="30" width="21.109375" style="684" customWidth="1"/>
    <col min="31" max="32" width="9" style="684"/>
    <col min="33" max="33" width="10.88671875" style="684" customWidth="1"/>
    <col min="34" max="35" width="9" style="684"/>
    <col min="36" max="36" width="14.88671875" style="684" customWidth="1"/>
    <col min="37" max="45" width="9" style="684"/>
    <col min="46" max="16384" width="9" style="122"/>
  </cols>
  <sheetData>
    <row r="1" spans="1:45" ht="14.25" customHeight="1" thickBot="1">
      <c r="A1" s="138"/>
      <c r="B1" s="929" t="s">
        <v>2083</v>
      </c>
      <c r="C1" s="3505" t="s">
        <v>2084</v>
      </c>
      <c r="D1" s="3506"/>
      <c r="E1" s="3506"/>
      <c r="F1" s="3506"/>
      <c r="G1" s="3506"/>
      <c r="H1" s="3506"/>
      <c r="I1" s="3506"/>
      <c r="J1" s="3506"/>
      <c r="K1" s="3506"/>
      <c r="L1" s="3506"/>
      <c r="M1" s="3506"/>
      <c r="N1" s="3506"/>
      <c r="O1" s="3506"/>
      <c r="P1" s="3506"/>
      <c r="Q1" s="3506"/>
      <c r="R1" s="3506"/>
      <c r="S1" s="3507"/>
      <c r="T1" s="929" t="s">
        <v>2085</v>
      </c>
    </row>
    <row r="2" spans="1:45" s="625" customFormat="1" ht="26.4">
      <c r="A2" s="930"/>
      <c r="B2" s="622" t="s">
        <v>2086</v>
      </c>
      <c r="C2" s="14" t="str">
        <f t="shared" ref="C2:L2" si="0">C3&amp;"(含)"&amp;"-"&amp;D3</f>
        <v>0(含)-100</v>
      </c>
      <c r="D2" s="623" t="str">
        <f t="shared" si="0"/>
        <v>100(含)-200</v>
      </c>
      <c r="E2" s="623" t="str">
        <f t="shared" si="0"/>
        <v>200(含)-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200</v>
      </c>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D4-1</f>
        <v>98</v>
      </c>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4">
      <c r="A5" s="925"/>
      <c r="B5" s="3183" t="s">
        <v>3972</v>
      </c>
      <c r="C5" s="3184" t="s">
        <v>3973</v>
      </c>
      <c r="D5" s="3185" t="s">
        <v>3974</v>
      </c>
      <c r="E5" s="3185" t="s">
        <v>3975</v>
      </c>
      <c r="F5" s="1227"/>
      <c r="G5" s="1227"/>
      <c r="H5" s="1227"/>
      <c r="I5" s="1227"/>
      <c r="J5" s="1227"/>
      <c r="K5" s="1227"/>
      <c r="L5" s="1228"/>
      <c r="M5" s="1229"/>
      <c r="N5" s="1229"/>
      <c r="O5" s="1227"/>
      <c r="P5" s="1227"/>
      <c r="Q5" s="1227"/>
      <c r="R5" s="1227"/>
      <c r="S5" s="1230"/>
      <c r="T5" s="943">
        <v>1</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99</v>
      </c>
      <c r="E6" s="849">
        <f t="shared" ref="E6:S6" si="7">D6-$T5</f>
        <v>98</v>
      </c>
      <c r="F6" s="1231">
        <f t="shared" si="7"/>
        <v>97</v>
      </c>
      <c r="G6" s="1231">
        <f t="shared" si="7"/>
        <v>96</v>
      </c>
      <c r="H6" s="1231">
        <f t="shared" si="7"/>
        <v>95</v>
      </c>
      <c r="I6" s="1231">
        <f t="shared" si="7"/>
        <v>94</v>
      </c>
      <c r="J6" s="1231">
        <f t="shared" si="7"/>
        <v>93</v>
      </c>
      <c r="K6" s="1231">
        <f t="shared" si="7"/>
        <v>92</v>
      </c>
      <c r="L6" s="1231">
        <f t="shared" si="7"/>
        <v>91</v>
      </c>
      <c r="M6" s="1231">
        <f t="shared" si="7"/>
        <v>90</v>
      </c>
      <c r="N6" s="1231">
        <f t="shared" si="7"/>
        <v>89</v>
      </c>
      <c r="O6" s="1231">
        <f t="shared" si="7"/>
        <v>88</v>
      </c>
      <c r="P6" s="1231">
        <f t="shared" si="7"/>
        <v>87</v>
      </c>
      <c r="Q6" s="1231">
        <f t="shared" si="7"/>
        <v>86</v>
      </c>
      <c r="R6" s="1231">
        <f t="shared" si="7"/>
        <v>85</v>
      </c>
      <c r="S6" s="1231">
        <f t="shared" si="7"/>
        <v>84</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3540"/>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3540"/>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3540"/>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3540"/>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3540"/>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3540"/>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2" thickBot="1">
      <c r="A20" s="632" t="s">
        <v>2095</v>
      </c>
      <c r="B20" s="286">
        <f ca="1">IF(D20="——",S22,S22-F20)</f>
        <v>11489.858200000001</v>
      </c>
      <c r="C20" s="151"/>
      <c r="D20" s="1989" t="s">
        <v>43</v>
      </c>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c r="T20" s="3187"/>
      <c r="U20" s="3188" t="s">
        <v>3976</v>
      </c>
    </row>
    <row r="21" spans="1:45" ht="16.2" thickBot="1">
      <c r="A21" s="632" t="s">
        <v>2097</v>
      </c>
      <c r="B21" s="286">
        <f ca="1">ROUND(B20*10000/B22,0)</f>
        <v>9546</v>
      </c>
      <c r="C21" s="151"/>
      <c r="D21" s="151"/>
      <c r="E21" s="151"/>
      <c r="F21" s="151"/>
      <c r="G21" s="151"/>
      <c r="H21" s="151"/>
      <c r="I21" s="151"/>
      <c r="J21" s="151"/>
      <c r="K21" s="151"/>
      <c r="L21" s="151"/>
      <c r="M21" s="151"/>
      <c r="N21" s="151"/>
      <c r="O21" s="151"/>
      <c r="P21" s="151"/>
      <c r="Q21" s="151"/>
      <c r="R21" s="151"/>
      <c r="S21" s="121"/>
      <c r="AB21" s="687" t="s">
        <v>4000</v>
      </c>
      <c r="AC21" s="3541" t="s">
        <v>3998</v>
      </c>
      <c r="AD21" s="3542">
        <f ca="1">S22</f>
        <v>11489.858200000001</v>
      </c>
      <c r="AE21" s="687">
        <v>203</v>
      </c>
      <c r="AF21" s="3541" t="s">
        <v>3998</v>
      </c>
      <c r="AG21" s="3545">
        <f ca="1">S24</f>
        <v>77.240499999999997</v>
      </c>
      <c r="AH21" s="684" t="s">
        <v>3997</v>
      </c>
      <c r="AI21" s="3547" t="s">
        <v>3998</v>
      </c>
      <c r="AJ21" s="3548">
        <f ca="1">AD21-AG21</f>
        <v>11412.617700000001</v>
      </c>
    </row>
    <row r="22" spans="1:45" ht="13.8" thickBot="1">
      <c r="A22" s="308" t="s">
        <v>2098</v>
      </c>
      <c r="B22" s="21">
        <f>SUM(B24:B10000)</f>
        <v>12035.710000000005</v>
      </c>
      <c r="C22" s="3502" t="s">
        <v>27</v>
      </c>
      <c r="D22" s="3503"/>
      <c r="E22" s="3503"/>
      <c r="F22" s="3503"/>
      <c r="G22" s="3503"/>
      <c r="H22" s="3503"/>
      <c r="I22" s="3503"/>
      <c r="J22" s="3503"/>
      <c r="K22" s="3503"/>
      <c r="L22" s="3503"/>
      <c r="M22" s="3503"/>
      <c r="N22" s="3503"/>
      <c r="O22" s="3503"/>
      <c r="P22" s="3503"/>
      <c r="Q22" s="3504"/>
      <c r="R22" s="21">
        <f ca="1">ROUND(S22*10000/B22,0)</f>
        <v>9546</v>
      </c>
      <c r="S22" s="21">
        <f ca="1">SUM(S24:S10000)</f>
        <v>11489.858200000001</v>
      </c>
      <c r="T22" s="3189" t="s">
        <v>3977</v>
      </c>
      <c r="U22" s="3190" t="s">
        <v>3978</v>
      </c>
      <c r="V22" s="3192" t="s">
        <v>3979</v>
      </c>
      <c r="AB22" s="687"/>
      <c r="AC22" s="3543" t="s">
        <v>3999</v>
      </c>
      <c r="AD22" s="3544">
        <f ca="1">R22</f>
        <v>9546</v>
      </c>
      <c r="AF22" s="3543" t="s">
        <v>3999</v>
      </c>
      <c r="AG22" s="3546">
        <f ca="1">R24</f>
        <v>9453</v>
      </c>
      <c r="AI22" s="3195"/>
    </row>
    <row r="23" spans="1:45" s="9" customFormat="1" ht="24">
      <c r="A23" s="8" t="s">
        <v>2099</v>
      </c>
      <c r="B23" s="8" t="s">
        <v>2100</v>
      </c>
      <c r="C23" s="8" t="s">
        <v>2101</v>
      </c>
      <c r="D23" s="8" t="str">
        <f>B5</f>
        <v>楼层</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3190">
        <v>5.5E-2</v>
      </c>
      <c r="U23" s="3191">
        <v>5.0000000000000001E-4</v>
      </c>
      <c r="V23" s="3193">
        <v>0.05</v>
      </c>
      <c r="W23" s="3194" t="s">
        <v>3982</v>
      </c>
      <c r="X23" s="3194" t="s">
        <v>3981</v>
      </c>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81" t="s">
        <v>3962</v>
      </c>
      <c r="B24" s="633">
        <f>'数据-汇总表'!E19</f>
        <v>81.709999999999994</v>
      </c>
      <c r="C24" s="2568">
        <v>1</v>
      </c>
      <c r="D24" s="2569" t="s">
        <v>3963</v>
      </c>
      <c r="E24" s="2568">
        <v>1</v>
      </c>
      <c r="F24" s="2569"/>
      <c r="G24" s="2568">
        <v>1</v>
      </c>
      <c r="H24" s="2569"/>
      <c r="I24" s="2568">
        <v>1</v>
      </c>
      <c r="J24" s="2569"/>
      <c r="K24" s="2568">
        <v>1</v>
      </c>
      <c r="L24" s="2569"/>
      <c r="M24" s="2568">
        <v>1</v>
      </c>
      <c r="N24" s="2569"/>
      <c r="O24" s="2568">
        <v>1</v>
      </c>
      <c r="P24" s="2569"/>
      <c r="Q24" s="2568">
        <v>1</v>
      </c>
      <c r="R24" s="633">
        <f ca="1">结果表!H102</f>
        <v>9453</v>
      </c>
      <c r="S24" s="634">
        <f ca="1">ROUND(R24*B24/10000,4)</f>
        <v>77.240499999999997</v>
      </c>
      <c r="T24" s="689">
        <f ca="1">ROUND(S24*$T$23/1.05,4)</f>
        <v>4.0458999999999996</v>
      </c>
      <c r="U24" s="689">
        <f ca="1">ROUND(S24*$U$23,4)</f>
        <v>3.8600000000000002E-2</v>
      </c>
      <c r="V24" s="689">
        <f ca="1">ROUND(S24/1.05*$V$23,4)</f>
        <v>3.6781000000000001</v>
      </c>
      <c r="W24" s="689">
        <f ca="1">T24+U24+V24</f>
        <v>7.7625999999999991</v>
      </c>
      <c r="X24" s="689">
        <f ca="1">S24-W24</f>
        <v>69.477900000000005</v>
      </c>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面积清单!H2</f>
        <v>2单元201</v>
      </c>
      <c r="B25" s="52">
        <f>面积清单!J2</f>
        <v>182.27</v>
      </c>
      <c r="C25" s="21">
        <f>IF(B25="",1,(LOOKUP(B25,$3:$3,$4:$4)-LOOKUP($B$24,$3:$3,$4:$4)+100)/100)</f>
        <v>0.99</v>
      </c>
      <c r="D25" s="2569" t="s">
        <v>3963</v>
      </c>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9358</v>
      </c>
      <c r="S25" s="634">
        <f t="shared" ref="S25:S88" ca="1" si="11">ROUND(R25*B25/10000,4)</f>
        <v>170.56829999999999</v>
      </c>
      <c r="T25" s="689">
        <f t="shared" ref="T25:T88" ca="1" si="12">ROUND(S25*$T$23/1.05,4)</f>
        <v>8.9344999999999999</v>
      </c>
      <c r="U25" s="689">
        <f t="shared" ref="U25:U88" ca="1" si="13">ROUND(S25*$U$23,4)</f>
        <v>8.5300000000000001E-2</v>
      </c>
      <c r="V25" s="689">
        <f t="shared" ref="V25:V88" ca="1" si="14">ROUND(S25/1.05*$V$23,4)</f>
        <v>8.1222999999999992</v>
      </c>
      <c r="W25" s="689">
        <f t="shared" ref="W25:W88" ca="1" si="15">T25+U25+V25</f>
        <v>17.142099999999999</v>
      </c>
      <c r="X25" s="689">
        <f t="shared" ref="X25:X88" ca="1" si="16">S25-W25</f>
        <v>153.42619999999999</v>
      </c>
    </row>
    <row r="26" spans="1:45">
      <c r="A26" s="142" t="str">
        <f>面积清单!H3</f>
        <v>2单元202</v>
      </c>
      <c r="B26" s="52">
        <f>面积清单!J3</f>
        <v>75.75</v>
      </c>
      <c r="C26" s="21">
        <f t="shared" ref="C26:C89" si="17">IF(B26="",1,(LOOKUP(B26,$3:$3,$4:$4)-LOOKUP($B$24,$3:$3,$4:$4)+100)/100)</f>
        <v>1</v>
      </c>
      <c r="D26" s="2569" t="s">
        <v>3963</v>
      </c>
      <c r="E26" s="21">
        <f t="shared" ref="E26:E89" si="18">(SUMIF($5:$5,D26,$6:$6)-SUMIF($5:$5,$D$24,$6:$6)+100)/100</f>
        <v>1</v>
      </c>
      <c r="F26" s="635"/>
      <c r="G26" s="21">
        <f t="shared" ref="G26:G89" si="19">(SUMIF($7:$7,F26,$8:$8)-SUMIF($7:$7,$F$24,$8:$8)+100)/100</f>
        <v>1</v>
      </c>
      <c r="H26" s="635"/>
      <c r="I26" s="21">
        <f t="shared" ref="I26:I89" si="20">(SUMIF($9:$9,H26,$10:$10)-SUMIF($9:$9,$H$24,$10:$10)+100)/100</f>
        <v>1</v>
      </c>
      <c r="J26" s="635"/>
      <c r="K26" s="21">
        <f t="shared" ref="K26:K89" si="21">(SUMIF($11:$11,J26,$12:$12)-SUMIF($11:$11,$J$24,$12:$12)+100)/100</f>
        <v>1</v>
      </c>
      <c r="L26" s="635"/>
      <c r="M26" s="21">
        <f t="shared" ref="M26:M89" si="22">(SUMIF($13:$13,L26,$14:$14)-SUMIF($13:$13,$L$24,$14:$14)+100)/100</f>
        <v>1</v>
      </c>
      <c r="N26" s="635"/>
      <c r="O26" s="21">
        <f t="shared" ref="O26:O89" si="23">(SUMIF($15:$15,N26,$16:$16)-SUMIF($15:$15,$N$24,$16:$16)+100)/100</f>
        <v>1</v>
      </c>
      <c r="P26" s="635"/>
      <c r="Q26" s="21">
        <f t="shared" ref="Q26:Q89" si="24">(SUMIF($17:$17,P26,$18:$18)-SUMIF($17:$17,$P$24,$18:$18)+100)/100</f>
        <v>1</v>
      </c>
      <c r="R26" s="21">
        <f t="shared" ref="R26:R89" ca="1" si="25">IF(B26="",0,ROUND($R$24*C26*E26*G26*I26*K26*M26*O26*Q26,0))</f>
        <v>9453</v>
      </c>
      <c r="S26" s="634">
        <f t="shared" ca="1" si="11"/>
        <v>71.606499999999997</v>
      </c>
      <c r="T26" s="689">
        <f t="shared" ca="1" si="12"/>
        <v>3.7507999999999999</v>
      </c>
      <c r="U26" s="689">
        <f t="shared" ca="1" si="13"/>
        <v>3.5799999999999998E-2</v>
      </c>
      <c r="V26" s="689">
        <f t="shared" ca="1" si="14"/>
        <v>3.4098000000000002</v>
      </c>
      <c r="W26" s="689">
        <f t="shared" ca="1" si="15"/>
        <v>7.1964000000000006</v>
      </c>
      <c r="X26" s="689">
        <f t="shared" ca="1" si="16"/>
        <v>64.4101</v>
      </c>
    </row>
    <row r="27" spans="1:45">
      <c r="A27" s="142" t="str">
        <f>面积清单!H4</f>
        <v>2单元203</v>
      </c>
      <c r="B27" s="52"/>
      <c r="C27" s="21">
        <f t="shared" si="17"/>
        <v>1</v>
      </c>
      <c r="D27" s="2569" t="s">
        <v>3963</v>
      </c>
      <c r="E27" s="21">
        <f t="shared" si="18"/>
        <v>1</v>
      </c>
      <c r="F27" s="635"/>
      <c r="G27" s="21">
        <f t="shared" si="19"/>
        <v>1</v>
      </c>
      <c r="H27" s="635"/>
      <c r="I27" s="21">
        <f t="shared" si="20"/>
        <v>1</v>
      </c>
      <c r="J27" s="635"/>
      <c r="K27" s="21">
        <f t="shared" si="21"/>
        <v>1</v>
      </c>
      <c r="L27" s="635"/>
      <c r="M27" s="21">
        <f t="shared" si="22"/>
        <v>1</v>
      </c>
      <c r="N27" s="635"/>
      <c r="O27" s="21">
        <f t="shared" si="23"/>
        <v>1</v>
      </c>
      <c r="P27" s="635"/>
      <c r="Q27" s="21">
        <f t="shared" si="24"/>
        <v>1</v>
      </c>
      <c r="R27" s="21">
        <f t="shared" si="25"/>
        <v>0</v>
      </c>
      <c r="S27" s="634">
        <f t="shared" si="11"/>
        <v>0</v>
      </c>
      <c r="T27" s="689">
        <f t="shared" si="12"/>
        <v>0</v>
      </c>
      <c r="U27" s="689">
        <f t="shared" si="13"/>
        <v>0</v>
      </c>
      <c r="V27" s="689">
        <f t="shared" si="14"/>
        <v>0</v>
      </c>
      <c r="W27" s="689">
        <f t="shared" si="15"/>
        <v>0</v>
      </c>
      <c r="X27" s="689">
        <f t="shared" si="16"/>
        <v>0</v>
      </c>
    </row>
    <row r="28" spans="1:45">
      <c r="A28" s="142" t="str">
        <f>面积清单!H5</f>
        <v>2单元204</v>
      </c>
      <c r="B28" s="52">
        <f>面积清单!J5</f>
        <v>76.430000000000007</v>
      </c>
      <c r="C28" s="21">
        <f t="shared" si="17"/>
        <v>1</v>
      </c>
      <c r="D28" s="2569" t="s">
        <v>3963</v>
      </c>
      <c r="E28" s="21">
        <f t="shared" si="18"/>
        <v>1</v>
      </c>
      <c r="F28" s="635"/>
      <c r="G28" s="21">
        <f t="shared" si="19"/>
        <v>1</v>
      </c>
      <c r="H28" s="635"/>
      <c r="I28" s="21">
        <f t="shared" si="20"/>
        <v>1</v>
      </c>
      <c r="J28" s="635"/>
      <c r="K28" s="21">
        <f t="shared" si="21"/>
        <v>1</v>
      </c>
      <c r="L28" s="635"/>
      <c r="M28" s="21">
        <f t="shared" si="22"/>
        <v>1</v>
      </c>
      <c r="N28" s="635"/>
      <c r="O28" s="21">
        <f t="shared" si="23"/>
        <v>1</v>
      </c>
      <c r="P28" s="635"/>
      <c r="Q28" s="21">
        <f t="shared" si="24"/>
        <v>1</v>
      </c>
      <c r="R28" s="21">
        <f t="shared" ca="1" si="25"/>
        <v>9453</v>
      </c>
      <c r="S28" s="634">
        <f t="shared" ca="1" si="11"/>
        <v>72.249300000000005</v>
      </c>
      <c r="T28" s="689">
        <f t="shared" ca="1" si="12"/>
        <v>3.7845</v>
      </c>
      <c r="U28" s="689">
        <f t="shared" ca="1" si="13"/>
        <v>3.61E-2</v>
      </c>
      <c r="V28" s="689">
        <f t="shared" ca="1" si="14"/>
        <v>3.4403999999999999</v>
      </c>
      <c r="W28" s="689">
        <f t="shared" ca="1" si="15"/>
        <v>7.2609999999999992</v>
      </c>
      <c r="X28" s="689">
        <f t="shared" ca="1" si="16"/>
        <v>64.98830000000001</v>
      </c>
    </row>
    <row r="29" spans="1:45">
      <c r="A29" s="142" t="str">
        <f>面积清单!H6</f>
        <v>2单元205</v>
      </c>
      <c r="B29" s="52">
        <f>面积清单!J6</f>
        <v>73</v>
      </c>
      <c r="C29" s="21">
        <f t="shared" si="17"/>
        <v>1</v>
      </c>
      <c r="D29" s="2569" t="s">
        <v>3963</v>
      </c>
      <c r="E29" s="21">
        <f t="shared" si="18"/>
        <v>1</v>
      </c>
      <c r="F29" s="635"/>
      <c r="G29" s="21">
        <f t="shared" si="19"/>
        <v>1</v>
      </c>
      <c r="H29" s="635"/>
      <c r="I29" s="21">
        <f t="shared" si="20"/>
        <v>1</v>
      </c>
      <c r="J29" s="635"/>
      <c r="K29" s="21">
        <f t="shared" si="21"/>
        <v>1</v>
      </c>
      <c r="L29" s="635"/>
      <c r="M29" s="21">
        <f t="shared" si="22"/>
        <v>1</v>
      </c>
      <c r="N29" s="635"/>
      <c r="O29" s="21">
        <f t="shared" si="23"/>
        <v>1</v>
      </c>
      <c r="P29" s="635"/>
      <c r="Q29" s="21">
        <f t="shared" si="24"/>
        <v>1</v>
      </c>
      <c r="R29" s="21">
        <f t="shared" ca="1" si="25"/>
        <v>9453</v>
      </c>
      <c r="S29" s="634">
        <f t="shared" ca="1" si="11"/>
        <v>69.006900000000002</v>
      </c>
      <c r="T29" s="689">
        <f t="shared" ca="1" si="12"/>
        <v>3.6145999999999998</v>
      </c>
      <c r="U29" s="689">
        <f t="shared" ca="1" si="13"/>
        <v>3.4500000000000003E-2</v>
      </c>
      <c r="V29" s="689">
        <f t="shared" ca="1" si="14"/>
        <v>3.286</v>
      </c>
      <c r="W29" s="689">
        <f t="shared" ca="1" si="15"/>
        <v>6.9351000000000003</v>
      </c>
      <c r="X29" s="689">
        <f t="shared" ca="1" si="16"/>
        <v>62.071800000000003</v>
      </c>
    </row>
    <row r="30" spans="1:45">
      <c r="A30" s="142" t="str">
        <f>面积清单!H7</f>
        <v>2单元206</v>
      </c>
      <c r="B30" s="52">
        <f>面积清单!J7</f>
        <v>78.45</v>
      </c>
      <c r="C30" s="21">
        <f t="shared" si="17"/>
        <v>1</v>
      </c>
      <c r="D30" s="2569" t="s">
        <v>3963</v>
      </c>
      <c r="E30" s="21">
        <f t="shared" si="18"/>
        <v>1</v>
      </c>
      <c r="F30" s="635"/>
      <c r="G30" s="21">
        <f t="shared" si="19"/>
        <v>1</v>
      </c>
      <c r="H30" s="635"/>
      <c r="I30" s="21">
        <f t="shared" si="20"/>
        <v>1</v>
      </c>
      <c r="J30" s="635"/>
      <c r="K30" s="21">
        <f t="shared" si="21"/>
        <v>1</v>
      </c>
      <c r="L30" s="635"/>
      <c r="M30" s="21">
        <f t="shared" si="22"/>
        <v>1</v>
      </c>
      <c r="N30" s="635"/>
      <c r="O30" s="21">
        <f t="shared" si="23"/>
        <v>1</v>
      </c>
      <c r="P30" s="635"/>
      <c r="Q30" s="21">
        <f t="shared" si="24"/>
        <v>1</v>
      </c>
      <c r="R30" s="21">
        <f t="shared" ca="1" si="25"/>
        <v>9453</v>
      </c>
      <c r="S30" s="634">
        <f t="shared" ca="1" si="11"/>
        <v>74.158799999999999</v>
      </c>
      <c r="T30" s="689">
        <f t="shared" ca="1" si="12"/>
        <v>3.8845000000000001</v>
      </c>
      <c r="U30" s="689">
        <f t="shared" ca="1" si="13"/>
        <v>3.7100000000000001E-2</v>
      </c>
      <c r="V30" s="689">
        <f t="shared" ca="1" si="14"/>
        <v>3.5314000000000001</v>
      </c>
      <c r="W30" s="689">
        <f t="shared" ca="1" si="15"/>
        <v>7.4530000000000003</v>
      </c>
      <c r="X30" s="689">
        <f t="shared" ca="1" si="16"/>
        <v>66.705799999999996</v>
      </c>
    </row>
    <row r="31" spans="1:45">
      <c r="A31" s="142" t="str">
        <f>面积清单!H8</f>
        <v>2单元207</v>
      </c>
      <c r="B31" s="52">
        <f>面积清单!J8</f>
        <v>75.959999999999994</v>
      </c>
      <c r="C31" s="21">
        <f t="shared" si="17"/>
        <v>1</v>
      </c>
      <c r="D31" s="2569" t="s">
        <v>3963</v>
      </c>
      <c r="E31" s="21">
        <f t="shared" si="18"/>
        <v>1</v>
      </c>
      <c r="F31" s="635"/>
      <c r="G31" s="21">
        <f t="shared" si="19"/>
        <v>1</v>
      </c>
      <c r="H31" s="635"/>
      <c r="I31" s="21">
        <f t="shared" si="20"/>
        <v>1</v>
      </c>
      <c r="J31" s="635"/>
      <c r="K31" s="21">
        <f t="shared" si="21"/>
        <v>1</v>
      </c>
      <c r="L31" s="635"/>
      <c r="M31" s="21">
        <f t="shared" si="22"/>
        <v>1</v>
      </c>
      <c r="N31" s="635"/>
      <c r="O31" s="21">
        <f t="shared" si="23"/>
        <v>1</v>
      </c>
      <c r="P31" s="635"/>
      <c r="Q31" s="21">
        <f t="shared" si="24"/>
        <v>1</v>
      </c>
      <c r="R31" s="21">
        <f t="shared" ca="1" si="25"/>
        <v>9453</v>
      </c>
      <c r="S31" s="634">
        <f t="shared" ca="1" si="11"/>
        <v>71.805000000000007</v>
      </c>
      <c r="T31" s="689">
        <f t="shared" ca="1" si="12"/>
        <v>3.7612000000000001</v>
      </c>
      <c r="U31" s="689">
        <f t="shared" ca="1" si="13"/>
        <v>3.5900000000000001E-2</v>
      </c>
      <c r="V31" s="689">
        <f t="shared" ca="1" si="14"/>
        <v>3.4192999999999998</v>
      </c>
      <c r="W31" s="689">
        <f t="shared" ca="1" si="15"/>
        <v>7.2164000000000001</v>
      </c>
      <c r="X31" s="689">
        <f t="shared" ca="1" si="16"/>
        <v>64.588600000000014</v>
      </c>
    </row>
    <row r="32" spans="1:45">
      <c r="A32" s="142" t="str">
        <f>面积清单!H9</f>
        <v>2单元208</v>
      </c>
      <c r="B32" s="52">
        <f>面积清单!J9</f>
        <v>75.959999999999994</v>
      </c>
      <c r="C32" s="21">
        <f t="shared" si="17"/>
        <v>1</v>
      </c>
      <c r="D32" s="2569" t="s">
        <v>3963</v>
      </c>
      <c r="E32" s="21">
        <f t="shared" si="18"/>
        <v>1</v>
      </c>
      <c r="F32" s="635"/>
      <c r="G32" s="21">
        <f t="shared" si="19"/>
        <v>1</v>
      </c>
      <c r="H32" s="635"/>
      <c r="I32" s="21">
        <f t="shared" si="20"/>
        <v>1</v>
      </c>
      <c r="J32" s="635"/>
      <c r="K32" s="21">
        <f t="shared" si="21"/>
        <v>1</v>
      </c>
      <c r="L32" s="635"/>
      <c r="M32" s="21">
        <f t="shared" si="22"/>
        <v>1</v>
      </c>
      <c r="N32" s="635"/>
      <c r="O32" s="21">
        <f t="shared" si="23"/>
        <v>1</v>
      </c>
      <c r="P32" s="635"/>
      <c r="Q32" s="21">
        <f t="shared" si="24"/>
        <v>1</v>
      </c>
      <c r="R32" s="21">
        <f t="shared" ca="1" si="25"/>
        <v>9453</v>
      </c>
      <c r="S32" s="634">
        <f t="shared" ca="1" si="11"/>
        <v>71.805000000000007</v>
      </c>
      <c r="T32" s="689">
        <f t="shared" ca="1" si="12"/>
        <v>3.7612000000000001</v>
      </c>
      <c r="U32" s="689">
        <f t="shared" ca="1" si="13"/>
        <v>3.5900000000000001E-2</v>
      </c>
      <c r="V32" s="689">
        <f t="shared" ca="1" si="14"/>
        <v>3.4192999999999998</v>
      </c>
      <c r="W32" s="689">
        <f t="shared" ca="1" si="15"/>
        <v>7.2164000000000001</v>
      </c>
      <c r="X32" s="689">
        <f t="shared" ca="1" si="16"/>
        <v>64.588600000000014</v>
      </c>
    </row>
    <row r="33" spans="1:24">
      <c r="A33" s="142" t="str">
        <f>面积清单!H10</f>
        <v>2单元209</v>
      </c>
      <c r="B33" s="52">
        <f>面积清单!J10</f>
        <v>78.45</v>
      </c>
      <c r="C33" s="21">
        <f t="shared" si="17"/>
        <v>1</v>
      </c>
      <c r="D33" s="2569" t="s">
        <v>3963</v>
      </c>
      <c r="E33" s="21">
        <f t="shared" si="18"/>
        <v>1</v>
      </c>
      <c r="F33" s="635"/>
      <c r="G33" s="21">
        <f t="shared" si="19"/>
        <v>1</v>
      </c>
      <c r="H33" s="635"/>
      <c r="I33" s="21">
        <f t="shared" si="20"/>
        <v>1</v>
      </c>
      <c r="J33" s="635"/>
      <c r="K33" s="21">
        <f t="shared" si="21"/>
        <v>1</v>
      </c>
      <c r="L33" s="635"/>
      <c r="M33" s="21">
        <f t="shared" si="22"/>
        <v>1</v>
      </c>
      <c r="N33" s="635"/>
      <c r="O33" s="21">
        <f t="shared" si="23"/>
        <v>1</v>
      </c>
      <c r="P33" s="635"/>
      <c r="Q33" s="21">
        <f t="shared" si="24"/>
        <v>1</v>
      </c>
      <c r="R33" s="21">
        <f t="shared" ca="1" si="25"/>
        <v>9453</v>
      </c>
      <c r="S33" s="634">
        <f t="shared" ca="1" si="11"/>
        <v>74.158799999999999</v>
      </c>
      <c r="T33" s="689">
        <f t="shared" ca="1" si="12"/>
        <v>3.8845000000000001</v>
      </c>
      <c r="U33" s="689">
        <f t="shared" ca="1" si="13"/>
        <v>3.7100000000000001E-2</v>
      </c>
      <c r="V33" s="689">
        <f t="shared" ca="1" si="14"/>
        <v>3.5314000000000001</v>
      </c>
      <c r="W33" s="689">
        <f t="shared" ca="1" si="15"/>
        <v>7.4530000000000003</v>
      </c>
      <c r="X33" s="689">
        <f t="shared" ca="1" si="16"/>
        <v>66.705799999999996</v>
      </c>
    </row>
    <row r="34" spans="1:24">
      <c r="A34" s="142" t="str">
        <f>面积清单!H11</f>
        <v>2单元210</v>
      </c>
      <c r="B34" s="52">
        <f>面积清单!J11</f>
        <v>73.47</v>
      </c>
      <c r="C34" s="21">
        <f t="shared" si="17"/>
        <v>1</v>
      </c>
      <c r="D34" s="2569" t="s">
        <v>3963</v>
      </c>
      <c r="E34" s="21">
        <f t="shared" si="18"/>
        <v>1</v>
      </c>
      <c r="F34" s="635"/>
      <c r="G34" s="21">
        <f t="shared" si="19"/>
        <v>1</v>
      </c>
      <c r="H34" s="635"/>
      <c r="I34" s="21">
        <f t="shared" si="20"/>
        <v>1</v>
      </c>
      <c r="J34" s="635"/>
      <c r="K34" s="21">
        <f t="shared" si="21"/>
        <v>1</v>
      </c>
      <c r="L34" s="635"/>
      <c r="M34" s="21">
        <f t="shared" si="22"/>
        <v>1</v>
      </c>
      <c r="N34" s="635"/>
      <c r="O34" s="21">
        <f t="shared" si="23"/>
        <v>1</v>
      </c>
      <c r="P34" s="635"/>
      <c r="Q34" s="21">
        <f t="shared" si="24"/>
        <v>1</v>
      </c>
      <c r="R34" s="21">
        <f t="shared" ca="1" si="25"/>
        <v>9453</v>
      </c>
      <c r="S34" s="634">
        <f t="shared" ca="1" si="11"/>
        <v>69.4512</v>
      </c>
      <c r="T34" s="689">
        <f t="shared" ca="1" si="12"/>
        <v>3.6379000000000001</v>
      </c>
      <c r="U34" s="689">
        <f t="shared" ca="1" si="13"/>
        <v>3.4700000000000002E-2</v>
      </c>
      <c r="V34" s="689">
        <f t="shared" ca="1" si="14"/>
        <v>3.3071999999999999</v>
      </c>
      <c r="W34" s="689">
        <f t="shared" ca="1" si="15"/>
        <v>6.9798</v>
      </c>
      <c r="X34" s="689">
        <f t="shared" ca="1" si="16"/>
        <v>62.471400000000003</v>
      </c>
    </row>
    <row r="35" spans="1:24">
      <c r="A35" s="142" t="str">
        <f>面积清单!H12</f>
        <v>2单元211</v>
      </c>
      <c r="B35" s="52">
        <f>面积清单!J12</f>
        <v>75.959999999999994</v>
      </c>
      <c r="C35" s="21">
        <f t="shared" si="17"/>
        <v>1</v>
      </c>
      <c r="D35" s="2569" t="s">
        <v>3963</v>
      </c>
      <c r="E35" s="21">
        <f t="shared" si="18"/>
        <v>1</v>
      </c>
      <c r="F35" s="635"/>
      <c r="G35" s="21">
        <f t="shared" si="19"/>
        <v>1</v>
      </c>
      <c r="H35" s="635"/>
      <c r="I35" s="21">
        <f t="shared" si="20"/>
        <v>1</v>
      </c>
      <c r="J35" s="635"/>
      <c r="K35" s="21">
        <f t="shared" si="21"/>
        <v>1</v>
      </c>
      <c r="L35" s="635"/>
      <c r="M35" s="21">
        <f t="shared" si="22"/>
        <v>1</v>
      </c>
      <c r="N35" s="635"/>
      <c r="O35" s="21">
        <f t="shared" si="23"/>
        <v>1</v>
      </c>
      <c r="P35" s="635"/>
      <c r="Q35" s="21">
        <f t="shared" si="24"/>
        <v>1</v>
      </c>
      <c r="R35" s="21">
        <f t="shared" ca="1" si="25"/>
        <v>9453</v>
      </c>
      <c r="S35" s="634">
        <f t="shared" ca="1" si="11"/>
        <v>71.805000000000007</v>
      </c>
      <c r="T35" s="689">
        <f t="shared" ca="1" si="12"/>
        <v>3.7612000000000001</v>
      </c>
      <c r="U35" s="689">
        <f t="shared" ca="1" si="13"/>
        <v>3.5900000000000001E-2</v>
      </c>
      <c r="V35" s="689">
        <f t="shared" ca="1" si="14"/>
        <v>3.4192999999999998</v>
      </c>
      <c r="W35" s="689">
        <f t="shared" ca="1" si="15"/>
        <v>7.2164000000000001</v>
      </c>
      <c r="X35" s="689">
        <f t="shared" ca="1" si="16"/>
        <v>64.588600000000014</v>
      </c>
    </row>
    <row r="36" spans="1:24">
      <c r="A36" s="142" t="str">
        <f>面积清单!H13</f>
        <v>2单元212</v>
      </c>
      <c r="B36" s="52">
        <f>面积清单!J13</f>
        <v>83.52</v>
      </c>
      <c r="C36" s="21">
        <f t="shared" si="17"/>
        <v>1</v>
      </c>
      <c r="D36" s="2569" t="s">
        <v>3963</v>
      </c>
      <c r="E36" s="21">
        <f t="shared" si="18"/>
        <v>1</v>
      </c>
      <c r="F36" s="635"/>
      <c r="G36" s="21">
        <f t="shared" si="19"/>
        <v>1</v>
      </c>
      <c r="H36" s="635"/>
      <c r="I36" s="21">
        <f t="shared" si="20"/>
        <v>1</v>
      </c>
      <c r="J36" s="635"/>
      <c r="K36" s="21">
        <f t="shared" si="21"/>
        <v>1</v>
      </c>
      <c r="L36" s="635"/>
      <c r="M36" s="21">
        <f t="shared" si="22"/>
        <v>1</v>
      </c>
      <c r="N36" s="635"/>
      <c r="O36" s="21">
        <f t="shared" si="23"/>
        <v>1</v>
      </c>
      <c r="P36" s="635"/>
      <c r="Q36" s="21">
        <f t="shared" si="24"/>
        <v>1</v>
      </c>
      <c r="R36" s="21">
        <f t="shared" ca="1" si="25"/>
        <v>9453</v>
      </c>
      <c r="S36" s="634">
        <f t="shared" ca="1" si="11"/>
        <v>78.951499999999996</v>
      </c>
      <c r="T36" s="689">
        <f t="shared" ca="1" si="12"/>
        <v>4.1356000000000002</v>
      </c>
      <c r="U36" s="689">
        <f t="shared" ca="1" si="13"/>
        <v>3.95E-2</v>
      </c>
      <c r="V36" s="689">
        <f t="shared" ca="1" si="14"/>
        <v>3.7595999999999998</v>
      </c>
      <c r="W36" s="689">
        <f t="shared" ca="1" si="15"/>
        <v>7.9347000000000003</v>
      </c>
      <c r="X36" s="689">
        <f t="shared" ca="1" si="16"/>
        <v>71.016799999999989</v>
      </c>
    </row>
    <row r="37" spans="1:24">
      <c r="A37" s="142" t="str">
        <f>面积清单!H14</f>
        <v>2单元213</v>
      </c>
      <c r="B37" s="52">
        <f>面积清单!J14</f>
        <v>89.88</v>
      </c>
      <c r="C37" s="21">
        <f t="shared" si="17"/>
        <v>1</v>
      </c>
      <c r="D37" s="2569" t="s">
        <v>3963</v>
      </c>
      <c r="E37" s="21">
        <f t="shared" si="18"/>
        <v>1</v>
      </c>
      <c r="F37" s="635"/>
      <c r="G37" s="21">
        <f t="shared" si="19"/>
        <v>1</v>
      </c>
      <c r="H37" s="635"/>
      <c r="I37" s="21">
        <f t="shared" si="20"/>
        <v>1</v>
      </c>
      <c r="J37" s="635"/>
      <c r="K37" s="21">
        <f t="shared" si="21"/>
        <v>1</v>
      </c>
      <c r="L37" s="635"/>
      <c r="M37" s="21">
        <f t="shared" si="22"/>
        <v>1</v>
      </c>
      <c r="N37" s="635"/>
      <c r="O37" s="21">
        <f t="shared" si="23"/>
        <v>1</v>
      </c>
      <c r="P37" s="635"/>
      <c r="Q37" s="21">
        <f t="shared" si="24"/>
        <v>1</v>
      </c>
      <c r="R37" s="21">
        <f t="shared" ca="1" si="25"/>
        <v>9453</v>
      </c>
      <c r="S37" s="634">
        <f t="shared" ca="1" si="11"/>
        <v>84.9636</v>
      </c>
      <c r="T37" s="689">
        <f t="shared" ca="1" si="12"/>
        <v>4.4504999999999999</v>
      </c>
      <c r="U37" s="689">
        <f t="shared" ca="1" si="13"/>
        <v>4.2500000000000003E-2</v>
      </c>
      <c r="V37" s="689">
        <f t="shared" ca="1" si="14"/>
        <v>4.0458999999999996</v>
      </c>
      <c r="W37" s="689">
        <f t="shared" ca="1" si="15"/>
        <v>8.5388999999999999</v>
      </c>
      <c r="X37" s="689">
        <f t="shared" ca="1" si="16"/>
        <v>76.424700000000001</v>
      </c>
    </row>
    <row r="38" spans="1:24">
      <c r="A38" s="142" t="str">
        <f>面积清单!H15</f>
        <v>2单元214</v>
      </c>
      <c r="B38" s="52">
        <f>面积清单!J15</f>
        <v>174.94</v>
      </c>
      <c r="C38" s="21">
        <f t="shared" si="17"/>
        <v>0.99</v>
      </c>
      <c r="D38" s="2569" t="s">
        <v>3963</v>
      </c>
      <c r="E38" s="21">
        <f t="shared" si="18"/>
        <v>1</v>
      </c>
      <c r="F38" s="635"/>
      <c r="G38" s="21">
        <f t="shared" si="19"/>
        <v>1</v>
      </c>
      <c r="H38" s="635"/>
      <c r="I38" s="21">
        <f t="shared" si="20"/>
        <v>1</v>
      </c>
      <c r="J38" s="635"/>
      <c r="K38" s="21">
        <f t="shared" si="21"/>
        <v>1</v>
      </c>
      <c r="L38" s="635"/>
      <c r="M38" s="21">
        <f t="shared" si="22"/>
        <v>1</v>
      </c>
      <c r="N38" s="635"/>
      <c r="O38" s="21">
        <f t="shared" si="23"/>
        <v>1</v>
      </c>
      <c r="P38" s="635"/>
      <c r="Q38" s="21">
        <f t="shared" si="24"/>
        <v>1</v>
      </c>
      <c r="R38" s="21">
        <f t="shared" ca="1" si="25"/>
        <v>9358</v>
      </c>
      <c r="S38" s="634">
        <f t="shared" ca="1" si="11"/>
        <v>163.7089</v>
      </c>
      <c r="T38" s="689">
        <f t="shared" ca="1" si="12"/>
        <v>8.5752000000000006</v>
      </c>
      <c r="U38" s="689">
        <f t="shared" ca="1" si="13"/>
        <v>8.1900000000000001E-2</v>
      </c>
      <c r="V38" s="689">
        <f t="shared" ca="1" si="14"/>
        <v>7.7957000000000001</v>
      </c>
      <c r="W38" s="689">
        <f t="shared" ca="1" si="15"/>
        <v>16.4528</v>
      </c>
      <c r="X38" s="689">
        <f t="shared" ca="1" si="16"/>
        <v>147.2561</v>
      </c>
    </row>
    <row r="39" spans="1:24">
      <c r="A39" s="142" t="str">
        <f>面积清单!H16</f>
        <v>2单元215</v>
      </c>
      <c r="B39" s="52">
        <f>面积清单!J16</f>
        <v>71.52</v>
      </c>
      <c r="C39" s="21">
        <f t="shared" si="17"/>
        <v>1</v>
      </c>
      <c r="D39" s="2569" t="s">
        <v>3963</v>
      </c>
      <c r="E39" s="21">
        <f t="shared" si="18"/>
        <v>1</v>
      </c>
      <c r="F39" s="635"/>
      <c r="G39" s="21">
        <f t="shared" si="19"/>
        <v>1</v>
      </c>
      <c r="H39" s="635"/>
      <c r="I39" s="21">
        <f t="shared" si="20"/>
        <v>1</v>
      </c>
      <c r="J39" s="635"/>
      <c r="K39" s="21">
        <f t="shared" si="21"/>
        <v>1</v>
      </c>
      <c r="L39" s="635"/>
      <c r="M39" s="21">
        <f t="shared" si="22"/>
        <v>1</v>
      </c>
      <c r="N39" s="635"/>
      <c r="O39" s="21">
        <f t="shared" si="23"/>
        <v>1</v>
      </c>
      <c r="P39" s="635"/>
      <c r="Q39" s="21">
        <f t="shared" si="24"/>
        <v>1</v>
      </c>
      <c r="R39" s="21">
        <f t="shared" ca="1" si="25"/>
        <v>9453</v>
      </c>
      <c r="S39" s="634">
        <f t="shared" ca="1" si="11"/>
        <v>67.607900000000001</v>
      </c>
      <c r="T39" s="689">
        <f t="shared" ca="1" si="12"/>
        <v>3.5413999999999999</v>
      </c>
      <c r="U39" s="689">
        <f t="shared" ca="1" si="13"/>
        <v>3.3799999999999997E-2</v>
      </c>
      <c r="V39" s="689">
        <f t="shared" ca="1" si="14"/>
        <v>3.2193999999999998</v>
      </c>
      <c r="W39" s="689">
        <f t="shared" ca="1" si="15"/>
        <v>6.7945999999999991</v>
      </c>
      <c r="X39" s="689">
        <f t="shared" ca="1" si="16"/>
        <v>60.813299999999998</v>
      </c>
    </row>
    <row r="40" spans="1:24">
      <c r="A40" s="142" t="str">
        <f>面积清单!H17</f>
        <v>2单元216</v>
      </c>
      <c r="B40" s="52">
        <f>面积清单!J17</f>
        <v>63.07</v>
      </c>
      <c r="C40" s="21">
        <f t="shared" si="17"/>
        <v>1</v>
      </c>
      <c r="D40" s="2569" t="s">
        <v>3963</v>
      </c>
      <c r="E40" s="21">
        <f t="shared" si="18"/>
        <v>1</v>
      </c>
      <c r="F40" s="635"/>
      <c r="G40" s="21">
        <f t="shared" si="19"/>
        <v>1</v>
      </c>
      <c r="H40" s="635"/>
      <c r="I40" s="21">
        <f t="shared" si="20"/>
        <v>1</v>
      </c>
      <c r="J40" s="635"/>
      <c r="K40" s="21">
        <f t="shared" si="21"/>
        <v>1</v>
      </c>
      <c r="L40" s="635"/>
      <c r="M40" s="21">
        <f t="shared" si="22"/>
        <v>1</v>
      </c>
      <c r="N40" s="635"/>
      <c r="O40" s="21">
        <f t="shared" si="23"/>
        <v>1</v>
      </c>
      <c r="P40" s="635"/>
      <c r="Q40" s="21">
        <f t="shared" si="24"/>
        <v>1</v>
      </c>
      <c r="R40" s="21">
        <f t="shared" ca="1" si="25"/>
        <v>9453</v>
      </c>
      <c r="S40" s="634">
        <f t="shared" ca="1" si="11"/>
        <v>59.620100000000001</v>
      </c>
      <c r="T40" s="689">
        <f t="shared" ca="1" si="12"/>
        <v>3.1230000000000002</v>
      </c>
      <c r="U40" s="689">
        <f t="shared" ca="1" si="13"/>
        <v>2.98E-2</v>
      </c>
      <c r="V40" s="689">
        <f t="shared" ca="1" si="14"/>
        <v>2.8391000000000002</v>
      </c>
      <c r="W40" s="689">
        <f t="shared" ca="1" si="15"/>
        <v>5.9919000000000002</v>
      </c>
      <c r="X40" s="689">
        <f t="shared" ca="1" si="16"/>
        <v>53.6282</v>
      </c>
    </row>
    <row r="41" spans="1:24">
      <c r="A41" s="142" t="str">
        <f>面积清单!H18</f>
        <v>2单元217</v>
      </c>
      <c r="B41" s="52">
        <f>面积清单!J18</f>
        <v>54.75</v>
      </c>
      <c r="C41" s="21">
        <f t="shared" si="17"/>
        <v>1</v>
      </c>
      <c r="D41" s="2569" t="s">
        <v>3963</v>
      </c>
      <c r="E41" s="21">
        <f t="shared" si="18"/>
        <v>1</v>
      </c>
      <c r="F41" s="635"/>
      <c r="G41" s="21">
        <f t="shared" si="19"/>
        <v>1</v>
      </c>
      <c r="H41" s="635"/>
      <c r="I41" s="21">
        <f t="shared" si="20"/>
        <v>1</v>
      </c>
      <c r="J41" s="635"/>
      <c r="K41" s="21">
        <f t="shared" si="21"/>
        <v>1</v>
      </c>
      <c r="L41" s="635"/>
      <c r="M41" s="21">
        <f t="shared" si="22"/>
        <v>1</v>
      </c>
      <c r="N41" s="635"/>
      <c r="O41" s="21">
        <f t="shared" si="23"/>
        <v>1</v>
      </c>
      <c r="P41" s="635"/>
      <c r="Q41" s="21">
        <f t="shared" si="24"/>
        <v>1</v>
      </c>
      <c r="R41" s="21">
        <f t="shared" ca="1" si="25"/>
        <v>9453</v>
      </c>
      <c r="S41" s="634">
        <f t="shared" ca="1" si="11"/>
        <v>51.755200000000002</v>
      </c>
      <c r="T41" s="689">
        <f t="shared" ca="1" si="12"/>
        <v>2.7109999999999999</v>
      </c>
      <c r="U41" s="689">
        <f t="shared" ca="1" si="13"/>
        <v>2.5899999999999999E-2</v>
      </c>
      <c r="V41" s="689">
        <f t="shared" ca="1" si="14"/>
        <v>2.4645000000000001</v>
      </c>
      <c r="W41" s="689">
        <f t="shared" ca="1" si="15"/>
        <v>5.2013999999999996</v>
      </c>
      <c r="X41" s="689">
        <f t="shared" ca="1" si="16"/>
        <v>46.553800000000003</v>
      </c>
    </row>
    <row r="42" spans="1:24">
      <c r="A42" s="142" t="str">
        <f>面积清单!H19</f>
        <v>2单元218</v>
      </c>
      <c r="B42" s="52">
        <f>面积清单!J19</f>
        <v>54.75</v>
      </c>
      <c r="C42" s="21">
        <f t="shared" si="17"/>
        <v>1</v>
      </c>
      <c r="D42" s="2569" t="s">
        <v>3963</v>
      </c>
      <c r="E42" s="21">
        <f t="shared" si="18"/>
        <v>1</v>
      </c>
      <c r="F42" s="635"/>
      <c r="G42" s="21">
        <f t="shared" si="19"/>
        <v>1</v>
      </c>
      <c r="H42" s="635"/>
      <c r="I42" s="21">
        <f t="shared" si="20"/>
        <v>1</v>
      </c>
      <c r="J42" s="635"/>
      <c r="K42" s="21">
        <f t="shared" si="21"/>
        <v>1</v>
      </c>
      <c r="L42" s="635"/>
      <c r="M42" s="21">
        <f t="shared" si="22"/>
        <v>1</v>
      </c>
      <c r="N42" s="635"/>
      <c r="O42" s="21">
        <f t="shared" si="23"/>
        <v>1</v>
      </c>
      <c r="P42" s="635"/>
      <c r="Q42" s="21">
        <f t="shared" si="24"/>
        <v>1</v>
      </c>
      <c r="R42" s="21">
        <f t="shared" ca="1" si="25"/>
        <v>9453</v>
      </c>
      <c r="S42" s="634">
        <f t="shared" ca="1" si="11"/>
        <v>51.755200000000002</v>
      </c>
      <c r="T42" s="689">
        <f t="shared" ca="1" si="12"/>
        <v>2.7109999999999999</v>
      </c>
      <c r="U42" s="689">
        <f t="shared" ca="1" si="13"/>
        <v>2.5899999999999999E-2</v>
      </c>
      <c r="V42" s="689">
        <f t="shared" ca="1" si="14"/>
        <v>2.4645000000000001</v>
      </c>
      <c r="W42" s="689">
        <f t="shared" ca="1" si="15"/>
        <v>5.2013999999999996</v>
      </c>
      <c r="X42" s="689">
        <f t="shared" ca="1" si="16"/>
        <v>46.553800000000003</v>
      </c>
    </row>
    <row r="43" spans="1:24">
      <c r="A43" s="142" t="str">
        <f>面积清单!H20</f>
        <v>2单元219</v>
      </c>
      <c r="B43" s="52">
        <f>面积清单!J20</f>
        <v>54.75</v>
      </c>
      <c r="C43" s="21">
        <f t="shared" si="17"/>
        <v>1</v>
      </c>
      <c r="D43" s="2569" t="s">
        <v>3963</v>
      </c>
      <c r="E43" s="21">
        <f t="shared" si="18"/>
        <v>1</v>
      </c>
      <c r="F43" s="635"/>
      <c r="G43" s="21">
        <f t="shared" si="19"/>
        <v>1</v>
      </c>
      <c r="H43" s="635"/>
      <c r="I43" s="21">
        <f t="shared" si="20"/>
        <v>1</v>
      </c>
      <c r="J43" s="635"/>
      <c r="K43" s="21">
        <f t="shared" si="21"/>
        <v>1</v>
      </c>
      <c r="L43" s="635"/>
      <c r="M43" s="21">
        <f t="shared" si="22"/>
        <v>1</v>
      </c>
      <c r="N43" s="635"/>
      <c r="O43" s="21">
        <f t="shared" si="23"/>
        <v>1</v>
      </c>
      <c r="P43" s="635"/>
      <c r="Q43" s="21">
        <f t="shared" si="24"/>
        <v>1</v>
      </c>
      <c r="R43" s="21">
        <f t="shared" ca="1" si="25"/>
        <v>9453</v>
      </c>
      <c r="S43" s="634">
        <f t="shared" ca="1" si="11"/>
        <v>51.755200000000002</v>
      </c>
      <c r="T43" s="689">
        <f t="shared" ca="1" si="12"/>
        <v>2.7109999999999999</v>
      </c>
      <c r="U43" s="689">
        <f t="shared" ca="1" si="13"/>
        <v>2.5899999999999999E-2</v>
      </c>
      <c r="V43" s="689">
        <f t="shared" ca="1" si="14"/>
        <v>2.4645000000000001</v>
      </c>
      <c r="W43" s="689">
        <f t="shared" ca="1" si="15"/>
        <v>5.2013999999999996</v>
      </c>
      <c r="X43" s="689">
        <f t="shared" ca="1" si="16"/>
        <v>46.553800000000003</v>
      </c>
    </row>
    <row r="44" spans="1:24">
      <c r="A44" s="142" t="str">
        <f>面积清单!H21</f>
        <v>2单元220</v>
      </c>
      <c r="B44" s="52">
        <f>面积清单!J21</f>
        <v>54.75</v>
      </c>
      <c r="C44" s="21">
        <f t="shared" si="17"/>
        <v>1</v>
      </c>
      <c r="D44" s="2569" t="s">
        <v>3963</v>
      </c>
      <c r="E44" s="21">
        <f t="shared" si="18"/>
        <v>1</v>
      </c>
      <c r="F44" s="635"/>
      <c r="G44" s="21">
        <f t="shared" si="19"/>
        <v>1</v>
      </c>
      <c r="H44" s="635"/>
      <c r="I44" s="21">
        <f t="shared" si="20"/>
        <v>1</v>
      </c>
      <c r="J44" s="635"/>
      <c r="K44" s="21">
        <f t="shared" si="21"/>
        <v>1</v>
      </c>
      <c r="L44" s="635"/>
      <c r="M44" s="21">
        <f t="shared" si="22"/>
        <v>1</v>
      </c>
      <c r="N44" s="635"/>
      <c r="O44" s="21">
        <f t="shared" si="23"/>
        <v>1</v>
      </c>
      <c r="P44" s="635"/>
      <c r="Q44" s="21">
        <f t="shared" si="24"/>
        <v>1</v>
      </c>
      <c r="R44" s="21">
        <f t="shared" ca="1" si="25"/>
        <v>9453</v>
      </c>
      <c r="S44" s="634">
        <f t="shared" ca="1" si="11"/>
        <v>51.755200000000002</v>
      </c>
      <c r="T44" s="689">
        <f t="shared" ca="1" si="12"/>
        <v>2.7109999999999999</v>
      </c>
      <c r="U44" s="689">
        <f t="shared" ca="1" si="13"/>
        <v>2.5899999999999999E-2</v>
      </c>
      <c r="V44" s="689">
        <f t="shared" ca="1" si="14"/>
        <v>2.4645000000000001</v>
      </c>
      <c r="W44" s="689">
        <f t="shared" ca="1" si="15"/>
        <v>5.2013999999999996</v>
      </c>
      <c r="X44" s="689">
        <f t="shared" ca="1" si="16"/>
        <v>46.553800000000003</v>
      </c>
    </row>
    <row r="45" spans="1:24">
      <c r="A45" s="142" t="str">
        <f>面积清单!H22</f>
        <v>2单元221</v>
      </c>
      <c r="B45" s="52">
        <f>面积清单!J22</f>
        <v>54.75</v>
      </c>
      <c r="C45" s="21">
        <f t="shared" si="17"/>
        <v>1</v>
      </c>
      <c r="D45" s="2569" t="s">
        <v>3963</v>
      </c>
      <c r="E45" s="21">
        <f t="shared" si="18"/>
        <v>1</v>
      </c>
      <c r="F45" s="635"/>
      <c r="G45" s="21">
        <f t="shared" si="19"/>
        <v>1</v>
      </c>
      <c r="H45" s="635"/>
      <c r="I45" s="21">
        <f t="shared" si="20"/>
        <v>1</v>
      </c>
      <c r="J45" s="635"/>
      <c r="K45" s="21">
        <f t="shared" si="21"/>
        <v>1</v>
      </c>
      <c r="L45" s="635"/>
      <c r="M45" s="21">
        <f t="shared" si="22"/>
        <v>1</v>
      </c>
      <c r="N45" s="635"/>
      <c r="O45" s="21">
        <f t="shared" si="23"/>
        <v>1</v>
      </c>
      <c r="P45" s="635"/>
      <c r="Q45" s="21">
        <f t="shared" si="24"/>
        <v>1</v>
      </c>
      <c r="R45" s="21">
        <f t="shared" ca="1" si="25"/>
        <v>9453</v>
      </c>
      <c r="S45" s="634">
        <f t="shared" ca="1" si="11"/>
        <v>51.755200000000002</v>
      </c>
      <c r="T45" s="689">
        <f t="shared" ca="1" si="12"/>
        <v>2.7109999999999999</v>
      </c>
      <c r="U45" s="689">
        <f t="shared" ca="1" si="13"/>
        <v>2.5899999999999999E-2</v>
      </c>
      <c r="V45" s="689">
        <f t="shared" ca="1" si="14"/>
        <v>2.4645000000000001</v>
      </c>
      <c r="W45" s="689">
        <f t="shared" ca="1" si="15"/>
        <v>5.2013999999999996</v>
      </c>
      <c r="X45" s="689">
        <f t="shared" ca="1" si="16"/>
        <v>46.553800000000003</v>
      </c>
    </row>
    <row r="46" spans="1:24">
      <c r="A46" s="142" t="str">
        <f>面积清单!H23</f>
        <v>2单元222</v>
      </c>
      <c r="B46" s="52">
        <f>面积清单!J23</f>
        <v>54.75</v>
      </c>
      <c r="C46" s="21">
        <f t="shared" si="17"/>
        <v>1</v>
      </c>
      <c r="D46" s="2569" t="s">
        <v>3963</v>
      </c>
      <c r="E46" s="21">
        <f t="shared" si="18"/>
        <v>1</v>
      </c>
      <c r="F46" s="635"/>
      <c r="G46" s="21">
        <f t="shared" si="19"/>
        <v>1</v>
      </c>
      <c r="H46" s="635"/>
      <c r="I46" s="21">
        <f t="shared" si="20"/>
        <v>1</v>
      </c>
      <c r="J46" s="635"/>
      <c r="K46" s="21">
        <f t="shared" si="21"/>
        <v>1</v>
      </c>
      <c r="L46" s="635"/>
      <c r="M46" s="21">
        <f t="shared" si="22"/>
        <v>1</v>
      </c>
      <c r="N46" s="635"/>
      <c r="O46" s="21">
        <f t="shared" si="23"/>
        <v>1</v>
      </c>
      <c r="P46" s="635"/>
      <c r="Q46" s="21">
        <f t="shared" si="24"/>
        <v>1</v>
      </c>
      <c r="R46" s="21">
        <f t="shared" ca="1" si="25"/>
        <v>9453</v>
      </c>
      <c r="S46" s="634">
        <f t="shared" ca="1" si="11"/>
        <v>51.755200000000002</v>
      </c>
      <c r="T46" s="689">
        <f t="shared" ca="1" si="12"/>
        <v>2.7109999999999999</v>
      </c>
      <c r="U46" s="689">
        <f t="shared" ca="1" si="13"/>
        <v>2.5899999999999999E-2</v>
      </c>
      <c r="V46" s="689">
        <f t="shared" ca="1" si="14"/>
        <v>2.4645000000000001</v>
      </c>
      <c r="W46" s="689">
        <f t="shared" ca="1" si="15"/>
        <v>5.2013999999999996</v>
      </c>
      <c r="X46" s="689">
        <f t="shared" ca="1" si="16"/>
        <v>46.553800000000003</v>
      </c>
    </row>
    <row r="47" spans="1:24">
      <c r="A47" s="142" t="str">
        <f>面积清单!H24</f>
        <v>2单元223</v>
      </c>
      <c r="B47" s="52">
        <f>面积清单!J24</f>
        <v>54.75</v>
      </c>
      <c r="C47" s="21">
        <f t="shared" si="17"/>
        <v>1</v>
      </c>
      <c r="D47" s="2569" t="s">
        <v>3963</v>
      </c>
      <c r="E47" s="21">
        <f t="shared" si="18"/>
        <v>1</v>
      </c>
      <c r="F47" s="635"/>
      <c r="G47" s="21">
        <f t="shared" si="19"/>
        <v>1</v>
      </c>
      <c r="H47" s="635"/>
      <c r="I47" s="21">
        <f t="shared" si="20"/>
        <v>1</v>
      </c>
      <c r="J47" s="635"/>
      <c r="K47" s="21">
        <f t="shared" si="21"/>
        <v>1</v>
      </c>
      <c r="L47" s="635"/>
      <c r="M47" s="21">
        <f t="shared" si="22"/>
        <v>1</v>
      </c>
      <c r="N47" s="635"/>
      <c r="O47" s="21">
        <f t="shared" si="23"/>
        <v>1</v>
      </c>
      <c r="P47" s="635"/>
      <c r="Q47" s="21">
        <f t="shared" si="24"/>
        <v>1</v>
      </c>
      <c r="R47" s="21">
        <f t="shared" ca="1" si="25"/>
        <v>9453</v>
      </c>
      <c r="S47" s="634">
        <f t="shared" ca="1" si="11"/>
        <v>51.755200000000002</v>
      </c>
      <c r="T47" s="689">
        <f t="shared" ca="1" si="12"/>
        <v>2.7109999999999999</v>
      </c>
      <c r="U47" s="689">
        <f t="shared" ca="1" si="13"/>
        <v>2.5899999999999999E-2</v>
      </c>
      <c r="V47" s="689">
        <f t="shared" ca="1" si="14"/>
        <v>2.4645000000000001</v>
      </c>
      <c r="W47" s="689">
        <f t="shared" ca="1" si="15"/>
        <v>5.2013999999999996</v>
      </c>
      <c r="X47" s="689">
        <f t="shared" ca="1" si="16"/>
        <v>46.553800000000003</v>
      </c>
    </row>
    <row r="48" spans="1:24">
      <c r="A48" s="142" t="str">
        <f>面积清单!H25</f>
        <v>2单元224</v>
      </c>
      <c r="B48" s="52">
        <f>面积清单!J25</f>
        <v>54.75</v>
      </c>
      <c r="C48" s="21">
        <f t="shared" si="17"/>
        <v>1</v>
      </c>
      <c r="D48" s="2569" t="s">
        <v>3963</v>
      </c>
      <c r="E48" s="21">
        <f t="shared" si="18"/>
        <v>1</v>
      </c>
      <c r="F48" s="635"/>
      <c r="G48" s="21">
        <f t="shared" si="19"/>
        <v>1</v>
      </c>
      <c r="H48" s="635"/>
      <c r="I48" s="21">
        <f t="shared" si="20"/>
        <v>1</v>
      </c>
      <c r="J48" s="635"/>
      <c r="K48" s="21">
        <f t="shared" si="21"/>
        <v>1</v>
      </c>
      <c r="L48" s="635"/>
      <c r="M48" s="21">
        <f t="shared" si="22"/>
        <v>1</v>
      </c>
      <c r="N48" s="635"/>
      <c r="O48" s="21">
        <f t="shared" si="23"/>
        <v>1</v>
      </c>
      <c r="P48" s="635"/>
      <c r="Q48" s="21">
        <f t="shared" si="24"/>
        <v>1</v>
      </c>
      <c r="R48" s="21">
        <f t="shared" ca="1" si="25"/>
        <v>9453</v>
      </c>
      <c r="S48" s="634">
        <f t="shared" ca="1" si="11"/>
        <v>51.755200000000002</v>
      </c>
      <c r="T48" s="689">
        <f t="shared" ca="1" si="12"/>
        <v>2.7109999999999999</v>
      </c>
      <c r="U48" s="689">
        <f t="shared" ca="1" si="13"/>
        <v>2.5899999999999999E-2</v>
      </c>
      <c r="V48" s="689">
        <f t="shared" ca="1" si="14"/>
        <v>2.4645000000000001</v>
      </c>
      <c r="W48" s="689">
        <f t="shared" ca="1" si="15"/>
        <v>5.2013999999999996</v>
      </c>
      <c r="X48" s="689">
        <f t="shared" ca="1" si="16"/>
        <v>46.553800000000003</v>
      </c>
    </row>
    <row r="49" spans="1:24">
      <c r="A49" s="142" t="str">
        <f>面积清单!H26</f>
        <v>2单元225</v>
      </c>
      <c r="B49" s="52">
        <f>面积清单!J26</f>
        <v>62.39</v>
      </c>
      <c r="C49" s="21">
        <f t="shared" si="17"/>
        <v>1</v>
      </c>
      <c r="D49" s="2569" t="s">
        <v>3963</v>
      </c>
      <c r="E49" s="21">
        <f t="shared" si="18"/>
        <v>1</v>
      </c>
      <c r="F49" s="635"/>
      <c r="G49" s="21">
        <f t="shared" si="19"/>
        <v>1</v>
      </c>
      <c r="H49" s="635"/>
      <c r="I49" s="21">
        <f t="shared" si="20"/>
        <v>1</v>
      </c>
      <c r="J49" s="635"/>
      <c r="K49" s="21">
        <f t="shared" si="21"/>
        <v>1</v>
      </c>
      <c r="L49" s="635"/>
      <c r="M49" s="21">
        <f t="shared" si="22"/>
        <v>1</v>
      </c>
      <c r="N49" s="635"/>
      <c r="O49" s="21">
        <f t="shared" si="23"/>
        <v>1</v>
      </c>
      <c r="P49" s="635"/>
      <c r="Q49" s="21">
        <f t="shared" si="24"/>
        <v>1</v>
      </c>
      <c r="R49" s="21">
        <f t="shared" ca="1" si="25"/>
        <v>9453</v>
      </c>
      <c r="S49" s="634">
        <f t="shared" ca="1" si="11"/>
        <v>58.9773</v>
      </c>
      <c r="T49" s="689">
        <f t="shared" ca="1" si="12"/>
        <v>3.0893000000000002</v>
      </c>
      <c r="U49" s="689">
        <f t="shared" ca="1" si="13"/>
        <v>2.9499999999999998E-2</v>
      </c>
      <c r="V49" s="689">
        <f t="shared" ca="1" si="14"/>
        <v>2.8083999999999998</v>
      </c>
      <c r="W49" s="689">
        <f t="shared" ca="1" si="15"/>
        <v>5.9272</v>
      </c>
      <c r="X49" s="689">
        <f t="shared" ca="1" si="16"/>
        <v>53.0501</v>
      </c>
    </row>
    <row r="50" spans="1:24">
      <c r="A50" s="142" t="str">
        <f>面积清单!H27</f>
        <v>2单元226</v>
      </c>
      <c r="B50" s="52">
        <f>面积清单!J27</f>
        <v>74.14</v>
      </c>
      <c r="C50" s="21">
        <f t="shared" si="17"/>
        <v>1</v>
      </c>
      <c r="D50" s="2569" t="s">
        <v>3963</v>
      </c>
      <c r="E50" s="21">
        <f t="shared" si="18"/>
        <v>1</v>
      </c>
      <c r="F50" s="635"/>
      <c r="G50" s="21">
        <f t="shared" si="19"/>
        <v>1</v>
      </c>
      <c r="H50" s="635"/>
      <c r="I50" s="21">
        <f t="shared" si="20"/>
        <v>1</v>
      </c>
      <c r="J50" s="635"/>
      <c r="K50" s="21">
        <f t="shared" si="21"/>
        <v>1</v>
      </c>
      <c r="L50" s="635"/>
      <c r="M50" s="21">
        <f t="shared" si="22"/>
        <v>1</v>
      </c>
      <c r="N50" s="635"/>
      <c r="O50" s="21">
        <f t="shared" si="23"/>
        <v>1</v>
      </c>
      <c r="P50" s="635"/>
      <c r="Q50" s="21">
        <f t="shared" si="24"/>
        <v>1</v>
      </c>
      <c r="R50" s="21">
        <f t="shared" ca="1" si="25"/>
        <v>9453</v>
      </c>
      <c r="S50" s="634">
        <f t="shared" ca="1" si="11"/>
        <v>70.084500000000006</v>
      </c>
      <c r="T50" s="689">
        <f t="shared" ca="1" si="12"/>
        <v>3.6711</v>
      </c>
      <c r="U50" s="689">
        <f t="shared" ca="1" si="13"/>
        <v>3.5000000000000003E-2</v>
      </c>
      <c r="V50" s="689">
        <f t="shared" ca="1" si="14"/>
        <v>3.3374000000000001</v>
      </c>
      <c r="W50" s="689">
        <f t="shared" ca="1" si="15"/>
        <v>7.0434999999999999</v>
      </c>
      <c r="X50" s="689">
        <f t="shared" ca="1" si="16"/>
        <v>63.041000000000004</v>
      </c>
    </row>
    <row r="51" spans="1:24">
      <c r="A51" s="142" t="str">
        <f>面积清单!H28</f>
        <v>2单元301</v>
      </c>
      <c r="B51" s="52">
        <f>面积清单!J28</f>
        <v>182.27</v>
      </c>
      <c r="C51" s="21">
        <f t="shared" si="17"/>
        <v>0.99</v>
      </c>
      <c r="D51" s="635" t="s">
        <v>3965</v>
      </c>
      <c r="E51" s="21">
        <f t="shared" si="18"/>
        <v>1.01</v>
      </c>
      <c r="F51" s="635"/>
      <c r="G51" s="21">
        <f t="shared" si="19"/>
        <v>1</v>
      </c>
      <c r="H51" s="635"/>
      <c r="I51" s="21">
        <f t="shared" si="20"/>
        <v>1</v>
      </c>
      <c r="J51" s="635"/>
      <c r="K51" s="21">
        <f t="shared" si="21"/>
        <v>1</v>
      </c>
      <c r="L51" s="635"/>
      <c r="M51" s="21">
        <f t="shared" si="22"/>
        <v>1</v>
      </c>
      <c r="N51" s="635"/>
      <c r="O51" s="21">
        <f t="shared" si="23"/>
        <v>1</v>
      </c>
      <c r="P51" s="635"/>
      <c r="Q51" s="21">
        <f t="shared" si="24"/>
        <v>1</v>
      </c>
      <c r="R51" s="21">
        <f t="shared" ca="1" si="25"/>
        <v>9452</v>
      </c>
      <c r="S51" s="634">
        <f t="shared" ca="1" si="11"/>
        <v>172.2816</v>
      </c>
      <c r="T51" s="689">
        <f t="shared" ca="1" si="12"/>
        <v>9.0243000000000002</v>
      </c>
      <c r="U51" s="689">
        <f t="shared" ca="1" si="13"/>
        <v>8.6099999999999996E-2</v>
      </c>
      <c r="V51" s="689">
        <f t="shared" ca="1" si="14"/>
        <v>8.2039000000000009</v>
      </c>
      <c r="W51" s="689">
        <f t="shared" ca="1" si="15"/>
        <v>17.314300000000003</v>
      </c>
      <c r="X51" s="689">
        <f t="shared" ca="1" si="16"/>
        <v>154.96729999999999</v>
      </c>
    </row>
    <row r="52" spans="1:24">
      <c r="A52" s="142" t="str">
        <f>面积清单!H29</f>
        <v>2单元302</v>
      </c>
      <c r="B52" s="52">
        <f>面积清单!J29</f>
        <v>75.75</v>
      </c>
      <c r="C52" s="21">
        <f t="shared" si="17"/>
        <v>1</v>
      </c>
      <c r="D52" s="635" t="s">
        <v>3965</v>
      </c>
      <c r="E52" s="21">
        <f t="shared" si="18"/>
        <v>1.01</v>
      </c>
      <c r="F52" s="635"/>
      <c r="G52" s="21">
        <f t="shared" si="19"/>
        <v>1</v>
      </c>
      <c r="H52" s="635"/>
      <c r="I52" s="21">
        <f t="shared" si="20"/>
        <v>1</v>
      </c>
      <c r="J52" s="635"/>
      <c r="K52" s="21">
        <f t="shared" si="21"/>
        <v>1</v>
      </c>
      <c r="L52" s="635"/>
      <c r="M52" s="21">
        <f t="shared" si="22"/>
        <v>1</v>
      </c>
      <c r="N52" s="635"/>
      <c r="O52" s="21">
        <f t="shared" si="23"/>
        <v>1</v>
      </c>
      <c r="P52" s="635"/>
      <c r="Q52" s="21">
        <f t="shared" si="24"/>
        <v>1</v>
      </c>
      <c r="R52" s="21">
        <f t="shared" ca="1" si="25"/>
        <v>9548</v>
      </c>
      <c r="S52" s="634">
        <f t="shared" ca="1" si="11"/>
        <v>72.326099999999997</v>
      </c>
      <c r="T52" s="689">
        <f t="shared" ca="1" si="12"/>
        <v>3.7885</v>
      </c>
      <c r="U52" s="689">
        <f t="shared" ca="1" si="13"/>
        <v>3.6200000000000003E-2</v>
      </c>
      <c r="V52" s="689">
        <f t="shared" ca="1" si="14"/>
        <v>3.4441000000000002</v>
      </c>
      <c r="W52" s="689">
        <f t="shared" ca="1" si="15"/>
        <v>7.2688000000000006</v>
      </c>
      <c r="X52" s="689">
        <f t="shared" ca="1" si="16"/>
        <v>65.057299999999998</v>
      </c>
    </row>
    <row r="53" spans="1:24">
      <c r="A53" s="142" t="str">
        <f>面积清单!H30</f>
        <v>2单元303</v>
      </c>
      <c r="B53" s="52">
        <f>面积清单!J30</f>
        <v>81.709999999999994</v>
      </c>
      <c r="C53" s="21">
        <f t="shared" si="17"/>
        <v>1</v>
      </c>
      <c r="D53" s="635" t="s">
        <v>3965</v>
      </c>
      <c r="E53" s="21">
        <f t="shared" si="18"/>
        <v>1.01</v>
      </c>
      <c r="F53" s="635"/>
      <c r="G53" s="21">
        <f t="shared" si="19"/>
        <v>1</v>
      </c>
      <c r="H53" s="635"/>
      <c r="I53" s="21">
        <f t="shared" si="20"/>
        <v>1</v>
      </c>
      <c r="J53" s="635"/>
      <c r="K53" s="21">
        <f t="shared" si="21"/>
        <v>1</v>
      </c>
      <c r="L53" s="635"/>
      <c r="M53" s="21">
        <f t="shared" si="22"/>
        <v>1</v>
      </c>
      <c r="N53" s="635"/>
      <c r="O53" s="21">
        <f t="shared" si="23"/>
        <v>1</v>
      </c>
      <c r="P53" s="635"/>
      <c r="Q53" s="21">
        <f t="shared" si="24"/>
        <v>1</v>
      </c>
      <c r="R53" s="21">
        <f t="shared" ca="1" si="25"/>
        <v>9548</v>
      </c>
      <c r="S53" s="634">
        <f t="shared" ca="1" si="11"/>
        <v>78.0167</v>
      </c>
      <c r="T53" s="689">
        <f t="shared" ca="1" si="12"/>
        <v>4.0865999999999998</v>
      </c>
      <c r="U53" s="689">
        <f t="shared" ca="1" si="13"/>
        <v>3.9E-2</v>
      </c>
      <c r="V53" s="689">
        <f t="shared" ca="1" si="14"/>
        <v>3.7151000000000001</v>
      </c>
      <c r="W53" s="689">
        <f t="shared" ca="1" si="15"/>
        <v>7.8407</v>
      </c>
      <c r="X53" s="689">
        <f t="shared" ca="1" si="16"/>
        <v>70.176000000000002</v>
      </c>
    </row>
    <row r="54" spans="1:24">
      <c r="A54" s="142" t="str">
        <f>面积清单!H31</f>
        <v>2单元304</v>
      </c>
      <c r="B54" s="52">
        <f>面积清单!J31</f>
        <v>76.430000000000007</v>
      </c>
      <c r="C54" s="21">
        <f t="shared" si="17"/>
        <v>1</v>
      </c>
      <c r="D54" s="635" t="s">
        <v>3965</v>
      </c>
      <c r="E54" s="21">
        <f t="shared" si="18"/>
        <v>1.01</v>
      </c>
      <c r="F54" s="635"/>
      <c r="G54" s="21">
        <f t="shared" si="19"/>
        <v>1</v>
      </c>
      <c r="H54" s="635"/>
      <c r="I54" s="21">
        <f t="shared" si="20"/>
        <v>1</v>
      </c>
      <c r="J54" s="635"/>
      <c r="K54" s="21">
        <f t="shared" si="21"/>
        <v>1</v>
      </c>
      <c r="L54" s="635"/>
      <c r="M54" s="21">
        <f t="shared" si="22"/>
        <v>1</v>
      </c>
      <c r="N54" s="635"/>
      <c r="O54" s="21">
        <f t="shared" si="23"/>
        <v>1</v>
      </c>
      <c r="P54" s="635"/>
      <c r="Q54" s="21">
        <f t="shared" si="24"/>
        <v>1</v>
      </c>
      <c r="R54" s="21">
        <f t="shared" ca="1" si="25"/>
        <v>9548</v>
      </c>
      <c r="S54" s="634">
        <f t="shared" ca="1" si="11"/>
        <v>72.975399999999993</v>
      </c>
      <c r="T54" s="689">
        <f t="shared" ca="1" si="12"/>
        <v>3.8224999999999998</v>
      </c>
      <c r="U54" s="689">
        <f t="shared" ca="1" si="13"/>
        <v>3.6499999999999998E-2</v>
      </c>
      <c r="V54" s="689">
        <f t="shared" ca="1" si="14"/>
        <v>3.4750000000000001</v>
      </c>
      <c r="W54" s="689">
        <f t="shared" ca="1" si="15"/>
        <v>7.3339999999999996</v>
      </c>
      <c r="X54" s="689">
        <f t="shared" ca="1" si="16"/>
        <v>65.64139999999999</v>
      </c>
    </row>
    <row r="55" spans="1:24">
      <c r="A55" s="142" t="str">
        <f>面积清单!H32</f>
        <v>2单元305</v>
      </c>
      <c r="B55" s="52">
        <f>面积清单!J32</f>
        <v>73</v>
      </c>
      <c r="C55" s="21">
        <f t="shared" si="17"/>
        <v>1</v>
      </c>
      <c r="D55" s="635" t="s">
        <v>3965</v>
      </c>
      <c r="E55" s="21">
        <f t="shared" si="18"/>
        <v>1.01</v>
      </c>
      <c r="F55" s="635"/>
      <c r="G55" s="21">
        <f t="shared" si="19"/>
        <v>1</v>
      </c>
      <c r="H55" s="635"/>
      <c r="I55" s="21">
        <f t="shared" si="20"/>
        <v>1</v>
      </c>
      <c r="J55" s="635"/>
      <c r="K55" s="21">
        <f t="shared" si="21"/>
        <v>1</v>
      </c>
      <c r="L55" s="635"/>
      <c r="M55" s="21">
        <f t="shared" si="22"/>
        <v>1</v>
      </c>
      <c r="N55" s="635"/>
      <c r="O55" s="21">
        <f t="shared" si="23"/>
        <v>1</v>
      </c>
      <c r="P55" s="635"/>
      <c r="Q55" s="21">
        <f t="shared" si="24"/>
        <v>1</v>
      </c>
      <c r="R55" s="21">
        <f t="shared" ca="1" si="25"/>
        <v>9548</v>
      </c>
      <c r="S55" s="634">
        <f t="shared" ca="1" si="11"/>
        <v>69.700400000000002</v>
      </c>
      <c r="T55" s="689">
        <f t="shared" ca="1" si="12"/>
        <v>3.6509999999999998</v>
      </c>
      <c r="U55" s="689">
        <f t="shared" ca="1" si="13"/>
        <v>3.49E-2</v>
      </c>
      <c r="V55" s="689">
        <f t="shared" ca="1" si="14"/>
        <v>3.3191000000000002</v>
      </c>
      <c r="W55" s="689">
        <f t="shared" ca="1" si="15"/>
        <v>7.0049999999999999</v>
      </c>
      <c r="X55" s="689">
        <f t="shared" ca="1" si="16"/>
        <v>62.695399999999999</v>
      </c>
    </row>
    <row r="56" spans="1:24">
      <c r="A56" s="142" t="str">
        <f>面积清单!H33</f>
        <v>2单元306</v>
      </c>
      <c r="B56" s="52">
        <f>面积清单!J33</f>
        <v>78.45</v>
      </c>
      <c r="C56" s="21">
        <f t="shared" si="17"/>
        <v>1</v>
      </c>
      <c r="D56" s="635" t="s">
        <v>3965</v>
      </c>
      <c r="E56" s="21">
        <f t="shared" si="18"/>
        <v>1.01</v>
      </c>
      <c r="F56" s="635"/>
      <c r="G56" s="21">
        <f t="shared" si="19"/>
        <v>1</v>
      </c>
      <c r="H56" s="635"/>
      <c r="I56" s="21">
        <f t="shared" si="20"/>
        <v>1</v>
      </c>
      <c r="J56" s="635"/>
      <c r="K56" s="21">
        <f t="shared" si="21"/>
        <v>1</v>
      </c>
      <c r="L56" s="635"/>
      <c r="M56" s="21">
        <f t="shared" si="22"/>
        <v>1</v>
      </c>
      <c r="N56" s="635"/>
      <c r="O56" s="21">
        <f t="shared" si="23"/>
        <v>1</v>
      </c>
      <c r="P56" s="635"/>
      <c r="Q56" s="21">
        <f t="shared" si="24"/>
        <v>1</v>
      </c>
      <c r="R56" s="21">
        <f t="shared" ca="1" si="25"/>
        <v>9548</v>
      </c>
      <c r="S56" s="634">
        <f t="shared" ca="1" si="11"/>
        <v>74.9041</v>
      </c>
      <c r="T56" s="689">
        <f t="shared" ca="1" si="12"/>
        <v>3.9235000000000002</v>
      </c>
      <c r="U56" s="689">
        <f t="shared" ca="1" si="13"/>
        <v>3.7499999999999999E-2</v>
      </c>
      <c r="V56" s="689">
        <f t="shared" ca="1" si="14"/>
        <v>3.5669</v>
      </c>
      <c r="W56" s="689">
        <f t="shared" ca="1" si="15"/>
        <v>7.5279000000000007</v>
      </c>
      <c r="X56" s="689">
        <f t="shared" ca="1" si="16"/>
        <v>67.376199999999997</v>
      </c>
    </row>
    <row r="57" spans="1:24">
      <c r="A57" s="142" t="str">
        <f>面积清单!H34</f>
        <v>2单元307</v>
      </c>
      <c r="B57" s="52">
        <f>面积清单!J34</f>
        <v>75.959999999999994</v>
      </c>
      <c r="C57" s="21">
        <f t="shared" si="17"/>
        <v>1</v>
      </c>
      <c r="D57" s="635" t="s">
        <v>3965</v>
      </c>
      <c r="E57" s="21">
        <f t="shared" si="18"/>
        <v>1.01</v>
      </c>
      <c r="F57" s="635"/>
      <c r="G57" s="21">
        <f t="shared" si="19"/>
        <v>1</v>
      </c>
      <c r="H57" s="635"/>
      <c r="I57" s="21">
        <f t="shared" si="20"/>
        <v>1</v>
      </c>
      <c r="J57" s="635"/>
      <c r="K57" s="21">
        <f t="shared" si="21"/>
        <v>1</v>
      </c>
      <c r="L57" s="635"/>
      <c r="M57" s="21">
        <f t="shared" si="22"/>
        <v>1</v>
      </c>
      <c r="N57" s="635"/>
      <c r="O57" s="21">
        <f t="shared" si="23"/>
        <v>1</v>
      </c>
      <c r="P57" s="635"/>
      <c r="Q57" s="21">
        <f t="shared" si="24"/>
        <v>1</v>
      </c>
      <c r="R57" s="21">
        <f t="shared" ca="1" si="25"/>
        <v>9548</v>
      </c>
      <c r="S57" s="634">
        <f t="shared" ca="1" si="11"/>
        <v>72.526600000000002</v>
      </c>
      <c r="T57" s="689">
        <f t="shared" ca="1" si="12"/>
        <v>3.7989999999999999</v>
      </c>
      <c r="U57" s="689">
        <f t="shared" ca="1" si="13"/>
        <v>3.6299999999999999E-2</v>
      </c>
      <c r="V57" s="689">
        <f t="shared" ca="1" si="14"/>
        <v>3.4535999999999998</v>
      </c>
      <c r="W57" s="689">
        <f t="shared" ca="1" si="15"/>
        <v>7.2888999999999999</v>
      </c>
      <c r="X57" s="689">
        <f t="shared" ca="1" si="16"/>
        <v>65.237700000000004</v>
      </c>
    </row>
    <row r="58" spans="1:24">
      <c r="A58" s="142" t="str">
        <f>面积清单!H35</f>
        <v>2单元308</v>
      </c>
      <c r="B58" s="52">
        <f>面积清单!J35</f>
        <v>75.959999999999994</v>
      </c>
      <c r="C58" s="21">
        <f t="shared" si="17"/>
        <v>1</v>
      </c>
      <c r="D58" s="635" t="s">
        <v>3965</v>
      </c>
      <c r="E58" s="21">
        <f t="shared" si="18"/>
        <v>1.01</v>
      </c>
      <c r="F58" s="635"/>
      <c r="G58" s="21">
        <f t="shared" si="19"/>
        <v>1</v>
      </c>
      <c r="H58" s="635"/>
      <c r="I58" s="21">
        <f t="shared" si="20"/>
        <v>1</v>
      </c>
      <c r="J58" s="635"/>
      <c r="K58" s="21">
        <f t="shared" si="21"/>
        <v>1</v>
      </c>
      <c r="L58" s="635"/>
      <c r="M58" s="21">
        <f t="shared" si="22"/>
        <v>1</v>
      </c>
      <c r="N58" s="635"/>
      <c r="O58" s="21">
        <f t="shared" si="23"/>
        <v>1</v>
      </c>
      <c r="P58" s="635"/>
      <c r="Q58" s="21">
        <f t="shared" si="24"/>
        <v>1</v>
      </c>
      <c r="R58" s="21">
        <f t="shared" ca="1" si="25"/>
        <v>9548</v>
      </c>
      <c r="S58" s="634">
        <f t="shared" ca="1" si="11"/>
        <v>72.526600000000002</v>
      </c>
      <c r="T58" s="689">
        <f t="shared" ca="1" si="12"/>
        <v>3.7989999999999999</v>
      </c>
      <c r="U58" s="689">
        <f t="shared" ca="1" si="13"/>
        <v>3.6299999999999999E-2</v>
      </c>
      <c r="V58" s="689">
        <f t="shared" ca="1" si="14"/>
        <v>3.4535999999999998</v>
      </c>
      <c r="W58" s="689">
        <f t="shared" ca="1" si="15"/>
        <v>7.2888999999999999</v>
      </c>
      <c r="X58" s="689">
        <f t="shared" ca="1" si="16"/>
        <v>65.237700000000004</v>
      </c>
    </row>
    <row r="59" spans="1:24">
      <c r="A59" s="142" t="str">
        <f>面积清单!H36</f>
        <v>2单元309</v>
      </c>
      <c r="B59" s="52">
        <f>面积清单!J36</f>
        <v>78.45</v>
      </c>
      <c r="C59" s="21">
        <f t="shared" si="17"/>
        <v>1</v>
      </c>
      <c r="D59" s="635" t="s">
        <v>3965</v>
      </c>
      <c r="E59" s="21">
        <f t="shared" si="18"/>
        <v>1.01</v>
      </c>
      <c r="F59" s="635"/>
      <c r="G59" s="21">
        <f t="shared" si="19"/>
        <v>1</v>
      </c>
      <c r="H59" s="635"/>
      <c r="I59" s="21">
        <f t="shared" si="20"/>
        <v>1</v>
      </c>
      <c r="J59" s="635"/>
      <c r="K59" s="21">
        <f t="shared" si="21"/>
        <v>1</v>
      </c>
      <c r="L59" s="635"/>
      <c r="M59" s="21">
        <f t="shared" si="22"/>
        <v>1</v>
      </c>
      <c r="N59" s="635"/>
      <c r="O59" s="21">
        <f t="shared" si="23"/>
        <v>1</v>
      </c>
      <c r="P59" s="635"/>
      <c r="Q59" s="21">
        <f t="shared" si="24"/>
        <v>1</v>
      </c>
      <c r="R59" s="21">
        <f t="shared" ca="1" si="25"/>
        <v>9548</v>
      </c>
      <c r="S59" s="634">
        <f t="shared" ca="1" si="11"/>
        <v>74.9041</v>
      </c>
      <c r="T59" s="689">
        <f t="shared" ca="1" si="12"/>
        <v>3.9235000000000002</v>
      </c>
      <c r="U59" s="689">
        <f t="shared" ca="1" si="13"/>
        <v>3.7499999999999999E-2</v>
      </c>
      <c r="V59" s="689">
        <f t="shared" ca="1" si="14"/>
        <v>3.5669</v>
      </c>
      <c r="W59" s="689">
        <f t="shared" ca="1" si="15"/>
        <v>7.5279000000000007</v>
      </c>
      <c r="X59" s="689">
        <f t="shared" ca="1" si="16"/>
        <v>67.376199999999997</v>
      </c>
    </row>
    <row r="60" spans="1:24">
      <c r="A60" s="142" t="str">
        <f>面积清单!H37</f>
        <v>2单元310</v>
      </c>
      <c r="B60" s="52">
        <f>面积清单!J37</f>
        <v>73.47</v>
      </c>
      <c r="C60" s="21">
        <f t="shared" si="17"/>
        <v>1</v>
      </c>
      <c r="D60" s="635" t="s">
        <v>3965</v>
      </c>
      <c r="E60" s="21">
        <f t="shared" si="18"/>
        <v>1.01</v>
      </c>
      <c r="F60" s="635"/>
      <c r="G60" s="21">
        <f t="shared" si="19"/>
        <v>1</v>
      </c>
      <c r="H60" s="635"/>
      <c r="I60" s="21">
        <f t="shared" si="20"/>
        <v>1</v>
      </c>
      <c r="J60" s="635"/>
      <c r="K60" s="21">
        <f t="shared" si="21"/>
        <v>1</v>
      </c>
      <c r="L60" s="635"/>
      <c r="M60" s="21">
        <f t="shared" si="22"/>
        <v>1</v>
      </c>
      <c r="N60" s="635"/>
      <c r="O60" s="21">
        <f t="shared" si="23"/>
        <v>1</v>
      </c>
      <c r="P60" s="635"/>
      <c r="Q60" s="21">
        <f t="shared" si="24"/>
        <v>1</v>
      </c>
      <c r="R60" s="21">
        <f t="shared" ca="1" si="25"/>
        <v>9548</v>
      </c>
      <c r="S60" s="634">
        <f t="shared" ca="1" si="11"/>
        <v>70.149199999999993</v>
      </c>
      <c r="T60" s="689">
        <f t="shared" ca="1" si="12"/>
        <v>3.6745000000000001</v>
      </c>
      <c r="U60" s="689">
        <f t="shared" ca="1" si="13"/>
        <v>3.5099999999999999E-2</v>
      </c>
      <c r="V60" s="689">
        <f t="shared" ca="1" si="14"/>
        <v>3.3403999999999998</v>
      </c>
      <c r="W60" s="689">
        <f t="shared" ca="1" si="15"/>
        <v>7.05</v>
      </c>
      <c r="X60" s="689">
        <f t="shared" ca="1" si="16"/>
        <v>63.099199999999996</v>
      </c>
    </row>
    <row r="61" spans="1:24">
      <c r="A61" s="142" t="str">
        <f>面积清单!H38</f>
        <v>2单元311</v>
      </c>
      <c r="B61" s="52">
        <f>面积清单!J38</f>
        <v>75.959999999999994</v>
      </c>
      <c r="C61" s="21">
        <f t="shared" si="17"/>
        <v>1</v>
      </c>
      <c r="D61" s="635" t="s">
        <v>3965</v>
      </c>
      <c r="E61" s="21">
        <f t="shared" si="18"/>
        <v>1.01</v>
      </c>
      <c r="F61" s="635"/>
      <c r="G61" s="21">
        <f t="shared" si="19"/>
        <v>1</v>
      </c>
      <c r="H61" s="635"/>
      <c r="I61" s="21">
        <f t="shared" si="20"/>
        <v>1</v>
      </c>
      <c r="J61" s="635"/>
      <c r="K61" s="21">
        <f t="shared" si="21"/>
        <v>1</v>
      </c>
      <c r="L61" s="635"/>
      <c r="M61" s="21">
        <f t="shared" si="22"/>
        <v>1</v>
      </c>
      <c r="N61" s="635"/>
      <c r="O61" s="21">
        <f t="shared" si="23"/>
        <v>1</v>
      </c>
      <c r="P61" s="635"/>
      <c r="Q61" s="21">
        <f t="shared" si="24"/>
        <v>1</v>
      </c>
      <c r="R61" s="21">
        <f t="shared" ca="1" si="25"/>
        <v>9548</v>
      </c>
      <c r="S61" s="634">
        <f t="shared" ca="1" si="11"/>
        <v>72.526600000000002</v>
      </c>
      <c r="T61" s="689">
        <f t="shared" ca="1" si="12"/>
        <v>3.7989999999999999</v>
      </c>
      <c r="U61" s="689">
        <f t="shared" ca="1" si="13"/>
        <v>3.6299999999999999E-2</v>
      </c>
      <c r="V61" s="689">
        <f t="shared" ca="1" si="14"/>
        <v>3.4535999999999998</v>
      </c>
      <c r="W61" s="689">
        <f t="shared" ca="1" si="15"/>
        <v>7.2888999999999999</v>
      </c>
      <c r="X61" s="689">
        <f t="shared" ca="1" si="16"/>
        <v>65.237700000000004</v>
      </c>
    </row>
    <row r="62" spans="1:24">
      <c r="A62" s="142" t="str">
        <f>面积清单!H39</f>
        <v>2单元312</v>
      </c>
      <c r="B62" s="52">
        <f>面积清单!J39</f>
        <v>83.52</v>
      </c>
      <c r="C62" s="21">
        <f t="shared" si="17"/>
        <v>1</v>
      </c>
      <c r="D62" s="635" t="s">
        <v>3965</v>
      </c>
      <c r="E62" s="21">
        <f t="shared" si="18"/>
        <v>1.01</v>
      </c>
      <c r="F62" s="635"/>
      <c r="G62" s="21">
        <f t="shared" si="19"/>
        <v>1</v>
      </c>
      <c r="H62" s="635"/>
      <c r="I62" s="21">
        <f t="shared" si="20"/>
        <v>1</v>
      </c>
      <c r="J62" s="635"/>
      <c r="K62" s="21">
        <f t="shared" si="21"/>
        <v>1</v>
      </c>
      <c r="L62" s="635"/>
      <c r="M62" s="21">
        <f t="shared" si="22"/>
        <v>1</v>
      </c>
      <c r="N62" s="635"/>
      <c r="O62" s="21">
        <f t="shared" si="23"/>
        <v>1</v>
      </c>
      <c r="P62" s="635"/>
      <c r="Q62" s="21">
        <f t="shared" si="24"/>
        <v>1</v>
      </c>
      <c r="R62" s="21">
        <f t="shared" ca="1" si="25"/>
        <v>9548</v>
      </c>
      <c r="S62" s="634">
        <f t="shared" ca="1" si="11"/>
        <v>79.744900000000001</v>
      </c>
      <c r="T62" s="689">
        <f t="shared" ca="1" si="12"/>
        <v>4.1771000000000003</v>
      </c>
      <c r="U62" s="689">
        <f t="shared" ca="1" si="13"/>
        <v>3.9899999999999998E-2</v>
      </c>
      <c r="V62" s="689">
        <f t="shared" ca="1" si="14"/>
        <v>3.7974000000000001</v>
      </c>
      <c r="W62" s="689">
        <f t="shared" ca="1" si="15"/>
        <v>8.0144000000000002</v>
      </c>
      <c r="X62" s="689">
        <f t="shared" ca="1" si="16"/>
        <v>71.730500000000006</v>
      </c>
    </row>
    <row r="63" spans="1:24">
      <c r="A63" s="142" t="str">
        <f>面积清单!H40</f>
        <v>2单元313</v>
      </c>
      <c r="B63" s="52">
        <f>面积清单!J40</f>
        <v>89.88</v>
      </c>
      <c r="C63" s="21">
        <f t="shared" si="17"/>
        <v>1</v>
      </c>
      <c r="D63" s="635" t="s">
        <v>3965</v>
      </c>
      <c r="E63" s="21">
        <f t="shared" si="18"/>
        <v>1.01</v>
      </c>
      <c r="F63" s="635"/>
      <c r="G63" s="21">
        <f t="shared" si="19"/>
        <v>1</v>
      </c>
      <c r="H63" s="635"/>
      <c r="I63" s="21">
        <f t="shared" si="20"/>
        <v>1</v>
      </c>
      <c r="J63" s="635"/>
      <c r="K63" s="21">
        <f t="shared" si="21"/>
        <v>1</v>
      </c>
      <c r="L63" s="635"/>
      <c r="M63" s="21">
        <f t="shared" si="22"/>
        <v>1</v>
      </c>
      <c r="N63" s="635"/>
      <c r="O63" s="21">
        <f t="shared" si="23"/>
        <v>1</v>
      </c>
      <c r="P63" s="635"/>
      <c r="Q63" s="21">
        <f t="shared" si="24"/>
        <v>1</v>
      </c>
      <c r="R63" s="21">
        <f t="shared" ca="1" si="25"/>
        <v>9548</v>
      </c>
      <c r="S63" s="634">
        <f t="shared" ca="1" si="11"/>
        <v>85.817400000000006</v>
      </c>
      <c r="T63" s="689">
        <f t="shared" ca="1" si="12"/>
        <v>4.4951999999999996</v>
      </c>
      <c r="U63" s="689">
        <f t="shared" ca="1" si="13"/>
        <v>4.2900000000000001E-2</v>
      </c>
      <c r="V63" s="689">
        <f t="shared" ca="1" si="14"/>
        <v>4.0865</v>
      </c>
      <c r="W63" s="689">
        <f t="shared" ca="1" si="15"/>
        <v>8.6246000000000009</v>
      </c>
      <c r="X63" s="689">
        <f t="shared" ca="1" si="16"/>
        <v>77.192800000000005</v>
      </c>
    </row>
    <row r="64" spans="1:24">
      <c r="A64" s="142" t="str">
        <f>面积清单!H41</f>
        <v>2单元314</v>
      </c>
      <c r="B64" s="52">
        <f>面积清单!J41</f>
        <v>174.94</v>
      </c>
      <c r="C64" s="21">
        <f t="shared" si="17"/>
        <v>0.99</v>
      </c>
      <c r="D64" s="635" t="s">
        <v>3965</v>
      </c>
      <c r="E64" s="21">
        <f t="shared" si="18"/>
        <v>1.01</v>
      </c>
      <c r="F64" s="635"/>
      <c r="G64" s="21">
        <f t="shared" si="19"/>
        <v>1</v>
      </c>
      <c r="H64" s="635"/>
      <c r="I64" s="21">
        <f t="shared" si="20"/>
        <v>1</v>
      </c>
      <c r="J64" s="635"/>
      <c r="K64" s="21">
        <f t="shared" si="21"/>
        <v>1</v>
      </c>
      <c r="L64" s="635"/>
      <c r="M64" s="21">
        <f t="shared" si="22"/>
        <v>1</v>
      </c>
      <c r="N64" s="635"/>
      <c r="O64" s="21">
        <f t="shared" si="23"/>
        <v>1</v>
      </c>
      <c r="P64" s="635"/>
      <c r="Q64" s="21">
        <f t="shared" si="24"/>
        <v>1</v>
      </c>
      <c r="R64" s="21">
        <f t="shared" ca="1" si="25"/>
        <v>9452</v>
      </c>
      <c r="S64" s="634">
        <f t="shared" ca="1" si="11"/>
        <v>165.35329999999999</v>
      </c>
      <c r="T64" s="689">
        <f t="shared" ca="1" si="12"/>
        <v>8.6614000000000004</v>
      </c>
      <c r="U64" s="689">
        <f t="shared" ca="1" si="13"/>
        <v>8.2699999999999996E-2</v>
      </c>
      <c r="V64" s="689">
        <f t="shared" ca="1" si="14"/>
        <v>7.8739999999999997</v>
      </c>
      <c r="W64" s="689">
        <f t="shared" ca="1" si="15"/>
        <v>16.618099999999998</v>
      </c>
      <c r="X64" s="689">
        <f t="shared" ca="1" si="16"/>
        <v>148.73519999999999</v>
      </c>
    </row>
    <row r="65" spans="1:24">
      <c r="A65" s="142" t="str">
        <f>面积清单!H42</f>
        <v>2单元315</v>
      </c>
      <c r="B65" s="52">
        <f>面积清单!J42</f>
        <v>71.61</v>
      </c>
      <c r="C65" s="21">
        <f t="shared" si="17"/>
        <v>1</v>
      </c>
      <c r="D65" s="635" t="s">
        <v>3965</v>
      </c>
      <c r="E65" s="21">
        <f t="shared" si="18"/>
        <v>1.01</v>
      </c>
      <c r="F65" s="635"/>
      <c r="G65" s="21">
        <f t="shared" si="19"/>
        <v>1</v>
      </c>
      <c r="H65" s="635"/>
      <c r="I65" s="21">
        <f t="shared" si="20"/>
        <v>1</v>
      </c>
      <c r="J65" s="635"/>
      <c r="K65" s="21">
        <f t="shared" si="21"/>
        <v>1</v>
      </c>
      <c r="L65" s="635"/>
      <c r="M65" s="21">
        <f t="shared" si="22"/>
        <v>1</v>
      </c>
      <c r="N65" s="635"/>
      <c r="O65" s="21">
        <f t="shared" si="23"/>
        <v>1</v>
      </c>
      <c r="P65" s="635"/>
      <c r="Q65" s="21">
        <f t="shared" si="24"/>
        <v>1</v>
      </c>
      <c r="R65" s="21">
        <f t="shared" ca="1" si="25"/>
        <v>9548</v>
      </c>
      <c r="S65" s="634">
        <f t="shared" ca="1" si="11"/>
        <v>68.373199999999997</v>
      </c>
      <c r="T65" s="689">
        <f t="shared" ca="1" si="12"/>
        <v>3.5815000000000001</v>
      </c>
      <c r="U65" s="689">
        <f t="shared" ca="1" si="13"/>
        <v>3.4200000000000001E-2</v>
      </c>
      <c r="V65" s="689">
        <f t="shared" ca="1" si="14"/>
        <v>3.2559</v>
      </c>
      <c r="W65" s="689">
        <f t="shared" ca="1" si="15"/>
        <v>6.8715999999999999</v>
      </c>
      <c r="X65" s="689">
        <f t="shared" ca="1" si="16"/>
        <v>61.501599999999996</v>
      </c>
    </row>
    <row r="66" spans="1:24">
      <c r="A66" s="142" t="str">
        <f>面积清单!H43</f>
        <v>2单元316</v>
      </c>
      <c r="B66" s="52">
        <f>面积清单!J43</f>
        <v>63.07</v>
      </c>
      <c r="C66" s="21">
        <f t="shared" si="17"/>
        <v>1</v>
      </c>
      <c r="D66" s="635" t="s">
        <v>3965</v>
      </c>
      <c r="E66" s="21">
        <f t="shared" si="18"/>
        <v>1.01</v>
      </c>
      <c r="F66" s="635"/>
      <c r="G66" s="21">
        <f t="shared" si="19"/>
        <v>1</v>
      </c>
      <c r="H66" s="635"/>
      <c r="I66" s="21">
        <f t="shared" si="20"/>
        <v>1</v>
      </c>
      <c r="J66" s="635"/>
      <c r="K66" s="21">
        <f t="shared" si="21"/>
        <v>1</v>
      </c>
      <c r="L66" s="635"/>
      <c r="M66" s="21">
        <f t="shared" si="22"/>
        <v>1</v>
      </c>
      <c r="N66" s="635"/>
      <c r="O66" s="21">
        <f t="shared" si="23"/>
        <v>1</v>
      </c>
      <c r="P66" s="635"/>
      <c r="Q66" s="21">
        <f t="shared" si="24"/>
        <v>1</v>
      </c>
      <c r="R66" s="21">
        <f t="shared" ca="1" si="25"/>
        <v>9548</v>
      </c>
      <c r="S66" s="634">
        <f t="shared" ca="1" si="11"/>
        <v>60.219200000000001</v>
      </c>
      <c r="T66" s="689">
        <f t="shared" ca="1" si="12"/>
        <v>3.1543000000000001</v>
      </c>
      <c r="U66" s="689">
        <f t="shared" ca="1" si="13"/>
        <v>3.0099999999999998E-2</v>
      </c>
      <c r="V66" s="689">
        <f t="shared" ca="1" si="14"/>
        <v>2.8675999999999999</v>
      </c>
      <c r="W66" s="689">
        <f t="shared" ca="1" si="15"/>
        <v>6.0519999999999996</v>
      </c>
      <c r="X66" s="689">
        <f t="shared" ca="1" si="16"/>
        <v>54.167200000000001</v>
      </c>
    </row>
    <row r="67" spans="1:24">
      <c r="A67" s="142" t="str">
        <f>面积清单!H44</f>
        <v>2单元317</v>
      </c>
      <c r="B67" s="52">
        <f>面积清单!J44</f>
        <v>54.75</v>
      </c>
      <c r="C67" s="21">
        <f t="shared" si="17"/>
        <v>1</v>
      </c>
      <c r="D67" s="635" t="s">
        <v>3965</v>
      </c>
      <c r="E67" s="21">
        <f t="shared" si="18"/>
        <v>1.01</v>
      </c>
      <c r="F67" s="635"/>
      <c r="G67" s="21">
        <f t="shared" si="19"/>
        <v>1</v>
      </c>
      <c r="H67" s="635"/>
      <c r="I67" s="21">
        <f t="shared" si="20"/>
        <v>1</v>
      </c>
      <c r="J67" s="635"/>
      <c r="K67" s="21">
        <f t="shared" si="21"/>
        <v>1</v>
      </c>
      <c r="L67" s="635"/>
      <c r="M67" s="21">
        <f t="shared" si="22"/>
        <v>1</v>
      </c>
      <c r="N67" s="635"/>
      <c r="O67" s="21">
        <f t="shared" si="23"/>
        <v>1</v>
      </c>
      <c r="P67" s="635"/>
      <c r="Q67" s="21">
        <f t="shared" si="24"/>
        <v>1</v>
      </c>
      <c r="R67" s="21">
        <f t="shared" ca="1" si="25"/>
        <v>9548</v>
      </c>
      <c r="S67" s="634">
        <f t="shared" ca="1" si="11"/>
        <v>52.275300000000001</v>
      </c>
      <c r="T67" s="689">
        <f t="shared" ca="1" si="12"/>
        <v>2.7382</v>
      </c>
      <c r="U67" s="689">
        <f t="shared" ca="1" si="13"/>
        <v>2.6100000000000002E-2</v>
      </c>
      <c r="V67" s="689">
        <f t="shared" ca="1" si="14"/>
        <v>2.4893000000000001</v>
      </c>
      <c r="W67" s="689">
        <f t="shared" ca="1" si="15"/>
        <v>5.2536000000000005</v>
      </c>
      <c r="X67" s="689">
        <f t="shared" ca="1" si="16"/>
        <v>47.021700000000003</v>
      </c>
    </row>
    <row r="68" spans="1:24">
      <c r="A68" s="142" t="str">
        <f>面积清单!H45</f>
        <v>2单元318</v>
      </c>
      <c r="B68" s="52">
        <f>面积清单!J45</f>
        <v>54.75</v>
      </c>
      <c r="C68" s="21">
        <f t="shared" si="17"/>
        <v>1</v>
      </c>
      <c r="D68" s="635" t="s">
        <v>3965</v>
      </c>
      <c r="E68" s="21">
        <f t="shared" si="18"/>
        <v>1.01</v>
      </c>
      <c r="F68" s="635"/>
      <c r="G68" s="21">
        <f t="shared" si="19"/>
        <v>1</v>
      </c>
      <c r="H68" s="635"/>
      <c r="I68" s="21">
        <f t="shared" si="20"/>
        <v>1</v>
      </c>
      <c r="J68" s="635"/>
      <c r="K68" s="21">
        <f t="shared" si="21"/>
        <v>1</v>
      </c>
      <c r="L68" s="635"/>
      <c r="M68" s="21">
        <f t="shared" si="22"/>
        <v>1</v>
      </c>
      <c r="N68" s="635"/>
      <c r="O68" s="21">
        <f t="shared" si="23"/>
        <v>1</v>
      </c>
      <c r="P68" s="635"/>
      <c r="Q68" s="21">
        <f t="shared" si="24"/>
        <v>1</v>
      </c>
      <c r="R68" s="21">
        <f t="shared" ca="1" si="25"/>
        <v>9548</v>
      </c>
      <c r="S68" s="634">
        <f t="shared" ca="1" si="11"/>
        <v>52.275300000000001</v>
      </c>
      <c r="T68" s="689">
        <f t="shared" ca="1" si="12"/>
        <v>2.7382</v>
      </c>
      <c r="U68" s="689">
        <f t="shared" ca="1" si="13"/>
        <v>2.6100000000000002E-2</v>
      </c>
      <c r="V68" s="689">
        <f t="shared" ca="1" si="14"/>
        <v>2.4893000000000001</v>
      </c>
      <c r="W68" s="689">
        <f t="shared" ca="1" si="15"/>
        <v>5.2536000000000005</v>
      </c>
      <c r="X68" s="689">
        <f t="shared" ca="1" si="16"/>
        <v>47.021700000000003</v>
      </c>
    </row>
    <row r="69" spans="1:24">
      <c r="A69" s="142" t="str">
        <f>面积清单!H46</f>
        <v>2单元319</v>
      </c>
      <c r="B69" s="52">
        <f>面积清单!J46</f>
        <v>54.75</v>
      </c>
      <c r="C69" s="21">
        <f t="shared" si="17"/>
        <v>1</v>
      </c>
      <c r="D69" s="635" t="s">
        <v>3965</v>
      </c>
      <c r="E69" s="21">
        <f t="shared" si="18"/>
        <v>1.01</v>
      </c>
      <c r="F69" s="635"/>
      <c r="G69" s="21">
        <f t="shared" si="19"/>
        <v>1</v>
      </c>
      <c r="H69" s="635"/>
      <c r="I69" s="21">
        <f t="shared" si="20"/>
        <v>1</v>
      </c>
      <c r="J69" s="635"/>
      <c r="K69" s="21">
        <f t="shared" si="21"/>
        <v>1</v>
      </c>
      <c r="L69" s="635"/>
      <c r="M69" s="21">
        <f t="shared" si="22"/>
        <v>1</v>
      </c>
      <c r="N69" s="635"/>
      <c r="O69" s="21">
        <f t="shared" si="23"/>
        <v>1</v>
      </c>
      <c r="P69" s="635"/>
      <c r="Q69" s="21">
        <f t="shared" si="24"/>
        <v>1</v>
      </c>
      <c r="R69" s="21">
        <f t="shared" ca="1" si="25"/>
        <v>9548</v>
      </c>
      <c r="S69" s="634">
        <f t="shared" ca="1" si="11"/>
        <v>52.275300000000001</v>
      </c>
      <c r="T69" s="689">
        <f t="shared" ca="1" si="12"/>
        <v>2.7382</v>
      </c>
      <c r="U69" s="689">
        <f t="shared" ca="1" si="13"/>
        <v>2.6100000000000002E-2</v>
      </c>
      <c r="V69" s="689">
        <f t="shared" ca="1" si="14"/>
        <v>2.4893000000000001</v>
      </c>
      <c r="W69" s="689">
        <f t="shared" ca="1" si="15"/>
        <v>5.2536000000000005</v>
      </c>
      <c r="X69" s="689">
        <f t="shared" ca="1" si="16"/>
        <v>47.021700000000003</v>
      </c>
    </row>
    <row r="70" spans="1:24">
      <c r="A70" s="142" t="str">
        <f>面积清单!H47</f>
        <v>2单元320</v>
      </c>
      <c r="B70" s="52">
        <f>面积清单!J47</f>
        <v>54.75</v>
      </c>
      <c r="C70" s="21">
        <f t="shared" si="17"/>
        <v>1</v>
      </c>
      <c r="D70" s="635" t="s">
        <v>3965</v>
      </c>
      <c r="E70" s="21">
        <f t="shared" si="18"/>
        <v>1.01</v>
      </c>
      <c r="F70" s="635"/>
      <c r="G70" s="21">
        <f t="shared" si="19"/>
        <v>1</v>
      </c>
      <c r="H70" s="635"/>
      <c r="I70" s="21">
        <f t="shared" si="20"/>
        <v>1</v>
      </c>
      <c r="J70" s="635"/>
      <c r="K70" s="21">
        <f t="shared" si="21"/>
        <v>1</v>
      </c>
      <c r="L70" s="635"/>
      <c r="M70" s="21">
        <f t="shared" si="22"/>
        <v>1</v>
      </c>
      <c r="N70" s="635"/>
      <c r="O70" s="21">
        <f t="shared" si="23"/>
        <v>1</v>
      </c>
      <c r="P70" s="635"/>
      <c r="Q70" s="21">
        <f t="shared" si="24"/>
        <v>1</v>
      </c>
      <c r="R70" s="21">
        <f t="shared" ca="1" si="25"/>
        <v>9548</v>
      </c>
      <c r="S70" s="634">
        <f t="shared" ca="1" si="11"/>
        <v>52.275300000000001</v>
      </c>
      <c r="T70" s="689">
        <f t="shared" ca="1" si="12"/>
        <v>2.7382</v>
      </c>
      <c r="U70" s="689">
        <f t="shared" ca="1" si="13"/>
        <v>2.6100000000000002E-2</v>
      </c>
      <c r="V70" s="689">
        <f t="shared" ca="1" si="14"/>
        <v>2.4893000000000001</v>
      </c>
      <c r="W70" s="689">
        <f t="shared" ca="1" si="15"/>
        <v>5.2536000000000005</v>
      </c>
      <c r="X70" s="689">
        <f t="shared" ca="1" si="16"/>
        <v>47.021700000000003</v>
      </c>
    </row>
    <row r="71" spans="1:24">
      <c r="A71" s="142" t="str">
        <f>面积清单!H48</f>
        <v>2单元321</v>
      </c>
      <c r="B71" s="52">
        <f>面积清单!J48</f>
        <v>54.75</v>
      </c>
      <c r="C71" s="21">
        <f t="shared" si="17"/>
        <v>1</v>
      </c>
      <c r="D71" s="635" t="s">
        <v>3965</v>
      </c>
      <c r="E71" s="21">
        <f t="shared" si="18"/>
        <v>1.01</v>
      </c>
      <c r="F71" s="635"/>
      <c r="G71" s="21">
        <f t="shared" si="19"/>
        <v>1</v>
      </c>
      <c r="H71" s="635"/>
      <c r="I71" s="21">
        <f t="shared" si="20"/>
        <v>1</v>
      </c>
      <c r="J71" s="635"/>
      <c r="K71" s="21">
        <f t="shared" si="21"/>
        <v>1</v>
      </c>
      <c r="L71" s="635"/>
      <c r="M71" s="21">
        <f t="shared" si="22"/>
        <v>1</v>
      </c>
      <c r="N71" s="635"/>
      <c r="O71" s="21">
        <f t="shared" si="23"/>
        <v>1</v>
      </c>
      <c r="P71" s="635"/>
      <c r="Q71" s="21">
        <f t="shared" si="24"/>
        <v>1</v>
      </c>
      <c r="R71" s="21">
        <f t="shared" ca="1" si="25"/>
        <v>9548</v>
      </c>
      <c r="S71" s="634">
        <f t="shared" ca="1" si="11"/>
        <v>52.275300000000001</v>
      </c>
      <c r="T71" s="689">
        <f t="shared" ca="1" si="12"/>
        <v>2.7382</v>
      </c>
      <c r="U71" s="689">
        <f t="shared" ca="1" si="13"/>
        <v>2.6100000000000002E-2</v>
      </c>
      <c r="V71" s="689">
        <f t="shared" ca="1" si="14"/>
        <v>2.4893000000000001</v>
      </c>
      <c r="W71" s="689">
        <f t="shared" ca="1" si="15"/>
        <v>5.2536000000000005</v>
      </c>
      <c r="X71" s="689">
        <f t="shared" ca="1" si="16"/>
        <v>47.021700000000003</v>
      </c>
    </row>
    <row r="72" spans="1:24">
      <c r="A72" s="142" t="str">
        <f>面积清单!H49</f>
        <v>2单元322</v>
      </c>
      <c r="B72" s="52">
        <f>面积清单!J49</f>
        <v>54.75</v>
      </c>
      <c r="C72" s="21">
        <f t="shared" si="17"/>
        <v>1</v>
      </c>
      <c r="D72" s="635" t="s">
        <v>3965</v>
      </c>
      <c r="E72" s="21">
        <f t="shared" si="18"/>
        <v>1.01</v>
      </c>
      <c r="F72" s="635"/>
      <c r="G72" s="21">
        <f t="shared" si="19"/>
        <v>1</v>
      </c>
      <c r="H72" s="635"/>
      <c r="I72" s="21">
        <f t="shared" si="20"/>
        <v>1</v>
      </c>
      <c r="J72" s="635"/>
      <c r="K72" s="21">
        <f t="shared" si="21"/>
        <v>1</v>
      </c>
      <c r="L72" s="635"/>
      <c r="M72" s="21">
        <f t="shared" si="22"/>
        <v>1</v>
      </c>
      <c r="N72" s="635"/>
      <c r="O72" s="21">
        <f t="shared" si="23"/>
        <v>1</v>
      </c>
      <c r="P72" s="635"/>
      <c r="Q72" s="21">
        <f t="shared" si="24"/>
        <v>1</v>
      </c>
      <c r="R72" s="21">
        <f t="shared" ca="1" si="25"/>
        <v>9548</v>
      </c>
      <c r="S72" s="634">
        <f t="shared" ca="1" si="11"/>
        <v>52.275300000000001</v>
      </c>
      <c r="T72" s="689">
        <f t="shared" ca="1" si="12"/>
        <v>2.7382</v>
      </c>
      <c r="U72" s="689">
        <f t="shared" ca="1" si="13"/>
        <v>2.6100000000000002E-2</v>
      </c>
      <c r="V72" s="689">
        <f t="shared" ca="1" si="14"/>
        <v>2.4893000000000001</v>
      </c>
      <c r="W72" s="689">
        <f t="shared" ca="1" si="15"/>
        <v>5.2536000000000005</v>
      </c>
      <c r="X72" s="689">
        <f t="shared" ca="1" si="16"/>
        <v>47.021700000000003</v>
      </c>
    </row>
    <row r="73" spans="1:24">
      <c r="A73" s="142" t="str">
        <f>面积清单!H50</f>
        <v>2单元323</v>
      </c>
      <c r="B73" s="52">
        <f>面积清单!J50</f>
        <v>54.75</v>
      </c>
      <c r="C73" s="21">
        <f t="shared" si="17"/>
        <v>1</v>
      </c>
      <c r="D73" s="635" t="s">
        <v>3965</v>
      </c>
      <c r="E73" s="21">
        <f t="shared" si="18"/>
        <v>1.01</v>
      </c>
      <c r="F73" s="635"/>
      <c r="G73" s="21">
        <f t="shared" si="19"/>
        <v>1</v>
      </c>
      <c r="H73" s="635"/>
      <c r="I73" s="21">
        <f t="shared" si="20"/>
        <v>1</v>
      </c>
      <c r="J73" s="635"/>
      <c r="K73" s="21">
        <f t="shared" si="21"/>
        <v>1</v>
      </c>
      <c r="L73" s="635"/>
      <c r="M73" s="21">
        <f t="shared" si="22"/>
        <v>1</v>
      </c>
      <c r="N73" s="635"/>
      <c r="O73" s="21">
        <f t="shared" si="23"/>
        <v>1</v>
      </c>
      <c r="P73" s="635"/>
      <c r="Q73" s="21">
        <f t="shared" si="24"/>
        <v>1</v>
      </c>
      <c r="R73" s="21">
        <f t="shared" ca="1" si="25"/>
        <v>9548</v>
      </c>
      <c r="S73" s="634">
        <f t="shared" ca="1" si="11"/>
        <v>52.275300000000001</v>
      </c>
      <c r="T73" s="689">
        <f t="shared" ca="1" si="12"/>
        <v>2.7382</v>
      </c>
      <c r="U73" s="689">
        <f t="shared" ca="1" si="13"/>
        <v>2.6100000000000002E-2</v>
      </c>
      <c r="V73" s="689">
        <f t="shared" ca="1" si="14"/>
        <v>2.4893000000000001</v>
      </c>
      <c r="W73" s="689">
        <f t="shared" ca="1" si="15"/>
        <v>5.2536000000000005</v>
      </c>
      <c r="X73" s="689">
        <f t="shared" ca="1" si="16"/>
        <v>47.021700000000003</v>
      </c>
    </row>
    <row r="74" spans="1:24">
      <c r="A74" s="142" t="str">
        <f>面积清单!H51</f>
        <v>2单元324</v>
      </c>
      <c r="B74" s="52">
        <f>面积清单!J51</f>
        <v>54.75</v>
      </c>
      <c r="C74" s="21">
        <f t="shared" si="17"/>
        <v>1</v>
      </c>
      <c r="D74" s="635" t="s">
        <v>3965</v>
      </c>
      <c r="E74" s="21">
        <f t="shared" si="18"/>
        <v>1.01</v>
      </c>
      <c r="F74" s="635"/>
      <c r="G74" s="21">
        <f t="shared" si="19"/>
        <v>1</v>
      </c>
      <c r="H74" s="635"/>
      <c r="I74" s="21">
        <f t="shared" si="20"/>
        <v>1</v>
      </c>
      <c r="J74" s="635"/>
      <c r="K74" s="21">
        <f t="shared" si="21"/>
        <v>1</v>
      </c>
      <c r="L74" s="635"/>
      <c r="M74" s="21">
        <f t="shared" si="22"/>
        <v>1</v>
      </c>
      <c r="N74" s="635"/>
      <c r="O74" s="21">
        <f t="shared" si="23"/>
        <v>1</v>
      </c>
      <c r="P74" s="635"/>
      <c r="Q74" s="21">
        <f t="shared" si="24"/>
        <v>1</v>
      </c>
      <c r="R74" s="21">
        <f t="shared" ca="1" si="25"/>
        <v>9548</v>
      </c>
      <c r="S74" s="634">
        <f t="shared" ca="1" si="11"/>
        <v>52.275300000000001</v>
      </c>
      <c r="T74" s="689">
        <f t="shared" ca="1" si="12"/>
        <v>2.7382</v>
      </c>
      <c r="U74" s="689">
        <f t="shared" ca="1" si="13"/>
        <v>2.6100000000000002E-2</v>
      </c>
      <c r="V74" s="689">
        <f t="shared" ca="1" si="14"/>
        <v>2.4893000000000001</v>
      </c>
      <c r="W74" s="689">
        <f t="shared" ca="1" si="15"/>
        <v>5.2536000000000005</v>
      </c>
      <c r="X74" s="689">
        <f t="shared" ca="1" si="16"/>
        <v>47.021700000000003</v>
      </c>
    </row>
    <row r="75" spans="1:24">
      <c r="A75" s="142" t="str">
        <f>面积清单!H52</f>
        <v>2单元325</v>
      </c>
      <c r="B75" s="52">
        <f>面积清单!J52</f>
        <v>62.39</v>
      </c>
      <c r="C75" s="21">
        <f t="shared" si="17"/>
        <v>1</v>
      </c>
      <c r="D75" s="635" t="s">
        <v>3965</v>
      </c>
      <c r="E75" s="21">
        <f t="shared" si="18"/>
        <v>1.01</v>
      </c>
      <c r="F75" s="635"/>
      <c r="G75" s="21">
        <f t="shared" si="19"/>
        <v>1</v>
      </c>
      <c r="H75" s="635"/>
      <c r="I75" s="21">
        <f t="shared" si="20"/>
        <v>1</v>
      </c>
      <c r="J75" s="635"/>
      <c r="K75" s="21">
        <f t="shared" si="21"/>
        <v>1</v>
      </c>
      <c r="L75" s="635"/>
      <c r="M75" s="21">
        <f t="shared" si="22"/>
        <v>1</v>
      </c>
      <c r="N75" s="635"/>
      <c r="O75" s="21">
        <f t="shared" si="23"/>
        <v>1</v>
      </c>
      <c r="P75" s="635"/>
      <c r="Q75" s="21">
        <f t="shared" si="24"/>
        <v>1</v>
      </c>
      <c r="R75" s="21">
        <f t="shared" ca="1" si="25"/>
        <v>9548</v>
      </c>
      <c r="S75" s="634">
        <f t="shared" ca="1" si="11"/>
        <v>59.57</v>
      </c>
      <c r="T75" s="689">
        <f t="shared" ca="1" si="12"/>
        <v>3.1202999999999999</v>
      </c>
      <c r="U75" s="689">
        <f t="shared" ca="1" si="13"/>
        <v>2.98E-2</v>
      </c>
      <c r="V75" s="689">
        <f t="shared" ca="1" si="14"/>
        <v>2.8367</v>
      </c>
      <c r="W75" s="689">
        <f t="shared" ca="1" si="15"/>
        <v>5.9867999999999997</v>
      </c>
      <c r="X75" s="689">
        <f t="shared" ca="1" si="16"/>
        <v>53.583199999999998</v>
      </c>
    </row>
    <row r="76" spans="1:24">
      <c r="A76" s="142" t="str">
        <f>面积清单!H53</f>
        <v>2单元326</v>
      </c>
      <c r="B76" s="52">
        <f>面积清单!J53</f>
        <v>74.14</v>
      </c>
      <c r="C76" s="21">
        <f t="shared" si="17"/>
        <v>1</v>
      </c>
      <c r="D76" s="635" t="s">
        <v>3965</v>
      </c>
      <c r="E76" s="21">
        <f t="shared" si="18"/>
        <v>1.01</v>
      </c>
      <c r="F76" s="635"/>
      <c r="G76" s="21">
        <f t="shared" si="19"/>
        <v>1</v>
      </c>
      <c r="H76" s="635"/>
      <c r="I76" s="21">
        <f t="shared" si="20"/>
        <v>1</v>
      </c>
      <c r="J76" s="635"/>
      <c r="K76" s="21">
        <f t="shared" si="21"/>
        <v>1</v>
      </c>
      <c r="L76" s="635"/>
      <c r="M76" s="21">
        <f t="shared" si="22"/>
        <v>1</v>
      </c>
      <c r="N76" s="635"/>
      <c r="O76" s="21">
        <f t="shared" si="23"/>
        <v>1</v>
      </c>
      <c r="P76" s="635"/>
      <c r="Q76" s="21">
        <f t="shared" si="24"/>
        <v>1</v>
      </c>
      <c r="R76" s="21">
        <f t="shared" ca="1" si="25"/>
        <v>9548</v>
      </c>
      <c r="S76" s="634">
        <f t="shared" ca="1" si="11"/>
        <v>70.788899999999998</v>
      </c>
      <c r="T76" s="689">
        <f t="shared" ca="1" si="12"/>
        <v>3.7080000000000002</v>
      </c>
      <c r="U76" s="689">
        <f t="shared" ca="1" si="13"/>
        <v>3.5400000000000001E-2</v>
      </c>
      <c r="V76" s="689">
        <f t="shared" ca="1" si="14"/>
        <v>3.3708999999999998</v>
      </c>
      <c r="W76" s="689">
        <f t="shared" ca="1" si="15"/>
        <v>7.1143000000000001</v>
      </c>
      <c r="X76" s="689">
        <f t="shared" ca="1" si="16"/>
        <v>63.674599999999998</v>
      </c>
    </row>
    <row r="77" spans="1:24">
      <c r="A77" s="142" t="str">
        <f>面积清单!H54</f>
        <v>2单元401</v>
      </c>
      <c r="B77" s="52">
        <f>面积清单!J54</f>
        <v>182.27</v>
      </c>
      <c r="C77" s="21">
        <f t="shared" si="17"/>
        <v>0.99</v>
      </c>
      <c r="D77" s="635" t="s">
        <v>3965</v>
      </c>
      <c r="E77" s="21">
        <f t="shared" si="18"/>
        <v>1.01</v>
      </c>
      <c r="F77" s="635"/>
      <c r="G77" s="21">
        <f t="shared" si="19"/>
        <v>1</v>
      </c>
      <c r="H77" s="635"/>
      <c r="I77" s="21">
        <f t="shared" si="20"/>
        <v>1</v>
      </c>
      <c r="J77" s="635"/>
      <c r="K77" s="21">
        <f t="shared" si="21"/>
        <v>1</v>
      </c>
      <c r="L77" s="635"/>
      <c r="M77" s="21">
        <f t="shared" si="22"/>
        <v>1</v>
      </c>
      <c r="N77" s="635"/>
      <c r="O77" s="21">
        <f t="shared" si="23"/>
        <v>1</v>
      </c>
      <c r="P77" s="635"/>
      <c r="Q77" s="21">
        <f t="shared" si="24"/>
        <v>1</v>
      </c>
      <c r="R77" s="21">
        <f t="shared" ca="1" si="25"/>
        <v>9452</v>
      </c>
      <c r="S77" s="634">
        <f t="shared" ca="1" si="11"/>
        <v>172.2816</v>
      </c>
      <c r="T77" s="689">
        <f t="shared" ca="1" si="12"/>
        <v>9.0243000000000002</v>
      </c>
      <c r="U77" s="689">
        <f t="shared" ca="1" si="13"/>
        <v>8.6099999999999996E-2</v>
      </c>
      <c r="V77" s="689">
        <f t="shared" ca="1" si="14"/>
        <v>8.2039000000000009</v>
      </c>
      <c r="W77" s="689">
        <f t="shared" ca="1" si="15"/>
        <v>17.314300000000003</v>
      </c>
      <c r="X77" s="689">
        <f t="shared" ca="1" si="16"/>
        <v>154.96729999999999</v>
      </c>
    </row>
    <row r="78" spans="1:24">
      <c r="A78" s="142" t="str">
        <f>面积清单!H55</f>
        <v>2单元402</v>
      </c>
      <c r="B78" s="52">
        <f>面积清单!J55</f>
        <v>75.75</v>
      </c>
      <c r="C78" s="21">
        <f t="shared" si="17"/>
        <v>1</v>
      </c>
      <c r="D78" s="635" t="s">
        <v>3965</v>
      </c>
      <c r="E78" s="21">
        <f t="shared" si="18"/>
        <v>1.01</v>
      </c>
      <c r="F78" s="635"/>
      <c r="G78" s="21">
        <f t="shared" si="19"/>
        <v>1</v>
      </c>
      <c r="H78" s="635"/>
      <c r="I78" s="21">
        <f t="shared" si="20"/>
        <v>1</v>
      </c>
      <c r="J78" s="635"/>
      <c r="K78" s="21">
        <f t="shared" si="21"/>
        <v>1</v>
      </c>
      <c r="L78" s="635"/>
      <c r="M78" s="21">
        <f t="shared" si="22"/>
        <v>1</v>
      </c>
      <c r="N78" s="635"/>
      <c r="O78" s="21">
        <f t="shared" si="23"/>
        <v>1</v>
      </c>
      <c r="P78" s="635"/>
      <c r="Q78" s="21">
        <f t="shared" si="24"/>
        <v>1</v>
      </c>
      <c r="R78" s="21">
        <f t="shared" ca="1" si="25"/>
        <v>9548</v>
      </c>
      <c r="S78" s="634">
        <f t="shared" ca="1" si="11"/>
        <v>72.326099999999997</v>
      </c>
      <c r="T78" s="689">
        <f t="shared" ca="1" si="12"/>
        <v>3.7885</v>
      </c>
      <c r="U78" s="689">
        <f t="shared" ca="1" si="13"/>
        <v>3.6200000000000003E-2</v>
      </c>
      <c r="V78" s="689">
        <f t="shared" ca="1" si="14"/>
        <v>3.4441000000000002</v>
      </c>
      <c r="W78" s="689">
        <f t="shared" ca="1" si="15"/>
        <v>7.2688000000000006</v>
      </c>
      <c r="X78" s="689">
        <f t="shared" ca="1" si="16"/>
        <v>65.057299999999998</v>
      </c>
    </row>
    <row r="79" spans="1:24">
      <c r="A79" s="142" t="str">
        <f>面积清单!H56</f>
        <v>2单元403</v>
      </c>
      <c r="B79" s="52">
        <f>面积清单!J56</f>
        <v>81.709999999999994</v>
      </c>
      <c r="C79" s="21">
        <f t="shared" si="17"/>
        <v>1</v>
      </c>
      <c r="D79" s="635" t="s">
        <v>3965</v>
      </c>
      <c r="E79" s="21">
        <f t="shared" si="18"/>
        <v>1.01</v>
      </c>
      <c r="F79" s="635"/>
      <c r="G79" s="21">
        <f t="shared" si="19"/>
        <v>1</v>
      </c>
      <c r="H79" s="635"/>
      <c r="I79" s="21">
        <f t="shared" si="20"/>
        <v>1</v>
      </c>
      <c r="J79" s="635"/>
      <c r="K79" s="21">
        <f t="shared" si="21"/>
        <v>1</v>
      </c>
      <c r="L79" s="635"/>
      <c r="M79" s="21">
        <f t="shared" si="22"/>
        <v>1</v>
      </c>
      <c r="N79" s="635"/>
      <c r="O79" s="21">
        <f t="shared" si="23"/>
        <v>1</v>
      </c>
      <c r="P79" s="635"/>
      <c r="Q79" s="21">
        <f t="shared" si="24"/>
        <v>1</v>
      </c>
      <c r="R79" s="21">
        <f t="shared" ca="1" si="25"/>
        <v>9548</v>
      </c>
      <c r="S79" s="634">
        <f t="shared" ca="1" si="11"/>
        <v>78.0167</v>
      </c>
      <c r="T79" s="689">
        <f t="shared" ca="1" si="12"/>
        <v>4.0865999999999998</v>
      </c>
      <c r="U79" s="689">
        <f t="shared" ca="1" si="13"/>
        <v>3.9E-2</v>
      </c>
      <c r="V79" s="689">
        <f t="shared" ca="1" si="14"/>
        <v>3.7151000000000001</v>
      </c>
      <c r="W79" s="689">
        <f t="shared" ca="1" si="15"/>
        <v>7.8407</v>
      </c>
      <c r="X79" s="689">
        <f t="shared" ca="1" si="16"/>
        <v>70.176000000000002</v>
      </c>
    </row>
    <row r="80" spans="1:24">
      <c r="A80" s="142" t="str">
        <f>面积清单!H57</f>
        <v>2单元404</v>
      </c>
      <c r="B80" s="52">
        <f>面积清单!J57</f>
        <v>76.430000000000007</v>
      </c>
      <c r="C80" s="21">
        <f t="shared" si="17"/>
        <v>1</v>
      </c>
      <c r="D80" s="635" t="s">
        <v>3965</v>
      </c>
      <c r="E80" s="21">
        <f t="shared" si="18"/>
        <v>1.01</v>
      </c>
      <c r="F80" s="635"/>
      <c r="G80" s="21">
        <f t="shared" si="19"/>
        <v>1</v>
      </c>
      <c r="H80" s="635"/>
      <c r="I80" s="21">
        <f t="shared" si="20"/>
        <v>1</v>
      </c>
      <c r="J80" s="635"/>
      <c r="K80" s="21">
        <f t="shared" si="21"/>
        <v>1</v>
      </c>
      <c r="L80" s="635"/>
      <c r="M80" s="21">
        <f t="shared" si="22"/>
        <v>1</v>
      </c>
      <c r="N80" s="635"/>
      <c r="O80" s="21">
        <f t="shared" si="23"/>
        <v>1</v>
      </c>
      <c r="P80" s="635"/>
      <c r="Q80" s="21">
        <f t="shared" si="24"/>
        <v>1</v>
      </c>
      <c r="R80" s="21">
        <f t="shared" ca="1" si="25"/>
        <v>9548</v>
      </c>
      <c r="S80" s="634">
        <f t="shared" ca="1" si="11"/>
        <v>72.975399999999993</v>
      </c>
      <c r="T80" s="689">
        <f t="shared" ca="1" si="12"/>
        <v>3.8224999999999998</v>
      </c>
      <c r="U80" s="689">
        <f t="shared" ca="1" si="13"/>
        <v>3.6499999999999998E-2</v>
      </c>
      <c r="V80" s="689">
        <f t="shared" ca="1" si="14"/>
        <v>3.4750000000000001</v>
      </c>
      <c r="W80" s="689">
        <f t="shared" ca="1" si="15"/>
        <v>7.3339999999999996</v>
      </c>
      <c r="X80" s="689">
        <f t="shared" ca="1" si="16"/>
        <v>65.64139999999999</v>
      </c>
    </row>
    <row r="81" spans="1:24">
      <c r="A81" s="142" t="str">
        <f>面积清单!H58</f>
        <v>2单元405</v>
      </c>
      <c r="B81" s="52">
        <f>面积清单!J58</f>
        <v>73</v>
      </c>
      <c r="C81" s="21">
        <f t="shared" si="17"/>
        <v>1</v>
      </c>
      <c r="D81" s="635" t="s">
        <v>3965</v>
      </c>
      <c r="E81" s="21">
        <f t="shared" si="18"/>
        <v>1.01</v>
      </c>
      <c r="F81" s="635"/>
      <c r="G81" s="21">
        <f t="shared" si="19"/>
        <v>1</v>
      </c>
      <c r="H81" s="635"/>
      <c r="I81" s="21">
        <f t="shared" si="20"/>
        <v>1</v>
      </c>
      <c r="J81" s="635"/>
      <c r="K81" s="21">
        <f t="shared" si="21"/>
        <v>1</v>
      </c>
      <c r="L81" s="635"/>
      <c r="M81" s="21">
        <f t="shared" si="22"/>
        <v>1</v>
      </c>
      <c r="N81" s="635"/>
      <c r="O81" s="21">
        <f t="shared" si="23"/>
        <v>1</v>
      </c>
      <c r="P81" s="635"/>
      <c r="Q81" s="21">
        <f t="shared" si="24"/>
        <v>1</v>
      </c>
      <c r="R81" s="21">
        <f t="shared" ca="1" si="25"/>
        <v>9548</v>
      </c>
      <c r="S81" s="634">
        <f t="shared" ca="1" si="11"/>
        <v>69.700400000000002</v>
      </c>
      <c r="T81" s="689">
        <f t="shared" ca="1" si="12"/>
        <v>3.6509999999999998</v>
      </c>
      <c r="U81" s="689">
        <f t="shared" ca="1" si="13"/>
        <v>3.49E-2</v>
      </c>
      <c r="V81" s="689">
        <f t="shared" ca="1" si="14"/>
        <v>3.3191000000000002</v>
      </c>
      <c r="W81" s="689">
        <f t="shared" ca="1" si="15"/>
        <v>7.0049999999999999</v>
      </c>
      <c r="X81" s="689">
        <f t="shared" ca="1" si="16"/>
        <v>62.695399999999999</v>
      </c>
    </row>
    <row r="82" spans="1:24">
      <c r="A82" s="142" t="str">
        <f>面积清单!H59</f>
        <v>2单元406</v>
      </c>
      <c r="B82" s="52">
        <f>面积清单!J59</f>
        <v>78.45</v>
      </c>
      <c r="C82" s="21">
        <f t="shared" si="17"/>
        <v>1</v>
      </c>
      <c r="D82" s="635" t="s">
        <v>3965</v>
      </c>
      <c r="E82" s="21">
        <f t="shared" si="18"/>
        <v>1.01</v>
      </c>
      <c r="F82" s="635"/>
      <c r="G82" s="21">
        <f t="shared" si="19"/>
        <v>1</v>
      </c>
      <c r="H82" s="635"/>
      <c r="I82" s="21">
        <f t="shared" si="20"/>
        <v>1</v>
      </c>
      <c r="J82" s="635"/>
      <c r="K82" s="21">
        <f t="shared" si="21"/>
        <v>1</v>
      </c>
      <c r="L82" s="635"/>
      <c r="M82" s="21">
        <f t="shared" si="22"/>
        <v>1</v>
      </c>
      <c r="N82" s="635"/>
      <c r="O82" s="21">
        <f t="shared" si="23"/>
        <v>1</v>
      </c>
      <c r="P82" s="635"/>
      <c r="Q82" s="21">
        <f t="shared" si="24"/>
        <v>1</v>
      </c>
      <c r="R82" s="21">
        <f t="shared" ca="1" si="25"/>
        <v>9548</v>
      </c>
      <c r="S82" s="634">
        <f t="shared" ca="1" si="11"/>
        <v>74.9041</v>
      </c>
      <c r="T82" s="689">
        <f t="shared" ca="1" si="12"/>
        <v>3.9235000000000002</v>
      </c>
      <c r="U82" s="689">
        <f t="shared" ca="1" si="13"/>
        <v>3.7499999999999999E-2</v>
      </c>
      <c r="V82" s="689">
        <f t="shared" ca="1" si="14"/>
        <v>3.5669</v>
      </c>
      <c r="W82" s="689">
        <f t="shared" ca="1" si="15"/>
        <v>7.5279000000000007</v>
      </c>
      <c r="X82" s="689">
        <f t="shared" ca="1" si="16"/>
        <v>67.376199999999997</v>
      </c>
    </row>
    <row r="83" spans="1:24">
      <c r="A83" s="142" t="str">
        <f>面积清单!H60</f>
        <v>2单元407</v>
      </c>
      <c r="B83" s="52">
        <f>面积清单!J60</f>
        <v>75.959999999999994</v>
      </c>
      <c r="C83" s="21">
        <f t="shared" si="17"/>
        <v>1</v>
      </c>
      <c r="D83" s="635" t="s">
        <v>3965</v>
      </c>
      <c r="E83" s="21">
        <f t="shared" si="18"/>
        <v>1.01</v>
      </c>
      <c r="F83" s="635"/>
      <c r="G83" s="21">
        <f t="shared" si="19"/>
        <v>1</v>
      </c>
      <c r="H83" s="635"/>
      <c r="I83" s="21">
        <f t="shared" si="20"/>
        <v>1</v>
      </c>
      <c r="J83" s="635"/>
      <c r="K83" s="21">
        <f t="shared" si="21"/>
        <v>1</v>
      </c>
      <c r="L83" s="635"/>
      <c r="M83" s="21">
        <f t="shared" si="22"/>
        <v>1</v>
      </c>
      <c r="N83" s="635"/>
      <c r="O83" s="21">
        <f t="shared" si="23"/>
        <v>1</v>
      </c>
      <c r="P83" s="635"/>
      <c r="Q83" s="21">
        <f t="shared" si="24"/>
        <v>1</v>
      </c>
      <c r="R83" s="21">
        <f t="shared" ca="1" si="25"/>
        <v>9548</v>
      </c>
      <c r="S83" s="634">
        <f t="shared" ca="1" si="11"/>
        <v>72.526600000000002</v>
      </c>
      <c r="T83" s="689">
        <f t="shared" ca="1" si="12"/>
        <v>3.7989999999999999</v>
      </c>
      <c r="U83" s="689">
        <f t="shared" ca="1" si="13"/>
        <v>3.6299999999999999E-2</v>
      </c>
      <c r="V83" s="689">
        <f t="shared" ca="1" si="14"/>
        <v>3.4535999999999998</v>
      </c>
      <c r="W83" s="689">
        <f t="shared" ca="1" si="15"/>
        <v>7.2888999999999999</v>
      </c>
      <c r="X83" s="689">
        <f t="shared" ca="1" si="16"/>
        <v>65.237700000000004</v>
      </c>
    </row>
    <row r="84" spans="1:24">
      <c r="A84" s="142" t="str">
        <f>面积清单!H61</f>
        <v>2单元408</v>
      </c>
      <c r="B84" s="52">
        <f>面积清单!J61</f>
        <v>75.959999999999994</v>
      </c>
      <c r="C84" s="21">
        <f t="shared" si="17"/>
        <v>1</v>
      </c>
      <c r="D84" s="635" t="s">
        <v>3965</v>
      </c>
      <c r="E84" s="21">
        <f t="shared" si="18"/>
        <v>1.01</v>
      </c>
      <c r="F84" s="635"/>
      <c r="G84" s="21">
        <f t="shared" si="19"/>
        <v>1</v>
      </c>
      <c r="H84" s="635"/>
      <c r="I84" s="21">
        <f t="shared" si="20"/>
        <v>1</v>
      </c>
      <c r="J84" s="635"/>
      <c r="K84" s="21">
        <f t="shared" si="21"/>
        <v>1</v>
      </c>
      <c r="L84" s="635"/>
      <c r="M84" s="21">
        <f t="shared" si="22"/>
        <v>1</v>
      </c>
      <c r="N84" s="635"/>
      <c r="O84" s="21">
        <f t="shared" si="23"/>
        <v>1</v>
      </c>
      <c r="P84" s="635"/>
      <c r="Q84" s="21">
        <f t="shared" si="24"/>
        <v>1</v>
      </c>
      <c r="R84" s="21">
        <f t="shared" ca="1" si="25"/>
        <v>9548</v>
      </c>
      <c r="S84" s="634">
        <f t="shared" ca="1" si="11"/>
        <v>72.526600000000002</v>
      </c>
      <c r="T84" s="689">
        <f t="shared" ca="1" si="12"/>
        <v>3.7989999999999999</v>
      </c>
      <c r="U84" s="689">
        <f t="shared" ca="1" si="13"/>
        <v>3.6299999999999999E-2</v>
      </c>
      <c r="V84" s="689">
        <f t="shared" ca="1" si="14"/>
        <v>3.4535999999999998</v>
      </c>
      <c r="W84" s="689">
        <f t="shared" ca="1" si="15"/>
        <v>7.2888999999999999</v>
      </c>
      <c r="X84" s="689">
        <f t="shared" ca="1" si="16"/>
        <v>65.237700000000004</v>
      </c>
    </row>
    <row r="85" spans="1:24">
      <c r="A85" s="142" t="str">
        <f>面积清单!H62</f>
        <v>2单元409</v>
      </c>
      <c r="B85" s="52">
        <f>面积清单!J62</f>
        <v>78.45</v>
      </c>
      <c r="C85" s="21">
        <f t="shared" si="17"/>
        <v>1</v>
      </c>
      <c r="D85" s="635" t="s">
        <v>3965</v>
      </c>
      <c r="E85" s="21">
        <f t="shared" si="18"/>
        <v>1.01</v>
      </c>
      <c r="F85" s="635"/>
      <c r="G85" s="21">
        <f t="shared" si="19"/>
        <v>1</v>
      </c>
      <c r="H85" s="635"/>
      <c r="I85" s="21">
        <f t="shared" si="20"/>
        <v>1</v>
      </c>
      <c r="J85" s="635"/>
      <c r="K85" s="21">
        <f t="shared" si="21"/>
        <v>1</v>
      </c>
      <c r="L85" s="635"/>
      <c r="M85" s="21">
        <f t="shared" si="22"/>
        <v>1</v>
      </c>
      <c r="N85" s="635"/>
      <c r="O85" s="21">
        <f t="shared" si="23"/>
        <v>1</v>
      </c>
      <c r="P85" s="635"/>
      <c r="Q85" s="21">
        <f t="shared" si="24"/>
        <v>1</v>
      </c>
      <c r="R85" s="21">
        <f t="shared" ca="1" si="25"/>
        <v>9548</v>
      </c>
      <c r="S85" s="634">
        <f t="shared" ca="1" si="11"/>
        <v>74.9041</v>
      </c>
      <c r="T85" s="689">
        <f t="shared" ca="1" si="12"/>
        <v>3.9235000000000002</v>
      </c>
      <c r="U85" s="689">
        <f t="shared" ca="1" si="13"/>
        <v>3.7499999999999999E-2</v>
      </c>
      <c r="V85" s="689">
        <f t="shared" ca="1" si="14"/>
        <v>3.5669</v>
      </c>
      <c r="W85" s="689">
        <f t="shared" ca="1" si="15"/>
        <v>7.5279000000000007</v>
      </c>
      <c r="X85" s="689">
        <f t="shared" ca="1" si="16"/>
        <v>67.376199999999997</v>
      </c>
    </row>
    <row r="86" spans="1:24">
      <c r="A86" s="142" t="str">
        <f>面积清单!H63</f>
        <v>2单元410</v>
      </c>
      <c r="B86" s="52">
        <f>面积清单!J63</f>
        <v>73.47</v>
      </c>
      <c r="C86" s="21">
        <f t="shared" si="17"/>
        <v>1</v>
      </c>
      <c r="D86" s="635" t="s">
        <v>3965</v>
      </c>
      <c r="E86" s="21">
        <f t="shared" si="18"/>
        <v>1.01</v>
      </c>
      <c r="F86" s="635"/>
      <c r="G86" s="21">
        <f t="shared" si="19"/>
        <v>1</v>
      </c>
      <c r="H86" s="635"/>
      <c r="I86" s="21">
        <f t="shared" si="20"/>
        <v>1</v>
      </c>
      <c r="J86" s="635"/>
      <c r="K86" s="21">
        <f t="shared" si="21"/>
        <v>1</v>
      </c>
      <c r="L86" s="635"/>
      <c r="M86" s="21">
        <f t="shared" si="22"/>
        <v>1</v>
      </c>
      <c r="N86" s="635"/>
      <c r="O86" s="21">
        <f t="shared" si="23"/>
        <v>1</v>
      </c>
      <c r="P86" s="635"/>
      <c r="Q86" s="21">
        <f t="shared" si="24"/>
        <v>1</v>
      </c>
      <c r="R86" s="21">
        <f t="shared" ca="1" si="25"/>
        <v>9548</v>
      </c>
      <c r="S86" s="634">
        <f t="shared" ca="1" si="11"/>
        <v>70.149199999999993</v>
      </c>
      <c r="T86" s="689">
        <f t="shared" ca="1" si="12"/>
        <v>3.6745000000000001</v>
      </c>
      <c r="U86" s="689">
        <f t="shared" ca="1" si="13"/>
        <v>3.5099999999999999E-2</v>
      </c>
      <c r="V86" s="689">
        <f t="shared" ca="1" si="14"/>
        <v>3.3403999999999998</v>
      </c>
      <c r="W86" s="689">
        <f t="shared" ca="1" si="15"/>
        <v>7.05</v>
      </c>
      <c r="X86" s="689">
        <f t="shared" ca="1" si="16"/>
        <v>63.099199999999996</v>
      </c>
    </row>
    <row r="87" spans="1:24">
      <c r="A87" s="142" t="str">
        <f>面积清单!H64</f>
        <v>2单元411</v>
      </c>
      <c r="B87" s="52">
        <f>面积清单!J64</f>
        <v>75.959999999999994</v>
      </c>
      <c r="C87" s="21">
        <f t="shared" si="17"/>
        <v>1</v>
      </c>
      <c r="D87" s="635" t="s">
        <v>3965</v>
      </c>
      <c r="E87" s="21">
        <f t="shared" si="18"/>
        <v>1.01</v>
      </c>
      <c r="F87" s="635"/>
      <c r="G87" s="21">
        <f t="shared" si="19"/>
        <v>1</v>
      </c>
      <c r="H87" s="635"/>
      <c r="I87" s="21">
        <f t="shared" si="20"/>
        <v>1</v>
      </c>
      <c r="J87" s="635"/>
      <c r="K87" s="21">
        <f t="shared" si="21"/>
        <v>1</v>
      </c>
      <c r="L87" s="635"/>
      <c r="M87" s="21">
        <f t="shared" si="22"/>
        <v>1</v>
      </c>
      <c r="N87" s="635"/>
      <c r="O87" s="21">
        <f t="shared" si="23"/>
        <v>1</v>
      </c>
      <c r="P87" s="635"/>
      <c r="Q87" s="21">
        <f t="shared" si="24"/>
        <v>1</v>
      </c>
      <c r="R87" s="21">
        <f t="shared" ca="1" si="25"/>
        <v>9548</v>
      </c>
      <c r="S87" s="634">
        <f t="shared" ca="1" si="11"/>
        <v>72.526600000000002</v>
      </c>
      <c r="T87" s="689">
        <f t="shared" ca="1" si="12"/>
        <v>3.7989999999999999</v>
      </c>
      <c r="U87" s="689">
        <f t="shared" ca="1" si="13"/>
        <v>3.6299999999999999E-2</v>
      </c>
      <c r="V87" s="689">
        <f t="shared" ca="1" si="14"/>
        <v>3.4535999999999998</v>
      </c>
      <c r="W87" s="689">
        <f t="shared" ca="1" si="15"/>
        <v>7.2888999999999999</v>
      </c>
      <c r="X87" s="689">
        <f t="shared" ca="1" si="16"/>
        <v>65.237700000000004</v>
      </c>
    </row>
    <row r="88" spans="1:24">
      <c r="A88" s="142" t="str">
        <f>面积清单!H65</f>
        <v>2单元412</v>
      </c>
      <c r="B88" s="52">
        <f>面积清单!J65</f>
        <v>83.52</v>
      </c>
      <c r="C88" s="21">
        <f t="shared" si="17"/>
        <v>1</v>
      </c>
      <c r="D88" s="635" t="s">
        <v>3965</v>
      </c>
      <c r="E88" s="21">
        <f t="shared" si="18"/>
        <v>1.01</v>
      </c>
      <c r="F88" s="635"/>
      <c r="G88" s="21">
        <f t="shared" si="19"/>
        <v>1</v>
      </c>
      <c r="H88" s="635"/>
      <c r="I88" s="21">
        <f t="shared" si="20"/>
        <v>1</v>
      </c>
      <c r="J88" s="635"/>
      <c r="K88" s="21">
        <f t="shared" si="21"/>
        <v>1</v>
      </c>
      <c r="L88" s="635"/>
      <c r="M88" s="21">
        <f t="shared" si="22"/>
        <v>1</v>
      </c>
      <c r="N88" s="635"/>
      <c r="O88" s="21">
        <f t="shared" si="23"/>
        <v>1</v>
      </c>
      <c r="P88" s="635"/>
      <c r="Q88" s="21">
        <f t="shared" si="24"/>
        <v>1</v>
      </c>
      <c r="R88" s="21">
        <f t="shared" ca="1" si="25"/>
        <v>9548</v>
      </c>
      <c r="S88" s="634">
        <f t="shared" ca="1" si="11"/>
        <v>79.744900000000001</v>
      </c>
      <c r="T88" s="689">
        <f t="shared" ca="1" si="12"/>
        <v>4.1771000000000003</v>
      </c>
      <c r="U88" s="689">
        <f t="shared" ca="1" si="13"/>
        <v>3.9899999999999998E-2</v>
      </c>
      <c r="V88" s="689">
        <f t="shared" ca="1" si="14"/>
        <v>3.7974000000000001</v>
      </c>
      <c r="W88" s="689">
        <f t="shared" ca="1" si="15"/>
        <v>8.0144000000000002</v>
      </c>
      <c r="X88" s="689">
        <f t="shared" ca="1" si="16"/>
        <v>71.730500000000006</v>
      </c>
    </row>
    <row r="89" spans="1:24">
      <c r="A89" s="142" t="str">
        <f>面积清单!H66</f>
        <v>2单元413</v>
      </c>
      <c r="B89" s="52">
        <f>面积清单!J66</f>
        <v>89.88</v>
      </c>
      <c r="C89" s="21">
        <f t="shared" si="17"/>
        <v>1</v>
      </c>
      <c r="D89" s="635" t="s">
        <v>3965</v>
      </c>
      <c r="E89" s="21">
        <f t="shared" si="18"/>
        <v>1.01</v>
      </c>
      <c r="F89" s="635"/>
      <c r="G89" s="21">
        <f t="shared" si="19"/>
        <v>1</v>
      </c>
      <c r="H89" s="635"/>
      <c r="I89" s="21">
        <f t="shared" si="20"/>
        <v>1</v>
      </c>
      <c r="J89" s="635"/>
      <c r="K89" s="21">
        <f t="shared" si="21"/>
        <v>1</v>
      </c>
      <c r="L89" s="635"/>
      <c r="M89" s="21">
        <f t="shared" si="22"/>
        <v>1</v>
      </c>
      <c r="N89" s="635"/>
      <c r="O89" s="21">
        <f t="shared" si="23"/>
        <v>1</v>
      </c>
      <c r="P89" s="635"/>
      <c r="Q89" s="21">
        <f t="shared" si="24"/>
        <v>1</v>
      </c>
      <c r="R89" s="21">
        <f t="shared" ca="1" si="25"/>
        <v>9548</v>
      </c>
      <c r="S89" s="634">
        <f t="shared" ref="S89:S152" ca="1" si="26">ROUND(R89*B89/10000,4)</f>
        <v>85.817400000000006</v>
      </c>
      <c r="T89" s="689">
        <f t="shared" ref="T89:T152" ca="1" si="27">ROUND(S89*$T$23/1.05,4)</f>
        <v>4.4951999999999996</v>
      </c>
      <c r="U89" s="689">
        <f t="shared" ref="U89:U152" ca="1" si="28">ROUND(S89*$U$23,4)</f>
        <v>4.2900000000000001E-2</v>
      </c>
      <c r="V89" s="689">
        <f t="shared" ref="V89:V152" ca="1" si="29">ROUND(S89/1.05*$V$23,4)</f>
        <v>4.0865</v>
      </c>
      <c r="W89" s="689">
        <f t="shared" ref="W89:W152" ca="1" si="30">T89+U89+V89</f>
        <v>8.6246000000000009</v>
      </c>
      <c r="X89" s="689">
        <f t="shared" ref="X89:X152" ca="1" si="31">S89-W89</f>
        <v>77.192800000000005</v>
      </c>
    </row>
    <row r="90" spans="1:24">
      <c r="A90" s="142" t="str">
        <f>面积清单!H67</f>
        <v>2单元414</v>
      </c>
      <c r="B90" s="52">
        <f>面积清单!J67</f>
        <v>174.94</v>
      </c>
      <c r="C90" s="21">
        <f t="shared" ref="C90:C153" si="32">IF(B90="",1,(LOOKUP(B90,$3:$3,$4:$4)-LOOKUP($B$24,$3:$3,$4:$4)+100)/100)</f>
        <v>0.99</v>
      </c>
      <c r="D90" s="635" t="s">
        <v>3965</v>
      </c>
      <c r="E90" s="21">
        <f t="shared" ref="E90:E153" si="33">(SUMIF($5:$5,D90,$6:$6)-SUMIF($5:$5,$D$24,$6:$6)+100)/100</f>
        <v>1.01</v>
      </c>
      <c r="F90" s="635"/>
      <c r="G90" s="21">
        <f t="shared" ref="G90:G153" si="34">(SUMIF($7:$7,F90,$8:$8)-SUMIF($7:$7,$F$24,$8:$8)+100)/100</f>
        <v>1</v>
      </c>
      <c r="H90" s="635"/>
      <c r="I90" s="21">
        <f t="shared" ref="I90:I153" si="35">(SUMIF($9:$9,H90,$10:$10)-SUMIF($9:$9,$H$24,$10:$10)+100)/100</f>
        <v>1</v>
      </c>
      <c r="J90" s="635"/>
      <c r="K90" s="21">
        <f t="shared" ref="K90:K153" si="36">(SUMIF($11:$11,J90,$12:$12)-SUMIF($11:$11,$J$24,$12:$12)+100)/100</f>
        <v>1</v>
      </c>
      <c r="L90" s="635"/>
      <c r="M90" s="21">
        <f t="shared" ref="M90:M153" si="37">(SUMIF($13:$13,L90,$14:$14)-SUMIF($13:$13,$L$24,$14:$14)+100)/100</f>
        <v>1</v>
      </c>
      <c r="N90" s="635"/>
      <c r="O90" s="21">
        <f t="shared" ref="O90:O153" si="38">(SUMIF($15:$15,N90,$16:$16)-SUMIF($15:$15,$N$24,$16:$16)+100)/100</f>
        <v>1</v>
      </c>
      <c r="P90" s="635"/>
      <c r="Q90" s="21">
        <f t="shared" ref="Q90:Q153" si="39">(SUMIF($17:$17,P90,$18:$18)-SUMIF($17:$17,$P$24,$18:$18)+100)/100</f>
        <v>1</v>
      </c>
      <c r="R90" s="21">
        <f t="shared" ref="R90:R153" ca="1" si="40">IF(B90="",0,ROUND($R$24*C90*E90*G90*I90*K90*M90*O90*Q90,0))</f>
        <v>9452</v>
      </c>
      <c r="S90" s="634">
        <f t="shared" ca="1" si="26"/>
        <v>165.35329999999999</v>
      </c>
      <c r="T90" s="689">
        <f t="shared" ca="1" si="27"/>
        <v>8.6614000000000004</v>
      </c>
      <c r="U90" s="689">
        <f t="shared" ca="1" si="28"/>
        <v>8.2699999999999996E-2</v>
      </c>
      <c r="V90" s="689">
        <f t="shared" ca="1" si="29"/>
        <v>7.8739999999999997</v>
      </c>
      <c r="W90" s="689">
        <f t="shared" ca="1" si="30"/>
        <v>16.618099999999998</v>
      </c>
      <c r="X90" s="689">
        <f t="shared" ca="1" si="31"/>
        <v>148.73519999999999</v>
      </c>
    </row>
    <row r="91" spans="1:24">
      <c r="A91" s="142" t="str">
        <f>面积清单!H68</f>
        <v>2单元415</v>
      </c>
      <c r="B91" s="52">
        <f>面积清单!J68</f>
        <v>71.61</v>
      </c>
      <c r="C91" s="21">
        <f t="shared" si="32"/>
        <v>1</v>
      </c>
      <c r="D91" s="635" t="s">
        <v>3965</v>
      </c>
      <c r="E91" s="21">
        <f t="shared" si="33"/>
        <v>1.01</v>
      </c>
      <c r="F91" s="635"/>
      <c r="G91" s="21">
        <f t="shared" si="34"/>
        <v>1</v>
      </c>
      <c r="H91" s="635"/>
      <c r="I91" s="21">
        <f t="shared" si="35"/>
        <v>1</v>
      </c>
      <c r="J91" s="635"/>
      <c r="K91" s="21">
        <f t="shared" si="36"/>
        <v>1</v>
      </c>
      <c r="L91" s="635"/>
      <c r="M91" s="21">
        <f t="shared" si="37"/>
        <v>1</v>
      </c>
      <c r="N91" s="635"/>
      <c r="O91" s="21">
        <f t="shared" si="38"/>
        <v>1</v>
      </c>
      <c r="P91" s="635"/>
      <c r="Q91" s="21">
        <f t="shared" si="39"/>
        <v>1</v>
      </c>
      <c r="R91" s="21">
        <f t="shared" ca="1" si="40"/>
        <v>9548</v>
      </c>
      <c r="S91" s="634">
        <f t="shared" ca="1" si="26"/>
        <v>68.373199999999997</v>
      </c>
      <c r="T91" s="689">
        <f t="shared" ca="1" si="27"/>
        <v>3.5815000000000001</v>
      </c>
      <c r="U91" s="689">
        <f t="shared" ca="1" si="28"/>
        <v>3.4200000000000001E-2</v>
      </c>
      <c r="V91" s="689">
        <f t="shared" ca="1" si="29"/>
        <v>3.2559</v>
      </c>
      <c r="W91" s="689">
        <f t="shared" ca="1" si="30"/>
        <v>6.8715999999999999</v>
      </c>
      <c r="X91" s="689">
        <f t="shared" ca="1" si="31"/>
        <v>61.501599999999996</v>
      </c>
    </row>
    <row r="92" spans="1:24">
      <c r="A92" s="142" t="str">
        <f>面积清单!H69</f>
        <v>2单元416</v>
      </c>
      <c r="B92" s="52">
        <f>面积清单!J69</f>
        <v>63.07</v>
      </c>
      <c r="C92" s="21">
        <f t="shared" si="32"/>
        <v>1</v>
      </c>
      <c r="D92" s="635" t="s">
        <v>3965</v>
      </c>
      <c r="E92" s="21">
        <f t="shared" si="33"/>
        <v>1.01</v>
      </c>
      <c r="F92" s="635"/>
      <c r="G92" s="21">
        <f t="shared" si="34"/>
        <v>1</v>
      </c>
      <c r="H92" s="635"/>
      <c r="I92" s="21">
        <f t="shared" si="35"/>
        <v>1</v>
      </c>
      <c r="J92" s="635"/>
      <c r="K92" s="21">
        <f t="shared" si="36"/>
        <v>1</v>
      </c>
      <c r="L92" s="635"/>
      <c r="M92" s="21">
        <f t="shared" si="37"/>
        <v>1</v>
      </c>
      <c r="N92" s="635"/>
      <c r="O92" s="21">
        <f t="shared" si="38"/>
        <v>1</v>
      </c>
      <c r="P92" s="635"/>
      <c r="Q92" s="21">
        <f t="shared" si="39"/>
        <v>1</v>
      </c>
      <c r="R92" s="21">
        <f t="shared" ca="1" si="40"/>
        <v>9548</v>
      </c>
      <c r="S92" s="634">
        <f t="shared" ca="1" si="26"/>
        <v>60.219200000000001</v>
      </c>
      <c r="T92" s="689">
        <f t="shared" ca="1" si="27"/>
        <v>3.1543000000000001</v>
      </c>
      <c r="U92" s="689">
        <f t="shared" ca="1" si="28"/>
        <v>3.0099999999999998E-2</v>
      </c>
      <c r="V92" s="689">
        <f t="shared" ca="1" si="29"/>
        <v>2.8675999999999999</v>
      </c>
      <c r="W92" s="689">
        <f t="shared" ca="1" si="30"/>
        <v>6.0519999999999996</v>
      </c>
      <c r="X92" s="689">
        <f t="shared" ca="1" si="31"/>
        <v>54.167200000000001</v>
      </c>
    </row>
    <row r="93" spans="1:24">
      <c r="A93" s="142" t="str">
        <f>面积清单!H70</f>
        <v>2单元417</v>
      </c>
      <c r="B93" s="52">
        <f>面积清单!J70</f>
        <v>54.75</v>
      </c>
      <c r="C93" s="21">
        <f t="shared" si="32"/>
        <v>1</v>
      </c>
      <c r="D93" s="635" t="s">
        <v>3965</v>
      </c>
      <c r="E93" s="21">
        <f t="shared" si="33"/>
        <v>1.01</v>
      </c>
      <c r="F93" s="635"/>
      <c r="G93" s="21">
        <f t="shared" si="34"/>
        <v>1</v>
      </c>
      <c r="H93" s="635"/>
      <c r="I93" s="21">
        <f t="shared" si="35"/>
        <v>1</v>
      </c>
      <c r="J93" s="635"/>
      <c r="K93" s="21">
        <f t="shared" si="36"/>
        <v>1</v>
      </c>
      <c r="L93" s="635"/>
      <c r="M93" s="21">
        <f t="shared" si="37"/>
        <v>1</v>
      </c>
      <c r="N93" s="635"/>
      <c r="O93" s="21">
        <f t="shared" si="38"/>
        <v>1</v>
      </c>
      <c r="P93" s="635"/>
      <c r="Q93" s="21">
        <f t="shared" si="39"/>
        <v>1</v>
      </c>
      <c r="R93" s="21">
        <f t="shared" ca="1" si="40"/>
        <v>9548</v>
      </c>
      <c r="S93" s="634">
        <f t="shared" ca="1" si="26"/>
        <v>52.275300000000001</v>
      </c>
      <c r="T93" s="689">
        <f t="shared" ca="1" si="27"/>
        <v>2.7382</v>
      </c>
      <c r="U93" s="689">
        <f t="shared" ca="1" si="28"/>
        <v>2.6100000000000002E-2</v>
      </c>
      <c r="V93" s="689">
        <f t="shared" ca="1" si="29"/>
        <v>2.4893000000000001</v>
      </c>
      <c r="W93" s="689">
        <f t="shared" ca="1" si="30"/>
        <v>5.2536000000000005</v>
      </c>
      <c r="X93" s="689">
        <f t="shared" ca="1" si="31"/>
        <v>47.021700000000003</v>
      </c>
    </row>
    <row r="94" spans="1:24">
      <c r="A94" s="142" t="str">
        <f>面积清单!H71</f>
        <v>2单元418</v>
      </c>
      <c r="B94" s="52">
        <f>面积清单!J71</f>
        <v>54.75</v>
      </c>
      <c r="C94" s="21">
        <f t="shared" si="32"/>
        <v>1</v>
      </c>
      <c r="D94" s="635" t="s">
        <v>3965</v>
      </c>
      <c r="E94" s="21">
        <f t="shared" si="33"/>
        <v>1.01</v>
      </c>
      <c r="F94" s="635"/>
      <c r="G94" s="21">
        <f t="shared" si="34"/>
        <v>1</v>
      </c>
      <c r="H94" s="635"/>
      <c r="I94" s="21">
        <f t="shared" si="35"/>
        <v>1</v>
      </c>
      <c r="J94" s="635"/>
      <c r="K94" s="21">
        <f t="shared" si="36"/>
        <v>1</v>
      </c>
      <c r="L94" s="635"/>
      <c r="M94" s="21">
        <f t="shared" si="37"/>
        <v>1</v>
      </c>
      <c r="N94" s="635"/>
      <c r="O94" s="21">
        <f t="shared" si="38"/>
        <v>1</v>
      </c>
      <c r="P94" s="635"/>
      <c r="Q94" s="21">
        <f t="shared" si="39"/>
        <v>1</v>
      </c>
      <c r="R94" s="21">
        <f t="shared" ca="1" si="40"/>
        <v>9548</v>
      </c>
      <c r="S94" s="634">
        <f t="shared" ca="1" si="26"/>
        <v>52.275300000000001</v>
      </c>
      <c r="T94" s="689">
        <f t="shared" ca="1" si="27"/>
        <v>2.7382</v>
      </c>
      <c r="U94" s="689">
        <f t="shared" ca="1" si="28"/>
        <v>2.6100000000000002E-2</v>
      </c>
      <c r="V94" s="689">
        <f t="shared" ca="1" si="29"/>
        <v>2.4893000000000001</v>
      </c>
      <c r="W94" s="689">
        <f t="shared" ca="1" si="30"/>
        <v>5.2536000000000005</v>
      </c>
      <c r="X94" s="689">
        <f t="shared" ca="1" si="31"/>
        <v>47.021700000000003</v>
      </c>
    </row>
    <row r="95" spans="1:24">
      <c r="A95" s="142" t="str">
        <f>面积清单!H72</f>
        <v>2单元419</v>
      </c>
      <c r="B95" s="52">
        <f>面积清单!J72</f>
        <v>54.75</v>
      </c>
      <c r="C95" s="21">
        <f t="shared" si="32"/>
        <v>1</v>
      </c>
      <c r="D95" s="635" t="s">
        <v>3965</v>
      </c>
      <c r="E95" s="21">
        <f t="shared" si="33"/>
        <v>1.01</v>
      </c>
      <c r="F95" s="635"/>
      <c r="G95" s="21">
        <f t="shared" si="34"/>
        <v>1</v>
      </c>
      <c r="H95" s="635"/>
      <c r="I95" s="21">
        <f t="shared" si="35"/>
        <v>1</v>
      </c>
      <c r="J95" s="635"/>
      <c r="K95" s="21">
        <f t="shared" si="36"/>
        <v>1</v>
      </c>
      <c r="L95" s="635"/>
      <c r="M95" s="21">
        <f t="shared" si="37"/>
        <v>1</v>
      </c>
      <c r="N95" s="635"/>
      <c r="O95" s="21">
        <f t="shared" si="38"/>
        <v>1</v>
      </c>
      <c r="P95" s="635"/>
      <c r="Q95" s="21">
        <f t="shared" si="39"/>
        <v>1</v>
      </c>
      <c r="R95" s="21">
        <f t="shared" ca="1" si="40"/>
        <v>9548</v>
      </c>
      <c r="S95" s="634">
        <f t="shared" ca="1" si="26"/>
        <v>52.275300000000001</v>
      </c>
      <c r="T95" s="689">
        <f t="shared" ca="1" si="27"/>
        <v>2.7382</v>
      </c>
      <c r="U95" s="689">
        <f t="shared" ca="1" si="28"/>
        <v>2.6100000000000002E-2</v>
      </c>
      <c r="V95" s="689">
        <f t="shared" ca="1" si="29"/>
        <v>2.4893000000000001</v>
      </c>
      <c r="W95" s="689">
        <f t="shared" ca="1" si="30"/>
        <v>5.2536000000000005</v>
      </c>
      <c r="X95" s="689">
        <f t="shared" ca="1" si="31"/>
        <v>47.021700000000003</v>
      </c>
    </row>
    <row r="96" spans="1:24">
      <c r="A96" s="142" t="str">
        <f>面积清单!H73</f>
        <v>2单元420</v>
      </c>
      <c r="B96" s="52">
        <f>面积清单!J73</f>
        <v>54.75</v>
      </c>
      <c r="C96" s="21">
        <f t="shared" si="32"/>
        <v>1</v>
      </c>
      <c r="D96" s="635" t="s">
        <v>3965</v>
      </c>
      <c r="E96" s="21">
        <f t="shared" si="33"/>
        <v>1.01</v>
      </c>
      <c r="F96" s="635"/>
      <c r="G96" s="21">
        <f t="shared" si="34"/>
        <v>1</v>
      </c>
      <c r="H96" s="635"/>
      <c r="I96" s="21">
        <f t="shared" si="35"/>
        <v>1</v>
      </c>
      <c r="J96" s="635"/>
      <c r="K96" s="21">
        <f t="shared" si="36"/>
        <v>1</v>
      </c>
      <c r="L96" s="635"/>
      <c r="M96" s="21">
        <f t="shared" si="37"/>
        <v>1</v>
      </c>
      <c r="N96" s="635"/>
      <c r="O96" s="21">
        <f t="shared" si="38"/>
        <v>1</v>
      </c>
      <c r="P96" s="635"/>
      <c r="Q96" s="21">
        <f t="shared" si="39"/>
        <v>1</v>
      </c>
      <c r="R96" s="21">
        <f t="shared" ca="1" si="40"/>
        <v>9548</v>
      </c>
      <c r="S96" s="634">
        <f t="shared" ca="1" si="26"/>
        <v>52.275300000000001</v>
      </c>
      <c r="T96" s="689">
        <f t="shared" ca="1" si="27"/>
        <v>2.7382</v>
      </c>
      <c r="U96" s="689">
        <f t="shared" ca="1" si="28"/>
        <v>2.6100000000000002E-2</v>
      </c>
      <c r="V96" s="689">
        <f t="shared" ca="1" si="29"/>
        <v>2.4893000000000001</v>
      </c>
      <c r="W96" s="689">
        <f t="shared" ca="1" si="30"/>
        <v>5.2536000000000005</v>
      </c>
      <c r="X96" s="689">
        <f t="shared" ca="1" si="31"/>
        <v>47.021700000000003</v>
      </c>
    </row>
    <row r="97" spans="1:24">
      <c r="A97" s="142" t="str">
        <f>面积清单!H74</f>
        <v>2单元421</v>
      </c>
      <c r="B97" s="52">
        <f>面积清单!J74</f>
        <v>54.75</v>
      </c>
      <c r="C97" s="21">
        <f t="shared" si="32"/>
        <v>1</v>
      </c>
      <c r="D97" s="635" t="s">
        <v>3965</v>
      </c>
      <c r="E97" s="21">
        <f t="shared" si="33"/>
        <v>1.01</v>
      </c>
      <c r="F97" s="635"/>
      <c r="G97" s="21">
        <f t="shared" si="34"/>
        <v>1</v>
      </c>
      <c r="H97" s="635"/>
      <c r="I97" s="21">
        <f t="shared" si="35"/>
        <v>1</v>
      </c>
      <c r="J97" s="635"/>
      <c r="K97" s="21">
        <f t="shared" si="36"/>
        <v>1</v>
      </c>
      <c r="L97" s="635"/>
      <c r="M97" s="21">
        <f t="shared" si="37"/>
        <v>1</v>
      </c>
      <c r="N97" s="635"/>
      <c r="O97" s="21">
        <f t="shared" si="38"/>
        <v>1</v>
      </c>
      <c r="P97" s="635"/>
      <c r="Q97" s="21">
        <f t="shared" si="39"/>
        <v>1</v>
      </c>
      <c r="R97" s="21">
        <f t="shared" ca="1" si="40"/>
        <v>9548</v>
      </c>
      <c r="S97" s="634">
        <f t="shared" ca="1" si="26"/>
        <v>52.275300000000001</v>
      </c>
      <c r="T97" s="689">
        <f t="shared" ca="1" si="27"/>
        <v>2.7382</v>
      </c>
      <c r="U97" s="689">
        <f t="shared" ca="1" si="28"/>
        <v>2.6100000000000002E-2</v>
      </c>
      <c r="V97" s="689">
        <f t="shared" ca="1" si="29"/>
        <v>2.4893000000000001</v>
      </c>
      <c r="W97" s="689">
        <f t="shared" ca="1" si="30"/>
        <v>5.2536000000000005</v>
      </c>
      <c r="X97" s="689">
        <f t="shared" ca="1" si="31"/>
        <v>47.021700000000003</v>
      </c>
    </row>
    <row r="98" spans="1:24">
      <c r="A98" s="142" t="str">
        <f>面积清单!H75</f>
        <v>2单元422</v>
      </c>
      <c r="B98" s="52">
        <f>面积清单!J75</f>
        <v>54.75</v>
      </c>
      <c r="C98" s="21">
        <f t="shared" si="32"/>
        <v>1</v>
      </c>
      <c r="D98" s="635" t="s">
        <v>3965</v>
      </c>
      <c r="E98" s="21">
        <f t="shared" si="33"/>
        <v>1.01</v>
      </c>
      <c r="F98" s="635"/>
      <c r="G98" s="21">
        <f t="shared" si="34"/>
        <v>1</v>
      </c>
      <c r="H98" s="635"/>
      <c r="I98" s="21">
        <f t="shared" si="35"/>
        <v>1</v>
      </c>
      <c r="J98" s="635"/>
      <c r="K98" s="21">
        <f t="shared" si="36"/>
        <v>1</v>
      </c>
      <c r="L98" s="635"/>
      <c r="M98" s="21">
        <f t="shared" si="37"/>
        <v>1</v>
      </c>
      <c r="N98" s="635"/>
      <c r="O98" s="21">
        <f t="shared" si="38"/>
        <v>1</v>
      </c>
      <c r="P98" s="635"/>
      <c r="Q98" s="21">
        <f t="shared" si="39"/>
        <v>1</v>
      </c>
      <c r="R98" s="21">
        <f t="shared" ca="1" si="40"/>
        <v>9548</v>
      </c>
      <c r="S98" s="634">
        <f t="shared" ca="1" si="26"/>
        <v>52.275300000000001</v>
      </c>
      <c r="T98" s="689">
        <f t="shared" ca="1" si="27"/>
        <v>2.7382</v>
      </c>
      <c r="U98" s="689">
        <f t="shared" ca="1" si="28"/>
        <v>2.6100000000000002E-2</v>
      </c>
      <c r="V98" s="689">
        <f t="shared" ca="1" si="29"/>
        <v>2.4893000000000001</v>
      </c>
      <c r="W98" s="689">
        <f t="shared" ca="1" si="30"/>
        <v>5.2536000000000005</v>
      </c>
      <c r="X98" s="689">
        <f t="shared" ca="1" si="31"/>
        <v>47.021700000000003</v>
      </c>
    </row>
    <row r="99" spans="1:24">
      <c r="A99" s="142" t="str">
        <f>面积清单!H76</f>
        <v>2单元423</v>
      </c>
      <c r="B99" s="52">
        <f>面积清单!J76</f>
        <v>54.75</v>
      </c>
      <c r="C99" s="21">
        <f t="shared" si="32"/>
        <v>1</v>
      </c>
      <c r="D99" s="635" t="s">
        <v>3965</v>
      </c>
      <c r="E99" s="21">
        <f t="shared" si="33"/>
        <v>1.01</v>
      </c>
      <c r="F99" s="635"/>
      <c r="G99" s="21">
        <f t="shared" si="34"/>
        <v>1</v>
      </c>
      <c r="H99" s="635"/>
      <c r="I99" s="21">
        <f t="shared" si="35"/>
        <v>1</v>
      </c>
      <c r="J99" s="635"/>
      <c r="K99" s="21">
        <f t="shared" si="36"/>
        <v>1</v>
      </c>
      <c r="L99" s="635"/>
      <c r="M99" s="21">
        <f t="shared" si="37"/>
        <v>1</v>
      </c>
      <c r="N99" s="635"/>
      <c r="O99" s="21">
        <f t="shared" si="38"/>
        <v>1</v>
      </c>
      <c r="P99" s="635"/>
      <c r="Q99" s="21">
        <f t="shared" si="39"/>
        <v>1</v>
      </c>
      <c r="R99" s="21">
        <f t="shared" ca="1" si="40"/>
        <v>9548</v>
      </c>
      <c r="S99" s="634">
        <f t="shared" ca="1" si="26"/>
        <v>52.275300000000001</v>
      </c>
      <c r="T99" s="689">
        <f t="shared" ca="1" si="27"/>
        <v>2.7382</v>
      </c>
      <c r="U99" s="689">
        <f t="shared" ca="1" si="28"/>
        <v>2.6100000000000002E-2</v>
      </c>
      <c r="V99" s="689">
        <f t="shared" ca="1" si="29"/>
        <v>2.4893000000000001</v>
      </c>
      <c r="W99" s="689">
        <f t="shared" ca="1" si="30"/>
        <v>5.2536000000000005</v>
      </c>
      <c r="X99" s="689">
        <f t="shared" ca="1" si="31"/>
        <v>47.021700000000003</v>
      </c>
    </row>
    <row r="100" spans="1:24">
      <c r="A100" s="142" t="str">
        <f>面积清单!H77</f>
        <v>2单元424</v>
      </c>
      <c r="B100" s="52">
        <f>面积清单!J77</f>
        <v>54.75</v>
      </c>
      <c r="C100" s="21">
        <f t="shared" si="32"/>
        <v>1</v>
      </c>
      <c r="D100" s="635" t="s">
        <v>3965</v>
      </c>
      <c r="E100" s="21">
        <f t="shared" si="33"/>
        <v>1.01</v>
      </c>
      <c r="F100" s="635"/>
      <c r="G100" s="21">
        <f t="shared" si="34"/>
        <v>1</v>
      </c>
      <c r="H100" s="635"/>
      <c r="I100" s="21">
        <f t="shared" si="35"/>
        <v>1</v>
      </c>
      <c r="J100" s="635"/>
      <c r="K100" s="21">
        <f t="shared" si="36"/>
        <v>1</v>
      </c>
      <c r="L100" s="635"/>
      <c r="M100" s="21">
        <f t="shared" si="37"/>
        <v>1</v>
      </c>
      <c r="N100" s="635"/>
      <c r="O100" s="21">
        <f t="shared" si="38"/>
        <v>1</v>
      </c>
      <c r="P100" s="635"/>
      <c r="Q100" s="21">
        <f t="shared" si="39"/>
        <v>1</v>
      </c>
      <c r="R100" s="21">
        <f t="shared" ca="1" si="40"/>
        <v>9548</v>
      </c>
      <c r="S100" s="634">
        <f t="shared" ca="1" si="26"/>
        <v>52.275300000000001</v>
      </c>
      <c r="T100" s="689">
        <f t="shared" ca="1" si="27"/>
        <v>2.7382</v>
      </c>
      <c r="U100" s="689">
        <f t="shared" ca="1" si="28"/>
        <v>2.6100000000000002E-2</v>
      </c>
      <c r="V100" s="689">
        <f t="shared" ca="1" si="29"/>
        <v>2.4893000000000001</v>
      </c>
      <c r="W100" s="689">
        <f t="shared" ca="1" si="30"/>
        <v>5.2536000000000005</v>
      </c>
      <c r="X100" s="689">
        <f t="shared" ca="1" si="31"/>
        <v>47.021700000000003</v>
      </c>
    </row>
    <row r="101" spans="1:24">
      <c r="A101" s="142" t="str">
        <f>面积清单!H78</f>
        <v>2单元425</v>
      </c>
      <c r="B101" s="52">
        <f>面积清单!J78</f>
        <v>62.39</v>
      </c>
      <c r="C101" s="21">
        <f t="shared" si="32"/>
        <v>1</v>
      </c>
      <c r="D101" s="635" t="s">
        <v>3965</v>
      </c>
      <c r="E101" s="21">
        <f t="shared" si="33"/>
        <v>1.01</v>
      </c>
      <c r="F101" s="635"/>
      <c r="G101" s="21">
        <f t="shared" si="34"/>
        <v>1</v>
      </c>
      <c r="H101" s="635"/>
      <c r="I101" s="21">
        <f t="shared" si="35"/>
        <v>1</v>
      </c>
      <c r="J101" s="635"/>
      <c r="K101" s="21">
        <f t="shared" si="36"/>
        <v>1</v>
      </c>
      <c r="L101" s="635"/>
      <c r="M101" s="21">
        <f t="shared" si="37"/>
        <v>1</v>
      </c>
      <c r="N101" s="635"/>
      <c r="O101" s="21">
        <f t="shared" si="38"/>
        <v>1</v>
      </c>
      <c r="P101" s="635"/>
      <c r="Q101" s="21">
        <f t="shared" si="39"/>
        <v>1</v>
      </c>
      <c r="R101" s="21">
        <f t="shared" ca="1" si="40"/>
        <v>9548</v>
      </c>
      <c r="S101" s="634">
        <f t="shared" ca="1" si="26"/>
        <v>59.57</v>
      </c>
      <c r="T101" s="689">
        <f t="shared" ca="1" si="27"/>
        <v>3.1202999999999999</v>
      </c>
      <c r="U101" s="689">
        <f t="shared" ca="1" si="28"/>
        <v>2.98E-2</v>
      </c>
      <c r="V101" s="689">
        <f t="shared" ca="1" si="29"/>
        <v>2.8367</v>
      </c>
      <c r="W101" s="689">
        <f t="shared" ca="1" si="30"/>
        <v>5.9867999999999997</v>
      </c>
      <c r="X101" s="689">
        <f t="shared" ca="1" si="31"/>
        <v>53.583199999999998</v>
      </c>
    </row>
    <row r="102" spans="1:24">
      <c r="A102" s="142" t="str">
        <f>面积清单!H79</f>
        <v>2单元426</v>
      </c>
      <c r="B102" s="52">
        <f>面积清单!J79</f>
        <v>74.14</v>
      </c>
      <c r="C102" s="21">
        <f t="shared" si="32"/>
        <v>1</v>
      </c>
      <c r="D102" s="635" t="s">
        <v>3965</v>
      </c>
      <c r="E102" s="21">
        <f t="shared" si="33"/>
        <v>1.01</v>
      </c>
      <c r="F102" s="635"/>
      <c r="G102" s="21">
        <f t="shared" si="34"/>
        <v>1</v>
      </c>
      <c r="H102" s="635"/>
      <c r="I102" s="21">
        <f t="shared" si="35"/>
        <v>1</v>
      </c>
      <c r="J102" s="635"/>
      <c r="K102" s="21">
        <f t="shared" si="36"/>
        <v>1</v>
      </c>
      <c r="L102" s="635"/>
      <c r="M102" s="21">
        <f t="shared" si="37"/>
        <v>1</v>
      </c>
      <c r="N102" s="635"/>
      <c r="O102" s="21">
        <f t="shared" si="38"/>
        <v>1</v>
      </c>
      <c r="P102" s="635"/>
      <c r="Q102" s="21">
        <f t="shared" si="39"/>
        <v>1</v>
      </c>
      <c r="R102" s="21">
        <f t="shared" ca="1" si="40"/>
        <v>9548</v>
      </c>
      <c r="S102" s="634">
        <f t="shared" ca="1" si="26"/>
        <v>70.788899999999998</v>
      </c>
      <c r="T102" s="689">
        <f t="shared" ca="1" si="27"/>
        <v>3.7080000000000002</v>
      </c>
      <c r="U102" s="689">
        <f t="shared" ca="1" si="28"/>
        <v>3.5400000000000001E-2</v>
      </c>
      <c r="V102" s="689">
        <f t="shared" ca="1" si="29"/>
        <v>3.3708999999999998</v>
      </c>
      <c r="W102" s="689">
        <f t="shared" ca="1" si="30"/>
        <v>7.1143000000000001</v>
      </c>
      <c r="X102" s="689">
        <f t="shared" ca="1" si="31"/>
        <v>63.674599999999998</v>
      </c>
    </row>
    <row r="103" spans="1:24">
      <c r="A103" s="142" t="str">
        <f>面积清单!H80</f>
        <v>2单元501</v>
      </c>
      <c r="B103" s="52">
        <f>面积清单!J80</f>
        <v>182.27</v>
      </c>
      <c r="C103" s="21">
        <f t="shared" si="32"/>
        <v>0.99</v>
      </c>
      <c r="D103" s="635" t="s">
        <v>3965</v>
      </c>
      <c r="E103" s="21">
        <f t="shared" si="33"/>
        <v>1.01</v>
      </c>
      <c r="F103" s="635"/>
      <c r="G103" s="21">
        <f t="shared" si="34"/>
        <v>1</v>
      </c>
      <c r="H103" s="635"/>
      <c r="I103" s="21">
        <f t="shared" si="35"/>
        <v>1</v>
      </c>
      <c r="J103" s="635"/>
      <c r="K103" s="21">
        <f t="shared" si="36"/>
        <v>1</v>
      </c>
      <c r="L103" s="635"/>
      <c r="M103" s="21">
        <f t="shared" si="37"/>
        <v>1</v>
      </c>
      <c r="N103" s="635"/>
      <c r="O103" s="21">
        <f t="shared" si="38"/>
        <v>1</v>
      </c>
      <c r="P103" s="635"/>
      <c r="Q103" s="21">
        <f t="shared" si="39"/>
        <v>1</v>
      </c>
      <c r="R103" s="21">
        <f t="shared" ca="1" si="40"/>
        <v>9452</v>
      </c>
      <c r="S103" s="634">
        <f t="shared" ca="1" si="26"/>
        <v>172.2816</v>
      </c>
      <c r="T103" s="689">
        <f t="shared" ca="1" si="27"/>
        <v>9.0243000000000002</v>
      </c>
      <c r="U103" s="689">
        <f t="shared" ca="1" si="28"/>
        <v>8.6099999999999996E-2</v>
      </c>
      <c r="V103" s="689">
        <f t="shared" ca="1" si="29"/>
        <v>8.2039000000000009</v>
      </c>
      <c r="W103" s="689">
        <f t="shared" ca="1" si="30"/>
        <v>17.314300000000003</v>
      </c>
      <c r="X103" s="689">
        <f t="shared" ca="1" si="31"/>
        <v>154.96729999999999</v>
      </c>
    </row>
    <row r="104" spans="1:24">
      <c r="A104" s="142" t="str">
        <f>面积清单!H81</f>
        <v>2单元502</v>
      </c>
      <c r="B104" s="52">
        <f>面积清单!J81</f>
        <v>75.75</v>
      </c>
      <c r="C104" s="21">
        <f t="shared" si="32"/>
        <v>1</v>
      </c>
      <c r="D104" s="635" t="s">
        <v>3965</v>
      </c>
      <c r="E104" s="21">
        <f t="shared" si="33"/>
        <v>1.01</v>
      </c>
      <c r="F104" s="635"/>
      <c r="G104" s="21">
        <f t="shared" si="34"/>
        <v>1</v>
      </c>
      <c r="H104" s="635"/>
      <c r="I104" s="21">
        <f t="shared" si="35"/>
        <v>1</v>
      </c>
      <c r="J104" s="635"/>
      <c r="K104" s="21">
        <f t="shared" si="36"/>
        <v>1</v>
      </c>
      <c r="L104" s="635"/>
      <c r="M104" s="21">
        <f t="shared" si="37"/>
        <v>1</v>
      </c>
      <c r="N104" s="635"/>
      <c r="O104" s="21">
        <f t="shared" si="38"/>
        <v>1</v>
      </c>
      <c r="P104" s="635"/>
      <c r="Q104" s="21">
        <f t="shared" si="39"/>
        <v>1</v>
      </c>
      <c r="R104" s="21">
        <f t="shared" ca="1" si="40"/>
        <v>9548</v>
      </c>
      <c r="S104" s="634">
        <f t="shared" ca="1" si="26"/>
        <v>72.326099999999997</v>
      </c>
      <c r="T104" s="689">
        <f t="shared" ca="1" si="27"/>
        <v>3.7885</v>
      </c>
      <c r="U104" s="689">
        <f t="shared" ca="1" si="28"/>
        <v>3.6200000000000003E-2</v>
      </c>
      <c r="V104" s="689">
        <f t="shared" ca="1" si="29"/>
        <v>3.4441000000000002</v>
      </c>
      <c r="W104" s="689">
        <f t="shared" ca="1" si="30"/>
        <v>7.2688000000000006</v>
      </c>
      <c r="X104" s="689">
        <f t="shared" ca="1" si="31"/>
        <v>65.057299999999998</v>
      </c>
    </row>
    <row r="105" spans="1:24">
      <c r="A105" s="142" t="str">
        <f>面积清单!H82</f>
        <v>2单元503</v>
      </c>
      <c r="B105" s="52">
        <f>面积清单!J82</f>
        <v>81.709999999999994</v>
      </c>
      <c r="C105" s="21">
        <f t="shared" si="32"/>
        <v>1</v>
      </c>
      <c r="D105" s="635" t="s">
        <v>3965</v>
      </c>
      <c r="E105" s="21">
        <f t="shared" si="33"/>
        <v>1.01</v>
      </c>
      <c r="F105" s="635"/>
      <c r="G105" s="21">
        <f t="shared" si="34"/>
        <v>1</v>
      </c>
      <c r="H105" s="635"/>
      <c r="I105" s="21">
        <f t="shared" si="35"/>
        <v>1</v>
      </c>
      <c r="J105" s="635"/>
      <c r="K105" s="21">
        <f t="shared" si="36"/>
        <v>1</v>
      </c>
      <c r="L105" s="635"/>
      <c r="M105" s="21">
        <f t="shared" si="37"/>
        <v>1</v>
      </c>
      <c r="N105" s="635"/>
      <c r="O105" s="21">
        <f t="shared" si="38"/>
        <v>1</v>
      </c>
      <c r="P105" s="635"/>
      <c r="Q105" s="21">
        <f t="shared" si="39"/>
        <v>1</v>
      </c>
      <c r="R105" s="21">
        <f t="shared" ca="1" si="40"/>
        <v>9548</v>
      </c>
      <c r="S105" s="634">
        <f t="shared" ca="1" si="26"/>
        <v>78.0167</v>
      </c>
      <c r="T105" s="689">
        <f t="shared" ca="1" si="27"/>
        <v>4.0865999999999998</v>
      </c>
      <c r="U105" s="689">
        <f t="shared" ca="1" si="28"/>
        <v>3.9E-2</v>
      </c>
      <c r="V105" s="689">
        <f t="shared" ca="1" si="29"/>
        <v>3.7151000000000001</v>
      </c>
      <c r="W105" s="689">
        <f t="shared" ca="1" si="30"/>
        <v>7.8407</v>
      </c>
      <c r="X105" s="689">
        <f t="shared" ca="1" si="31"/>
        <v>70.176000000000002</v>
      </c>
    </row>
    <row r="106" spans="1:24">
      <c r="A106" s="142" t="str">
        <f>面积清单!H83</f>
        <v>2单元504</v>
      </c>
      <c r="B106" s="52">
        <f>面积清单!J83</f>
        <v>76.430000000000007</v>
      </c>
      <c r="C106" s="21">
        <f t="shared" si="32"/>
        <v>1</v>
      </c>
      <c r="D106" s="635" t="s">
        <v>3965</v>
      </c>
      <c r="E106" s="21">
        <f t="shared" si="33"/>
        <v>1.01</v>
      </c>
      <c r="F106" s="635"/>
      <c r="G106" s="21">
        <f t="shared" si="34"/>
        <v>1</v>
      </c>
      <c r="H106" s="635"/>
      <c r="I106" s="21">
        <f t="shared" si="35"/>
        <v>1</v>
      </c>
      <c r="J106" s="635"/>
      <c r="K106" s="21">
        <f t="shared" si="36"/>
        <v>1</v>
      </c>
      <c r="L106" s="635"/>
      <c r="M106" s="21">
        <f t="shared" si="37"/>
        <v>1</v>
      </c>
      <c r="N106" s="635"/>
      <c r="O106" s="21">
        <f t="shared" si="38"/>
        <v>1</v>
      </c>
      <c r="P106" s="635"/>
      <c r="Q106" s="21">
        <f t="shared" si="39"/>
        <v>1</v>
      </c>
      <c r="R106" s="21">
        <f t="shared" ca="1" si="40"/>
        <v>9548</v>
      </c>
      <c r="S106" s="634">
        <f t="shared" ca="1" si="26"/>
        <v>72.975399999999993</v>
      </c>
      <c r="T106" s="689">
        <f t="shared" ca="1" si="27"/>
        <v>3.8224999999999998</v>
      </c>
      <c r="U106" s="689">
        <f t="shared" ca="1" si="28"/>
        <v>3.6499999999999998E-2</v>
      </c>
      <c r="V106" s="689">
        <f t="shared" ca="1" si="29"/>
        <v>3.4750000000000001</v>
      </c>
      <c r="W106" s="689">
        <f t="shared" ca="1" si="30"/>
        <v>7.3339999999999996</v>
      </c>
      <c r="X106" s="689">
        <f t="shared" ca="1" si="31"/>
        <v>65.64139999999999</v>
      </c>
    </row>
    <row r="107" spans="1:24">
      <c r="A107" s="142" t="str">
        <f>面积清单!H84</f>
        <v>2单元505</v>
      </c>
      <c r="B107" s="52">
        <f>面积清单!J84</f>
        <v>73</v>
      </c>
      <c r="C107" s="21">
        <f t="shared" si="32"/>
        <v>1</v>
      </c>
      <c r="D107" s="635" t="s">
        <v>3965</v>
      </c>
      <c r="E107" s="21">
        <f t="shared" si="33"/>
        <v>1.01</v>
      </c>
      <c r="F107" s="635"/>
      <c r="G107" s="21">
        <f t="shared" si="34"/>
        <v>1</v>
      </c>
      <c r="H107" s="635"/>
      <c r="I107" s="21">
        <f t="shared" si="35"/>
        <v>1</v>
      </c>
      <c r="J107" s="635"/>
      <c r="K107" s="21">
        <f t="shared" si="36"/>
        <v>1</v>
      </c>
      <c r="L107" s="635"/>
      <c r="M107" s="21">
        <f t="shared" si="37"/>
        <v>1</v>
      </c>
      <c r="N107" s="635"/>
      <c r="O107" s="21">
        <f t="shared" si="38"/>
        <v>1</v>
      </c>
      <c r="P107" s="635"/>
      <c r="Q107" s="21">
        <f t="shared" si="39"/>
        <v>1</v>
      </c>
      <c r="R107" s="21">
        <f t="shared" ca="1" si="40"/>
        <v>9548</v>
      </c>
      <c r="S107" s="634">
        <f t="shared" ca="1" si="26"/>
        <v>69.700400000000002</v>
      </c>
      <c r="T107" s="689">
        <f t="shared" ca="1" si="27"/>
        <v>3.6509999999999998</v>
      </c>
      <c r="U107" s="689">
        <f t="shared" ca="1" si="28"/>
        <v>3.49E-2</v>
      </c>
      <c r="V107" s="689">
        <f t="shared" ca="1" si="29"/>
        <v>3.3191000000000002</v>
      </c>
      <c r="W107" s="689">
        <f t="shared" ca="1" si="30"/>
        <v>7.0049999999999999</v>
      </c>
      <c r="X107" s="689">
        <f t="shared" ca="1" si="31"/>
        <v>62.695399999999999</v>
      </c>
    </row>
    <row r="108" spans="1:24">
      <c r="A108" s="142" t="str">
        <f>面积清单!H85</f>
        <v>2单元506</v>
      </c>
      <c r="B108" s="52">
        <f>面积清单!J85</f>
        <v>78.45</v>
      </c>
      <c r="C108" s="21">
        <f t="shared" si="32"/>
        <v>1</v>
      </c>
      <c r="D108" s="635" t="s">
        <v>3965</v>
      </c>
      <c r="E108" s="21">
        <f t="shared" si="33"/>
        <v>1.01</v>
      </c>
      <c r="F108" s="635"/>
      <c r="G108" s="21">
        <f t="shared" si="34"/>
        <v>1</v>
      </c>
      <c r="H108" s="635"/>
      <c r="I108" s="21">
        <f t="shared" si="35"/>
        <v>1</v>
      </c>
      <c r="J108" s="635"/>
      <c r="K108" s="21">
        <f t="shared" si="36"/>
        <v>1</v>
      </c>
      <c r="L108" s="635"/>
      <c r="M108" s="21">
        <f t="shared" si="37"/>
        <v>1</v>
      </c>
      <c r="N108" s="635"/>
      <c r="O108" s="21">
        <f t="shared" si="38"/>
        <v>1</v>
      </c>
      <c r="P108" s="635"/>
      <c r="Q108" s="21">
        <f t="shared" si="39"/>
        <v>1</v>
      </c>
      <c r="R108" s="21">
        <f t="shared" ca="1" si="40"/>
        <v>9548</v>
      </c>
      <c r="S108" s="634">
        <f t="shared" ca="1" si="26"/>
        <v>74.9041</v>
      </c>
      <c r="T108" s="689">
        <f t="shared" ca="1" si="27"/>
        <v>3.9235000000000002</v>
      </c>
      <c r="U108" s="689">
        <f t="shared" ca="1" si="28"/>
        <v>3.7499999999999999E-2</v>
      </c>
      <c r="V108" s="689">
        <f t="shared" ca="1" si="29"/>
        <v>3.5669</v>
      </c>
      <c r="W108" s="689">
        <f t="shared" ca="1" si="30"/>
        <v>7.5279000000000007</v>
      </c>
      <c r="X108" s="689">
        <f t="shared" ca="1" si="31"/>
        <v>67.376199999999997</v>
      </c>
    </row>
    <row r="109" spans="1:24">
      <c r="A109" s="142" t="str">
        <f>面积清单!H86</f>
        <v>2单元507</v>
      </c>
      <c r="B109" s="52">
        <f>面积清单!J86</f>
        <v>75.959999999999994</v>
      </c>
      <c r="C109" s="21">
        <f t="shared" si="32"/>
        <v>1</v>
      </c>
      <c r="D109" s="635" t="s">
        <v>3965</v>
      </c>
      <c r="E109" s="21">
        <f t="shared" si="33"/>
        <v>1.01</v>
      </c>
      <c r="F109" s="635"/>
      <c r="G109" s="21">
        <f t="shared" si="34"/>
        <v>1</v>
      </c>
      <c r="H109" s="635"/>
      <c r="I109" s="21">
        <f t="shared" si="35"/>
        <v>1</v>
      </c>
      <c r="J109" s="635"/>
      <c r="K109" s="21">
        <f t="shared" si="36"/>
        <v>1</v>
      </c>
      <c r="L109" s="635"/>
      <c r="M109" s="21">
        <f t="shared" si="37"/>
        <v>1</v>
      </c>
      <c r="N109" s="635"/>
      <c r="O109" s="21">
        <f t="shared" si="38"/>
        <v>1</v>
      </c>
      <c r="P109" s="635"/>
      <c r="Q109" s="21">
        <f t="shared" si="39"/>
        <v>1</v>
      </c>
      <c r="R109" s="21">
        <f t="shared" ca="1" si="40"/>
        <v>9548</v>
      </c>
      <c r="S109" s="634">
        <f t="shared" ca="1" si="26"/>
        <v>72.526600000000002</v>
      </c>
      <c r="T109" s="689">
        <f t="shared" ca="1" si="27"/>
        <v>3.7989999999999999</v>
      </c>
      <c r="U109" s="689">
        <f t="shared" ca="1" si="28"/>
        <v>3.6299999999999999E-2</v>
      </c>
      <c r="V109" s="689">
        <f t="shared" ca="1" si="29"/>
        <v>3.4535999999999998</v>
      </c>
      <c r="W109" s="689">
        <f t="shared" ca="1" si="30"/>
        <v>7.2888999999999999</v>
      </c>
      <c r="X109" s="689">
        <f t="shared" ca="1" si="31"/>
        <v>65.237700000000004</v>
      </c>
    </row>
    <row r="110" spans="1:24">
      <c r="A110" s="142" t="str">
        <f>面积清单!H87</f>
        <v>2单元508</v>
      </c>
      <c r="B110" s="52">
        <f>面积清单!J87</f>
        <v>75.959999999999994</v>
      </c>
      <c r="C110" s="21">
        <f t="shared" si="32"/>
        <v>1</v>
      </c>
      <c r="D110" s="635" t="s">
        <v>3965</v>
      </c>
      <c r="E110" s="21">
        <f t="shared" si="33"/>
        <v>1.01</v>
      </c>
      <c r="F110" s="635"/>
      <c r="G110" s="21">
        <f t="shared" si="34"/>
        <v>1</v>
      </c>
      <c r="H110" s="635"/>
      <c r="I110" s="21">
        <f t="shared" si="35"/>
        <v>1</v>
      </c>
      <c r="J110" s="635"/>
      <c r="K110" s="21">
        <f t="shared" si="36"/>
        <v>1</v>
      </c>
      <c r="L110" s="635"/>
      <c r="M110" s="21">
        <f t="shared" si="37"/>
        <v>1</v>
      </c>
      <c r="N110" s="635"/>
      <c r="O110" s="21">
        <f t="shared" si="38"/>
        <v>1</v>
      </c>
      <c r="P110" s="635"/>
      <c r="Q110" s="21">
        <f t="shared" si="39"/>
        <v>1</v>
      </c>
      <c r="R110" s="21">
        <f t="shared" ca="1" si="40"/>
        <v>9548</v>
      </c>
      <c r="S110" s="634">
        <f t="shared" ca="1" si="26"/>
        <v>72.526600000000002</v>
      </c>
      <c r="T110" s="689">
        <f t="shared" ca="1" si="27"/>
        <v>3.7989999999999999</v>
      </c>
      <c r="U110" s="689">
        <f t="shared" ca="1" si="28"/>
        <v>3.6299999999999999E-2</v>
      </c>
      <c r="V110" s="689">
        <f t="shared" ca="1" si="29"/>
        <v>3.4535999999999998</v>
      </c>
      <c r="W110" s="689">
        <f t="shared" ca="1" si="30"/>
        <v>7.2888999999999999</v>
      </c>
      <c r="X110" s="689">
        <f t="shared" ca="1" si="31"/>
        <v>65.237700000000004</v>
      </c>
    </row>
    <row r="111" spans="1:24">
      <c r="A111" s="142" t="str">
        <f>面积清单!H88</f>
        <v>2单元509</v>
      </c>
      <c r="B111" s="52">
        <f>面积清单!J88</f>
        <v>78.45</v>
      </c>
      <c r="C111" s="21">
        <f t="shared" si="32"/>
        <v>1</v>
      </c>
      <c r="D111" s="635" t="s">
        <v>3965</v>
      </c>
      <c r="E111" s="21">
        <f t="shared" si="33"/>
        <v>1.01</v>
      </c>
      <c r="F111" s="635"/>
      <c r="G111" s="21">
        <f t="shared" si="34"/>
        <v>1</v>
      </c>
      <c r="H111" s="635"/>
      <c r="I111" s="21">
        <f t="shared" si="35"/>
        <v>1</v>
      </c>
      <c r="J111" s="635"/>
      <c r="K111" s="21">
        <f t="shared" si="36"/>
        <v>1</v>
      </c>
      <c r="L111" s="635"/>
      <c r="M111" s="21">
        <f t="shared" si="37"/>
        <v>1</v>
      </c>
      <c r="N111" s="635"/>
      <c r="O111" s="21">
        <f t="shared" si="38"/>
        <v>1</v>
      </c>
      <c r="P111" s="635"/>
      <c r="Q111" s="21">
        <f t="shared" si="39"/>
        <v>1</v>
      </c>
      <c r="R111" s="21">
        <f t="shared" ca="1" si="40"/>
        <v>9548</v>
      </c>
      <c r="S111" s="634">
        <f t="shared" ca="1" si="26"/>
        <v>74.9041</v>
      </c>
      <c r="T111" s="689">
        <f t="shared" ca="1" si="27"/>
        <v>3.9235000000000002</v>
      </c>
      <c r="U111" s="689">
        <f t="shared" ca="1" si="28"/>
        <v>3.7499999999999999E-2</v>
      </c>
      <c r="V111" s="689">
        <f t="shared" ca="1" si="29"/>
        <v>3.5669</v>
      </c>
      <c r="W111" s="689">
        <f t="shared" ca="1" si="30"/>
        <v>7.5279000000000007</v>
      </c>
      <c r="X111" s="689">
        <f t="shared" ca="1" si="31"/>
        <v>67.376199999999997</v>
      </c>
    </row>
    <row r="112" spans="1:24">
      <c r="A112" s="142" t="str">
        <f>面积清单!H89</f>
        <v>2单元510</v>
      </c>
      <c r="B112" s="52">
        <f>面积清单!J89</f>
        <v>73.47</v>
      </c>
      <c r="C112" s="21">
        <f t="shared" si="32"/>
        <v>1</v>
      </c>
      <c r="D112" s="635" t="s">
        <v>3965</v>
      </c>
      <c r="E112" s="21">
        <f t="shared" si="33"/>
        <v>1.01</v>
      </c>
      <c r="F112" s="635"/>
      <c r="G112" s="21">
        <f t="shared" si="34"/>
        <v>1</v>
      </c>
      <c r="H112" s="635"/>
      <c r="I112" s="21">
        <f t="shared" si="35"/>
        <v>1</v>
      </c>
      <c r="J112" s="635"/>
      <c r="K112" s="21">
        <f t="shared" si="36"/>
        <v>1</v>
      </c>
      <c r="L112" s="635"/>
      <c r="M112" s="21">
        <f t="shared" si="37"/>
        <v>1</v>
      </c>
      <c r="N112" s="635"/>
      <c r="O112" s="21">
        <f t="shared" si="38"/>
        <v>1</v>
      </c>
      <c r="P112" s="635"/>
      <c r="Q112" s="21">
        <f t="shared" si="39"/>
        <v>1</v>
      </c>
      <c r="R112" s="21">
        <f t="shared" ca="1" si="40"/>
        <v>9548</v>
      </c>
      <c r="S112" s="634">
        <f t="shared" ca="1" si="26"/>
        <v>70.149199999999993</v>
      </c>
      <c r="T112" s="689">
        <f t="shared" ca="1" si="27"/>
        <v>3.6745000000000001</v>
      </c>
      <c r="U112" s="689">
        <f t="shared" ca="1" si="28"/>
        <v>3.5099999999999999E-2</v>
      </c>
      <c r="V112" s="689">
        <f t="shared" ca="1" si="29"/>
        <v>3.3403999999999998</v>
      </c>
      <c r="W112" s="689">
        <f t="shared" ca="1" si="30"/>
        <v>7.05</v>
      </c>
      <c r="X112" s="689">
        <f t="shared" ca="1" si="31"/>
        <v>63.099199999999996</v>
      </c>
    </row>
    <row r="113" spans="1:24">
      <c r="A113" s="142" t="str">
        <f>面积清单!H90</f>
        <v>2单元511</v>
      </c>
      <c r="B113" s="52">
        <f>面积清单!J90</f>
        <v>75.959999999999994</v>
      </c>
      <c r="C113" s="21">
        <f t="shared" si="32"/>
        <v>1</v>
      </c>
      <c r="D113" s="635" t="s">
        <v>3965</v>
      </c>
      <c r="E113" s="21">
        <f t="shared" si="33"/>
        <v>1.01</v>
      </c>
      <c r="F113" s="635"/>
      <c r="G113" s="21">
        <f t="shared" si="34"/>
        <v>1</v>
      </c>
      <c r="H113" s="635"/>
      <c r="I113" s="21">
        <f t="shared" si="35"/>
        <v>1</v>
      </c>
      <c r="J113" s="635"/>
      <c r="K113" s="21">
        <f t="shared" si="36"/>
        <v>1</v>
      </c>
      <c r="L113" s="635"/>
      <c r="M113" s="21">
        <f t="shared" si="37"/>
        <v>1</v>
      </c>
      <c r="N113" s="635"/>
      <c r="O113" s="21">
        <f t="shared" si="38"/>
        <v>1</v>
      </c>
      <c r="P113" s="635"/>
      <c r="Q113" s="21">
        <f t="shared" si="39"/>
        <v>1</v>
      </c>
      <c r="R113" s="21">
        <f t="shared" ca="1" si="40"/>
        <v>9548</v>
      </c>
      <c r="S113" s="634">
        <f t="shared" ca="1" si="26"/>
        <v>72.526600000000002</v>
      </c>
      <c r="T113" s="689">
        <f t="shared" ca="1" si="27"/>
        <v>3.7989999999999999</v>
      </c>
      <c r="U113" s="689">
        <f t="shared" ca="1" si="28"/>
        <v>3.6299999999999999E-2</v>
      </c>
      <c r="V113" s="689">
        <f t="shared" ca="1" si="29"/>
        <v>3.4535999999999998</v>
      </c>
      <c r="W113" s="689">
        <f t="shared" ca="1" si="30"/>
        <v>7.2888999999999999</v>
      </c>
      <c r="X113" s="689">
        <f t="shared" ca="1" si="31"/>
        <v>65.237700000000004</v>
      </c>
    </row>
    <row r="114" spans="1:24">
      <c r="A114" s="142" t="str">
        <f>面积清单!H91</f>
        <v>2单元512</v>
      </c>
      <c r="B114" s="52">
        <f>面积清单!J91</f>
        <v>83.52</v>
      </c>
      <c r="C114" s="21">
        <f t="shared" si="32"/>
        <v>1</v>
      </c>
      <c r="D114" s="635" t="s">
        <v>3965</v>
      </c>
      <c r="E114" s="21">
        <f t="shared" si="33"/>
        <v>1.01</v>
      </c>
      <c r="F114" s="635"/>
      <c r="G114" s="21">
        <f t="shared" si="34"/>
        <v>1</v>
      </c>
      <c r="H114" s="635"/>
      <c r="I114" s="21">
        <f t="shared" si="35"/>
        <v>1</v>
      </c>
      <c r="J114" s="635"/>
      <c r="K114" s="21">
        <f t="shared" si="36"/>
        <v>1</v>
      </c>
      <c r="L114" s="635"/>
      <c r="M114" s="21">
        <f t="shared" si="37"/>
        <v>1</v>
      </c>
      <c r="N114" s="635"/>
      <c r="O114" s="21">
        <f t="shared" si="38"/>
        <v>1</v>
      </c>
      <c r="P114" s="635"/>
      <c r="Q114" s="21">
        <f t="shared" si="39"/>
        <v>1</v>
      </c>
      <c r="R114" s="21">
        <f t="shared" ca="1" si="40"/>
        <v>9548</v>
      </c>
      <c r="S114" s="634">
        <f t="shared" ca="1" si="26"/>
        <v>79.744900000000001</v>
      </c>
      <c r="T114" s="689">
        <f t="shared" ca="1" si="27"/>
        <v>4.1771000000000003</v>
      </c>
      <c r="U114" s="689">
        <f t="shared" ca="1" si="28"/>
        <v>3.9899999999999998E-2</v>
      </c>
      <c r="V114" s="689">
        <f t="shared" ca="1" si="29"/>
        <v>3.7974000000000001</v>
      </c>
      <c r="W114" s="689">
        <f t="shared" ca="1" si="30"/>
        <v>8.0144000000000002</v>
      </c>
      <c r="X114" s="689">
        <f t="shared" ca="1" si="31"/>
        <v>71.730500000000006</v>
      </c>
    </row>
    <row r="115" spans="1:24">
      <c r="A115" s="142" t="str">
        <f>面积清单!H92</f>
        <v>2单元513</v>
      </c>
      <c r="B115" s="52">
        <f>面积清单!J92</f>
        <v>89.88</v>
      </c>
      <c r="C115" s="21">
        <f t="shared" si="32"/>
        <v>1</v>
      </c>
      <c r="D115" s="635" t="s">
        <v>3965</v>
      </c>
      <c r="E115" s="21">
        <f t="shared" si="33"/>
        <v>1.01</v>
      </c>
      <c r="F115" s="635"/>
      <c r="G115" s="21">
        <f t="shared" si="34"/>
        <v>1</v>
      </c>
      <c r="H115" s="635"/>
      <c r="I115" s="21">
        <f t="shared" si="35"/>
        <v>1</v>
      </c>
      <c r="J115" s="635"/>
      <c r="K115" s="21">
        <f t="shared" si="36"/>
        <v>1</v>
      </c>
      <c r="L115" s="635"/>
      <c r="M115" s="21">
        <f t="shared" si="37"/>
        <v>1</v>
      </c>
      <c r="N115" s="635"/>
      <c r="O115" s="21">
        <f t="shared" si="38"/>
        <v>1</v>
      </c>
      <c r="P115" s="635"/>
      <c r="Q115" s="21">
        <f t="shared" si="39"/>
        <v>1</v>
      </c>
      <c r="R115" s="21">
        <f t="shared" ca="1" si="40"/>
        <v>9548</v>
      </c>
      <c r="S115" s="634">
        <f t="shared" ca="1" si="26"/>
        <v>85.817400000000006</v>
      </c>
      <c r="T115" s="689">
        <f t="shared" ca="1" si="27"/>
        <v>4.4951999999999996</v>
      </c>
      <c r="U115" s="689">
        <f t="shared" ca="1" si="28"/>
        <v>4.2900000000000001E-2</v>
      </c>
      <c r="V115" s="689">
        <f t="shared" ca="1" si="29"/>
        <v>4.0865</v>
      </c>
      <c r="W115" s="689">
        <f t="shared" ca="1" si="30"/>
        <v>8.6246000000000009</v>
      </c>
      <c r="X115" s="689">
        <f t="shared" ca="1" si="31"/>
        <v>77.192800000000005</v>
      </c>
    </row>
    <row r="116" spans="1:24">
      <c r="A116" s="142" t="str">
        <f>面积清单!H93</f>
        <v>2单元514</v>
      </c>
      <c r="B116" s="52">
        <f>面积清单!J93</f>
        <v>174.94</v>
      </c>
      <c r="C116" s="21">
        <f t="shared" si="32"/>
        <v>0.99</v>
      </c>
      <c r="D116" s="635" t="s">
        <v>3965</v>
      </c>
      <c r="E116" s="21">
        <f t="shared" si="33"/>
        <v>1.01</v>
      </c>
      <c r="F116" s="635"/>
      <c r="G116" s="21">
        <f t="shared" si="34"/>
        <v>1</v>
      </c>
      <c r="H116" s="635"/>
      <c r="I116" s="21">
        <f t="shared" si="35"/>
        <v>1</v>
      </c>
      <c r="J116" s="635"/>
      <c r="K116" s="21">
        <f t="shared" si="36"/>
        <v>1</v>
      </c>
      <c r="L116" s="635"/>
      <c r="M116" s="21">
        <f t="shared" si="37"/>
        <v>1</v>
      </c>
      <c r="N116" s="635"/>
      <c r="O116" s="21">
        <f t="shared" si="38"/>
        <v>1</v>
      </c>
      <c r="P116" s="635"/>
      <c r="Q116" s="21">
        <f t="shared" si="39"/>
        <v>1</v>
      </c>
      <c r="R116" s="21">
        <f t="shared" ca="1" si="40"/>
        <v>9452</v>
      </c>
      <c r="S116" s="634">
        <f t="shared" ca="1" si="26"/>
        <v>165.35329999999999</v>
      </c>
      <c r="T116" s="689">
        <f t="shared" ca="1" si="27"/>
        <v>8.6614000000000004</v>
      </c>
      <c r="U116" s="689">
        <f t="shared" ca="1" si="28"/>
        <v>8.2699999999999996E-2</v>
      </c>
      <c r="V116" s="689">
        <f t="shared" ca="1" si="29"/>
        <v>7.8739999999999997</v>
      </c>
      <c r="W116" s="689">
        <f t="shared" ca="1" si="30"/>
        <v>16.618099999999998</v>
      </c>
      <c r="X116" s="689">
        <f t="shared" ca="1" si="31"/>
        <v>148.73519999999999</v>
      </c>
    </row>
    <row r="117" spans="1:24">
      <c r="A117" s="142" t="str">
        <f>面积清单!H94</f>
        <v>2单元515</v>
      </c>
      <c r="B117" s="52">
        <f>面积清单!J94</f>
        <v>71.61</v>
      </c>
      <c r="C117" s="21">
        <f t="shared" si="32"/>
        <v>1</v>
      </c>
      <c r="D117" s="635" t="s">
        <v>3965</v>
      </c>
      <c r="E117" s="21">
        <f t="shared" si="33"/>
        <v>1.01</v>
      </c>
      <c r="F117" s="635"/>
      <c r="G117" s="21">
        <f t="shared" si="34"/>
        <v>1</v>
      </c>
      <c r="H117" s="635"/>
      <c r="I117" s="21">
        <f t="shared" si="35"/>
        <v>1</v>
      </c>
      <c r="J117" s="635"/>
      <c r="K117" s="21">
        <f t="shared" si="36"/>
        <v>1</v>
      </c>
      <c r="L117" s="635"/>
      <c r="M117" s="21">
        <f t="shared" si="37"/>
        <v>1</v>
      </c>
      <c r="N117" s="635"/>
      <c r="O117" s="21">
        <f t="shared" si="38"/>
        <v>1</v>
      </c>
      <c r="P117" s="635"/>
      <c r="Q117" s="21">
        <f t="shared" si="39"/>
        <v>1</v>
      </c>
      <c r="R117" s="21">
        <f t="shared" ca="1" si="40"/>
        <v>9548</v>
      </c>
      <c r="S117" s="634">
        <f t="shared" ca="1" si="26"/>
        <v>68.373199999999997</v>
      </c>
      <c r="T117" s="689">
        <f t="shared" ca="1" si="27"/>
        <v>3.5815000000000001</v>
      </c>
      <c r="U117" s="689">
        <f t="shared" ca="1" si="28"/>
        <v>3.4200000000000001E-2</v>
      </c>
      <c r="V117" s="689">
        <f t="shared" ca="1" si="29"/>
        <v>3.2559</v>
      </c>
      <c r="W117" s="689">
        <f t="shared" ca="1" si="30"/>
        <v>6.8715999999999999</v>
      </c>
      <c r="X117" s="689">
        <f t="shared" ca="1" si="31"/>
        <v>61.501599999999996</v>
      </c>
    </row>
    <row r="118" spans="1:24">
      <c r="A118" s="142" t="str">
        <f>面积清单!H95</f>
        <v>2单元516</v>
      </c>
      <c r="B118" s="52">
        <f>面积清单!J95</f>
        <v>63.07</v>
      </c>
      <c r="C118" s="21">
        <f t="shared" si="32"/>
        <v>1</v>
      </c>
      <c r="D118" s="635" t="s">
        <v>3965</v>
      </c>
      <c r="E118" s="21">
        <f t="shared" si="33"/>
        <v>1.01</v>
      </c>
      <c r="F118" s="635"/>
      <c r="G118" s="21">
        <f t="shared" si="34"/>
        <v>1</v>
      </c>
      <c r="H118" s="635"/>
      <c r="I118" s="21">
        <f t="shared" si="35"/>
        <v>1</v>
      </c>
      <c r="J118" s="635"/>
      <c r="K118" s="21">
        <f t="shared" si="36"/>
        <v>1</v>
      </c>
      <c r="L118" s="635"/>
      <c r="M118" s="21">
        <f t="shared" si="37"/>
        <v>1</v>
      </c>
      <c r="N118" s="635"/>
      <c r="O118" s="21">
        <f t="shared" si="38"/>
        <v>1</v>
      </c>
      <c r="P118" s="635"/>
      <c r="Q118" s="21">
        <f t="shared" si="39"/>
        <v>1</v>
      </c>
      <c r="R118" s="21">
        <f t="shared" ca="1" si="40"/>
        <v>9548</v>
      </c>
      <c r="S118" s="634">
        <f t="shared" ca="1" si="26"/>
        <v>60.219200000000001</v>
      </c>
      <c r="T118" s="689">
        <f t="shared" ca="1" si="27"/>
        <v>3.1543000000000001</v>
      </c>
      <c r="U118" s="689">
        <f t="shared" ca="1" si="28"/>
        <v>3.0099999999999998E-2</v>
      </c>
      <c r="V118" s="689">
        <f t="shared" ca="1" si="29"/>
        <v>2.8675999999999999</v>
      </c>
      <c r="W118" s="689">
        <f t="shared" ca="1" si="30"/>
        <v>6.0519999999999996</v>
      </c>
      <c r="X118" s="689">
        <f t="shared" ca="1" si="31"/>
        <v>54.167200000000001</v>
      </c>
    </row>
    <row r="119" spans="1:24">
      <c r="A119" s="142" t="str">
        <f>面积清单!H96</f>
        <v>2单元517</v>
      </c>
      <c r="B119" s="52">
        <f>面积清单!J96</f>
        <v>54.75</v>
      </c>
      <c r="C119" s="21">
        <f t="shared" si="32"/>
        <v>1</v>
      </c>
      <c r="D119" s="635" t="s">
        <v>3965</v>
      </c>
      <c r="E119" s="21">
        <f t="shared" si="33"/>
        <v>1.01</v>
      </c>
      <c r="F119" s="635"/>
      <c r="G119" s="21">
        <f t="shared" si="34"/>
        <v>1</v>
      </c>
      <c r="H119" s="635"/>
      <c r="I119" s="21">
        <f t="shared" si="35"/>
        <v>1</v>
      </c>
      <c r="J119" s="635"/>
      <c r="K119" s="21">
        <f t="shared" si="36"/>
        <v>1</v>
      </c>
      <c r="L119" s="635"/>
      <c r="M119" s="21">
        <f t="shared" si="37"/>
        <v>1</v>
      </c>
      <c r="N119" s="635"/>
      <c r="O119" s="21">
        <f t="shared" si="38"/>
        <v>1</v>
      </c>
      <c r="P119" s="635"/>
      <c r="Q119" s="21">
        <f t="shared" si="39"/>
        <v>1</v>
      </c>
      <c r="R119" s="21">
        <f t="shared" ca="1" si="40"/>
        <v>9548</v>
      </c>
      <c r="S119" s="634">
        <f t="shared" ca="1" si="26"/>
        <v>52.275300000000001</v>
      </c>
      <c r="T119" s="689">
        <f t="shared" ca="1" si="27"/>
        <v>2.7382</v>
      </c>
      <c r="U119" s="689">
        <f t="shared" ca="1" si="28"/>
        <v>2.6100000000000002E-2</v>
      </c>
      <c r="V119" s="689">
        <f t="shared" ca="1" si="29"/>
        <v>2.4893000000000001</v>
      </c>
      <c r="W119" s="689">
        <f t="shared" ca="1" si="30"/>
        <v>5.2536000000000005</v>
      </c>
      <c r="X119" s="689">
        <f t="shared" ca="1" si="31"/>
        <v>47.021700000000003</v>
      </c>
    </row>
    <row r="120" spans="1:24">
      <c r="A120" s="142" t="str">
        <f>面积清单!H97</f>
        <v>2单元518</v>
      </c>
      <c r="B120" s="52">
        <f>面积清单!J97</f>
        <v>54.75</v>
      </c>
      <c r="C120" s="21">
        <f t="shared" si="32"/>
        <v>1</v>
      </c>
      <c r="D120" s="635" t="s">
        <v>3965</v>
      </c>
      <c r="E120" s="21">
        <f t="shared" si="33"/>
        <v>1.01</v>
      </c>
      <c r="F120" s="635"/>
      <c r="G120" s="21">
        <f t="shared" si="34"/>
        <v>1</v>
      </c>
      <c r="H120" s="635"/>
      <c r="I120" s="21">
        <f t="shared" si="35"/>
        <v>1</v>
      </c>
      <c r="J120" s="635"/>
      <c r="K120" s="21">
        <f t="shared" si="36"/>
        <v>1</v>
      </c>
      <c r="L120" s="635"/>
      <c r="M120" s="21">
        <f t="shared" si="37"/>
        <v>1</v>
      </c>
      <c r="N120" s="635"/>
      <c r="O120" s="21">
        <f t="shared" si="38"/>
        <v>1</v>
      </c>
      <c r="P120" s="635"/>
      <c r="Q120" s="21">
        <f t="shared" si="39"/>
        <v>1</v>
      </c>
      <c r="R120" s="21">
        <f t="shared" ca="1" si="40"/>
        <v>9548</v>
      </c>
      <c r="S120" s="634">
        <f t="shared" ca="1" si="26"/>
        <v>52.275300000000001</v>
      </c>
      <c r="T120" s="689">
        <f t="shared" ca="1" si="27"/>
        <v>2.7382</v>
      </c>
      <c r="U120" s="689">
        <f t="shared" ca="1" si="28"/>
        <v>2.6100000000000002E-2</v>
      </c>
      <c r="V120" s="689">
        <f t="shared" ca="1" si="29"/>
        <v>2.4893000000000001</v>
      </c>
      <c r="W120" s="689">
        <f t="shared" ca="1" si="30"/>
        <v>5.2536000000000005</v>
      </c>
      <c r="X120" s="689">
        <f t="shared" ca="1" si="31"/>
        <v>47.021700000000003</v>
      </c>
    </row>
    <row r="121" spans="1:24">
      <c r="A121" s="142" t="str">
        <f>面积清单!H98</f>
        <v>2单元519</v>
      </c>
      <c r="B121" s="52">
        <f>面积清单!J98</f>
        <v>54.75</v>
      </c>
      <c r="C121" s="21">
        <f t="shared" si="32"/>
        <v>1</v>
      </c>
      <c r="D121" s="635" t="s">
        <v>3965</v>
      </c>
      <c r="E121" s="21">
        <f t="shared" si="33"/>
        <v>1.01</v>
      </c>
      <c r="F121" s="635"/>
      <c r="G121" s="21">
        <f t="shared" si="34"/>
        <v>1</v>
      </c>
      <c r="H121" s="635"/>
      <c r="I121" s="21">
        <f t="shared" si="35"/>
        <v>1</v>
      </c>
      <c r="J121" s="635"/>
      <c r="K121" s="21">
        <f t="shared" si="36"/>
        <v>1</v>
      </c>
      <c r="L121" s="635"/>
      <c r="M121" s="21">
        <f t="shared" si="37"/>
        <v>1</v>
      </c>
      <c r="N121" s="635"/>
      <c r="O121" s="21">
        <f t="shared" si="38"/>
        <v>1</v>
      </c>
      <c r="P121" s="635"/>
      <c r="Q121" s="21">
        <f t="shared" si="39"/>
        <v>1</v>
      </c>
      <c r="R121" s="21">
        <f t="shared" ca="1" si="40"/>
        <v>9548</v>
      </c>
      <c r="S121" s="634">
        <f t="shared" ca="1" si="26"/>
        <v>52.275300000000001</v>
      </c>
      <c r="T121" s="689">
        <f t="shared" ca="1" si="27"/>
        <v>2.7382</v>
      </c>
      <c r="U121" s="689">
        <f t="shared" ca="1" si="28"/>
        <v>2.6100000000000002E-2</v>
      </c>
      <c r="V121" s="689">
        <f t="shared" ca="1" si="29"/>
        <v>2.4893000000000001</v>
      </c>
      <c r="W121" s="689">
        <f t="shared" ca="1" si="30"/>
        <v>5.2536000000000005</v>
      </c>
      <c r="X121" s="689">
        <f t="shared" ca="1" si="31"/>
        <v>47.021700000000003</v>
      </c>
    </row>
    <row r="122" spans="1:24">
      <c r="A122" s="142" t="str">
        <f>面积清单!H99</f>
        <v>2单元520</v>
      </c>
      <c r="B122" s="52">
        <f>面积清单!J99</f>
        <v>54.75</v>
      </c>
      <c r="C122" s="21">
        <f t="shared" si="32"/>
        <v>1</v>
      </c>
      <c r="D122" s="635" t="s">
        <v>3965</v>
      </c>
      <c r="E122" s="21">
        <f t="shared" si="33"/>
        <v>1.01</v>
      </c>
      <c r="F122" s="635"/>
      <c r="G122" s="21">
        <f t="shared" si="34"/>
        <v>1</v>
      </c>
      <c r="H122" s="635"/>
      <c r="I122" s="21">
        <f t="shared" si="35"/>
        <v>1</v>
      </c>
      <c r="J122" s="635"/>
      <c r="K122" s="21">
        <f t="shared" si="36"/>
        <v>1</v>
      </c>
      <c r="L122" s="635"/>
      <c r="M122" s="21">
        <f t="shared" si="37"/>
        <v>1</v>
      </c>
      <c r="N122" s="635"/>
      <c r="O122" s="21">
        <f t="shared" si="38"/>
        <v>1</v>
      </c>
      <c r="P122" s="635"/>
      <c r="Q122" s="21">
        <f t="shared" si="39"/>
        <v>1</v>
      </c>
      <c r="R122" s="21">
        <f t="shared" ca="1" si="40"/>
        <v>9548</v>
      </c>
      <c r="S122" s="634">
        <f t="shared" ca="1" si="26"/>
        <v>52.275300000000001</v>
      </c>
      <c r="T122" s="689">
        <f t="shared" ca="1" si="27"/>
        <v>2.7382</v>
      </c>
      <c r="U122" s="689">
        <f t="shared" ca="1" si="28"/>
        <v>2.6100000000000002E-2</v>
      </c>
      <c r="V122" s="689">
        <f t="shared" ca="1" si="29"/>
        <v>2.4893000000000001</v>
      </c>
      <c r="W122" s="689">
        <f t="shared" ca="1" si="30"/>
        <v>5.2536000000000005</v>
      </c>
      <c r="X122" s="689">
        <f t="shared" ca="1" si="31"/>
        <v>47.021700000000003</v>
      </c>
    </row>
    <row r="123" spans="1:24">
      <c r="A123" s="142" t="str">
        <f>面积清单!H100</f>
        <v>2单元521</v>
      </c>
      <c r="B123" s="52">
        <f>面积清单!J100</f>
        <v>54.75</v>
      </c>
      <c r="C123" s="21">
        <f t="shared" si="32"/>
        <v>1</v>
      </c>
      <c r="D123" s="635" t="s">
        <v>3965</v>
      </c>
      <c r="E123" s="21">
        <f t="shared" si="33"/>
        <v>1.01</v>
      </c>
      <c r="F123" s="635"/>
      <c r="G123" s="21">
        <f t="shared" si="34"/>
        <v>1</v>
      </c>
      <c r="H123" s="635"/>
      <c r="I123" s="21">
        <f t="shared" si="35"/>
        <v>1</v>
      </c>
      <c r="J123" s="635"/>
      <c r="K123" s="21">
        <f t="shared" si="36"/>
        <v>1</v>
      </c>
      <c r="L123" s="635"/>
      <c r="M123" s="21">
        <f t="shared" si="37"/>
        <v>1</v>
      </c>
      <c r="N123" s="635"/>
      <c r="O123" s="21">
        <f t="shared" si="38"/>
        <v>1</v>
      </c>
      <c r="P123" s="635"/>
      <c r="Q123" s="21">
        <f t="shared" si="39"/>
        <v>1</v>
      </c>
      <c r="R123" s="21">
        <f t="shared" ca="1" si="40"/>
        <v>9548</v>
      </c>
      <c r="S123" s="634">
        <f t="shared" ca="1" si="26"/>
        <v>52.275300000000001</v>
      </c>
      <c r="T123" s="689">
        <f t="shared" ca="1" si="27"/>
        <v>2.7382</v>
      </c>
      <c r="U123" s="689">
        <f t="shared" ca="1" si="28"/>
        <v>2.6100000000000002E-2</v>
      </c>
      <c r="V123" s="689">
        <f t="shared" ca="1" si="29"/>
        <v>2.4893000000000001</v>
      </c>
      <c r="W123" s="689">
        <f t="shared" ca="1" si="30"/>
        <v>5.2536000000000005</v>
      </c>
      <c r="X123" s="689">
        <f t="shared" ca="1" si="31"/>
        <v>47.021700000000003</v>
      </c>
    </row>
    <row r="124" spans="1:24">
      <c r="A124" s="142" t="str">
        <f>面积清单!H101</f>
        <v>2单元522</v>
      </c>
      <c r="B124" s="52">
        <f>面积清单!J101</f>
        <v>54.75</v>
      </c>
      <c r="C124" s="21">
        <f t="shared" si="32"/>
        <v>1</v>
      </c>
      <c r="D124" s="635" t="s">
        <v>3965</v>
      </c>
      <c r="E124" s="21">
        <f t="shared" si="33"/>
        <v>1.01</v>
      </c>
      <c r="F124" s="635"/>
      <c r="G124" s="21">
        <f t="shared" si="34"/>
        <v>1</v>
      </c>
      <c r="H124" s="635"/>
      <c r="I124" s="21">
        <f t="shared" si="35"/>
        <v>1</v>
      </c>
      <c r="J124" s="635"/>
      <c r="K124" s="21">
        <f t="shared" si="36"/>
        <v>1</v>
      </c>
      <c r="L124" s="635"/>
      <c r="M124" s="21">
        <f t="shared" si="37"/>
        <v>1</v>
      </c>
      <c r="N124" s="635"/>
      <c r="O124" s="21">
        <f t="shared" si="38"/>
        <v>1</v>
      </c>
      <c r="P124" s="635"/>
      <c r="Q124" s="21">
        <f t="shared" si="39"/>
        <v>1</v>
      </c>
      <c r="R124" s="21">
        <f t="shared" ca="1" si="40"/>
        <v>9548</v>
      </c>
      <c r="S124" s="634">
        <f t="shared" ca="1" si="26"/>
        <v>52.275300000000001</v>
      </c>
      <c r="T124" s="689">
        <f t="shared" ca="1" si="27"/>
        <v>2.7382</v>
      </c>
      <c r="U124" s="689">
        <f t="shared" ca="1" si="28"/>
        <v>2.6100000000000002E-2</v>
      </c>
      <c r="V124" s="689">
        <f t="shared" ca="1" si="29"/>
        <v>2.4893000000000001</v>
      </c>
      <c r="W124" s="689">
        <f t="shared" ca="1" si="30"/>
        <v>5.2536000000000005</v>
      </c>
      <c r="X124" s="689">
        <f t="shared" ca="1" si="31"/>
        <v>47.021700000000003</v>
      </c>
    </row>
    <row r="125" spans="1:24">
      <c r="A125" s="142" t="str">
        <f>面积清单!H102</f>
        <v>2单元523</v>
      </c>
      <c r="B125" s="52">
        <f>面积清单!J102</f>
        <v>54.75</v>
      </c>
      <c r="C125" s="21">
        <f t="shared" si="32"/>
        <v>1</v>
      </c>
      <c r="D125" s="635" t="s">
        <v>3965</v>
      </c>
      <c r="E125" s="21">
        <f t="shared" si="33"/>
        <v>1.01</v>
      </c>
      <c r="F125" s="635"/>
      <c r="G125" s="21">
        <f t="shared" si="34"/>
        <v>1</v>
      </c>
      <c r="H125" s="635"/>
      <c r="I125" s="21">
        <f t="shared" si="35"/>
        <v>1</v>
      </c>
      <c r="J125" s="635"/>
      <c r="K125" s="21">
        <f t="shared" si="36"/>
        <v>1</v>
      </c>
      <c r="L125" s="635"/>
      <c r="M125" s="21">
        <f t="shared" si="37"/>
        <v>1</v>
      </c>
      <c r="N125" s="635"/>
      <c r="O125" s="21">
        <f t="shared" si="38"/>
        <v>1</v>
      </c>
      <c r="P125" s="635"/>
      <c r="Q125" s="21">
        <f t="shared" si="39"/>
        <v>1</v>
      </c>
      <c r="R125" s="21">
        <f t="shared" ca="1" si="40"/>
        <v>9548</v>
      </c>
      <c r="S125" s="634">
        <f t="shared" ca="1" si="26"/>
        <v>52.275300000000001</v>
      </c>
      <c r="T125" s="689">
        <f t="shared" ca="1" si="27"/>
        <v>2.7382</v>
      </c>
      <c r="U125" s="689">
        <f t="shared" ca="1" si="28"/>
        <v>2.6100000000000002E-2</v>
      </c>
      <c r="V125" s="689">
        <f t="shared" ca="1" si="29"/>
        <v>2.4893000000000001</v>
      </c>
      <c r="W125" s="689">
        <f t="shared" ca="1" si="30"/>
        <v>5.2536000000000005</v>
      </c>
      <c r="X125" s="689">
        <f t="shared" ca="1" si="31"/>
        <v>47.021700000000003</v>
      </c>
    </row>
    <row r="126" spans="1:24">
      <c r="A126" s="142" t="str">
        <f>面积清单!H103</f>
        <v>2单元524</v>
      </c>
      <c r="B126" s="52">
        <f>面积清单!J103</f>
        <v>54.75</v>
      </c>
      <c r="C126" s="21">
        <f t="shared" si="32"/>
        <v>1</v>
      </c>
      <c r="D126" s="635" t="s">
        <v>3965</v>
      </c>
      <c r="E126" s="21">
        <f t="shared" si="33"/>
        <v>1.01</v>
      </c>
      <c r="F126" s="635"/>
      <c r="G126" s="21">
        <f t="shared" si="34"/>
        <v>1</v>
      </c>
      <c r="H126" s="635"/>
      <c r="I126" s="21">
        <f t="shared" si="35"/>
        <v>1</v>
      </c>
      <c r="J126" s="635"/>
      <c r="K126" s="21">
        <f t="shared" si="36"/>
        <v>1</v>
      </c>
      <c r="L126" s="635"/>
      <c r="M126" s="21">
        <f t="shared" si="37"/>
        <v>1</v>
      </c>
      <c r="N126" s="635"/>
      <c r="O126" s="21">
        <f t="shared" si="38"/>
        <v>1</v>
      </c>
      <c r="P126" s="635"/>
      <c r="Q126" s="21">
        <f t="shared" si="39"/>
        <v>1</v>
      </c>
      <c r="R126" s="21">
        <f t="shared" ca="1" si="40"/>
        <v>9548</v>
      </c>
      <c r="S126" s="634">
        <f t="shared" ca="1" si="26"/>
        <v>52.275300000000001</v>
      </c>
      <c r="T126" s="689">
        <f t="shared" ca="1" si="27"/>
        <v>2.7382</v>
      </c>
      <c r="U126" s="689">
        <f t="shared" ca="1" si="28"/>
        <v>2.6100000000000002E-2</v>
      </c>
      <c r="V126" s="689">
        <f t="shared" ca="1" si="29"/>
        <v>2.4893000000000001</v>
      </c>
      <c r="W126" s="689">
        <f t="shared" ca="1" si="30"/>
        <v>5.2536000000000005</v>
      </c>
      <c r="X126" s="689">
        <f t="shared" ca="1" si="31"/>
        <v>47.021700000000003</v>
      </c>
    </row>
    <row r="127" spans="1:24">
      <c r="A127" s="142" t="str">
        <f>面积清单!H104</f>
        <v>2单元525</v>
      </c>
      <c r="B127" s="52">
        <f>面积清单!J104</f>
        <v>62.39</v>
      </c>
      <c r="C127" s="21">
        <f t="shared" si="32"/>
        <v>1</v>
      </c>
      <c r="D127" s="635" t="s">
        <v>3965</v>
      </c>
      <c r="E127" s="21">
        <f t="shared" si="33"/>
        <v>1.01</v>
      </c>
      <c r="F127" s="635"/>
      <c r="G127" s="21">
        <f t="shared" si="34"/>
        <v>1</v>
      </c>
      <c r="H127" s="635"/>
      <c r="I127" s="21">
        <f t="shared" si="35"/>
        <v>1</v>
      </c>
      <c r="J127" s="635"/>
      <c r="K127" s="21">
        <f t="shared" si="36"/>
        <v>1</v>
      </c>
      <c r="L127" s="635"/>
      <c r="M127" s="21">
        <f t="shared" si="37"/>
        <v>1</v>
      </c>
      <c r="N127" s="635"/>
      <c r="O127" s="21">
        <f t="shared" si="38"/>
        <v>1</v>
      </c>
      <c r="P127" s="635"/>
      <c r="Q127" s="21">
        <f t="shared" si="39"/>
        <v>1</v>
      </c>
      <c r="R127" s="21">
        <f t="shared" ca="1" si="40"/>
        <v>9548</v>
      </c>
      <c r="S127" s="634">
        <f t="shared" ca="1" si="26"/>
        <v>59.57</v>
      </c>
      <c r="T127" s="689">
        <f t="shared" ca="1" si="27"/>
        <v>3.1202999999999999</v>
      </c>
      <c r="U127" s="689">
        <f t="shared" ca="1" si="28"/>
        <v>2.98E-2</v>
      </c>
      <c r="V127" s="689">
        <f t="shared" ca="1" si="29"/>
        <v>2.8367</v>
      </c>
      <c r="W127" s="689">
        <f t="shared" ca="1" si="30"/>
        <v>5.9867999999999997</v>
      </c>
      <c r="X127" s="689">
        <f t="shared" ca="1" si="31"/>
        <v>53.583199999999998</v>
      </c>
    </row>
    <row r="128" spans="1:24">
      <c r="A128" s="142" t="str">
        <f>面积清单!H105</f>
        <v>2单元526</v>
      </c>
      <c r="B128" s="52">
        <f>面积清单!J105</f>
        <v>74.14</v>
      </c>
      <c r="C128" s="21">
        <f t="shared" si="32"/>
        <v>1</v>
      </c>
      <c r="D128" s="635" t="s">
        <v>3965</v>
      </c>
      <c r="E128" s="21">
        <f t="shared" si="33"/>
        <v>1.01</v>
      </c>
      <c r="F128" s="635"/>
      <c r="G128" s="21">
        <f t="shared" si="34"/>
        <v>1</v>
      </c>
      <c r="H128" s="635"/>
      <c r="I128" s="21">
        <f t="shared" si="35"/>
        <v>1</v>
      </c>
      <c r="J128" s="635"/>
      <c r="K128" s="21">
        <f t="shared" si="36"/>
        <v>1</v>
      </c>
      <c r="L128" s="635"/>
      <c r="M128" s="21">
        <f t="shared" si="37"/>
        <v>1</v>
      </c>
      <c r="N128" s="635"/>
      <c r="O128" s="21">
        <f t="shared" si="38"/>
        <v>1</v>
      </c>
      <c r="P128" s="635"/>
      <c r="Q128" s="21">
        <f t="shared" si="39"/>
        <v>1</v>
      </c>
      <c r="R128" s="21">
        <f t="shared" ca="1" si="40"/>
        <v>9548</v>
      </c>
      <c r="S128" s="634">
        <f t="shared" ca="1" si="26"/>
        <v>70.788899999999998</v>
      </c>
      <c r="T128" s="689">
        <f t="shared" ca="1" si="27"/>
        <v>3.7080000000000002</v>
      </c>
      <c r="U128" s="689">
        <f t="shared" ca="1" si="28"/>
        <v>3.5400000000000001E-2</v>
      </c>
      <c r="V128" s="689">
        <f t="shared" ca="1" si="29"/>
        <v>3.3708999999999998</v>
      </c>
      <c r="W128" s="689">
        <f t="shared" ca="1" si="30"/>
        <v>7.1143000000000001</v>
      </c>
      <c r="X128" s="689">
        <f t="shared" ca="1" si="31"/>
        <v>63.674599999999998</v>
      </c>
    </row>
    <row r="129" spans="1:24">
      <c r="A129" s="142" t="str">
        <f>面积清单!H106</f>
        <v>2单元601</v>
      </c>
      <c r="B129" s="52">
        <f>面积清单!J106</f>
        <v>182.4</v>
      </c>
      <c r="C129" s="21">
        <f t="shared" si="32"/>
        <v>0.99</v>
      </c>
      <c r="D129" s="635" t="s">
        <v>3968</v>
      </c>
      <c r="E129" s="21">
        <f t="shared" si="33"/>
        <v>1.02</v>
      </c>
      <c r="F129" s="635"/>
      <c r="G129" s="21">
        <f t="shared" si="34"/>
        <v>1</v>
      </c>
      <c r="H129" s="635"/>
      <c r="I129" s="21">
        <f t="shared" si="35"/>
        <v>1</v>
      </c>
      <c r="J129" s="635"/>
      <c r="K129" s="21">
        <f t="shared" si="36"/>
        <v>1</v>
      </c>
      <c r="L129" s="635"/>
      <c r="M129" s="21">
        <f t="shared" si="37"/>
        <v>1</v>
      </c>
      <c r="N129" s="635"/>
      <c r="O129" s="21">
        <f t="shared" si="38"/>
        <v>1</v>
      </c>
      <c r="P129" s="635"/>
      <c r="Q129" s="21">
        <f t="shared" si="39"/>
        <v>1</v>
      </c>
      <c r="R129" s="21">
        <f t="shared" ca="1" si="40"/>
        <v>9546</v>
      </c>
      <c r="S129" s="634">
        <f t="shared" ca="1" si="26"/>
        <v>174.119</v>
      </c>
      <c r="T129" s="689">
        <f t="shared" ca="1" si="27"/>
        <v>9.1204999999999998</v>
      </c>
      <c r="U129" s="689">
        <f t="shared" ca="1" si="28"/>
        <v>8.7099999999999997E-2</v>
      </c>
      <c r="V129" s="689">
        <f t="shared" ca="1" si="29"/>
        <v>8.2913999999999994</v>
      </c>
      <c r="W129" s="689">
        <f t="shared" ca="1" si="30"/>
        <v>17.498999999999999</v>
      </c>
      <c r="X129" s="689">
        <f t="shared" ca="1" si="31"/>
        <v>156.62</v>
      </c>
    </row>
    <row r="130" spans="1:24">
      <c r="A130" s="142" t="str">
        <f>面积清单!H107</f>
        <v>2单元602</v>
      </c>
      <c r="B130" s="52">
        <f>面积清单!J107</f>
        <v>75.75</v>
      </c>
      <c r="C130" s="21">
        <f t="shared" si="32"/>
        <v>1</v>
      </c>
      <c r="D130" s="635" t="s">
        <v>3968</v>
      </c>
      <c r="E130" s="21">
        <f t="shared" si="33"/>
        <v>1.02</v>
      </c>
      <c r="F130" s="635"/>
      <c r="G130" s="21">
        <f t="shared" si="34"/>
        <v>1</v>
      </c>
      <c r="H130" s="635"/>
      <c r="I130" s="21">
        <f t="shared" si="35"/>
        <v>1</v>
      </c>
      <c r="J130" s="635"/>
      <c r="K130" s="21">
        <f t="shared" si="36"/>
        <v>1</v>
      </c>
      <c r="L130" s="635"/>
      <c r="M130" s="21">
        <f t="shared" si="37"/>
        <v>1</v>
      </c>
      <c r="N130" s="635"/>
      <c r="O130" s="21">
        <f t="shared" si="38"/>
        <v>1</v>
      </c>
      <c r="P130" s="635"/>
      <c r="Q130" s="21">
        <f t="shared" si="39"/>
        <v>1</v>
      </c>
      <c r="R130" s="21">
        <f t="shared" ca="1" si="40"/>
        <v>9642</v>
      </c>
      <c r="S130" s="634">
        <f t="shared" ca="1" si="26"/>
        <v>73.038200000000003</v>
      </c>
      <c r="T130" s="689">
        <f t="shared" ca="1" si="27"/>
        <v>3.8258000000000001</v>
      </c>
      <c r="U130" s="689">
        <f t="shared" ca="1" si="28"/>
        <v>3.6499999999999998E-2</v>
      </c>
      <c r="V130" s="689">
        <f t="shared" ca="1" si="29"/>
        <v>3.4780000000000002</v>
      </c>
      <c r="W130" s="689">
        <f t="shared" ca="1" si="30"/>
        <v>7.3403000000000009</v>
      </c>
      <c r="X130" s="689">
        <f t="shared" ca="1" si="31"/>
        <v>65.697900000000004</v>
      </c>
    </row>
    <row r="131" spans="1:24">
      <c r="A131" s="142" t="str">
        <f>面积清单!H108</f>
        <v>2单元603</v>
      </c>
      <c r="B131" s="52">
        <f>面积清单!J108</f>
        <v>81.709999999999994</v>
      </c>
      <c r="C131" s="21">
        <f t="shared" si="32"/>
        <v>1</v>
      </c>
      <c r="D131" s="635" t="s">
        <v>3968</v>
      </c>
      <c r="E131" s="21">
        <f t="shared" si="33"/>
        <v>1.02</v>
      </c>
      <c r="F131" s="635"/>
      <c r="G131" s="21">
        <f t="shared" si="34"/>
        <v>1</v>
      </c>
      <c r="H131" s="635"/>
      <c r="I131" s="21">
        <f t="shared" si="35"/>
        <v>1</v>
      </c>
      <c r="J131" s="635"/>
      <c r="K131" s="21">
        <f t="shared" si="36"/>
        <v>1</v>
      </c>
      <c r="L131" s="635"/>
      <c r="M131" s="21">
        <f t="shared" si="37"/>
        <v>1</v>
      </c>
      <c r="N131" s="635"/>
      <c r="O131" s="21">
        <f t="shared" si="38"/>
        <v>1</v>
      </c>
      <c r="P131" s="635"/>
      <c r="Q131" s="21">
        <f t="shared" si="39"/>
        <v>1</v>
      </c>
      <c r="R131" s="21">
        <f t="shared" ca="1" si="40"/>
        <v>9642</v>
      </c>
      <c r="S131" s="634">
        <f t="shared" ca="1" si="26"/>
        <v>78.784800000000004</v>
      </c>
      <c r="T131" s="689">
        <f t="shared" ca="1" si="27"/>
        <v>4.1268000000000002</v>
      </c>
      <c r="U131" s="689">
        <f t="shared" ca="1" si="28"/>
        <v>3.9399999999999998E-2</v>
      </c>
      <c r="V131" s="689">
        <f t="shared" ca="1" si="29"/>
        <v>3.7517</v>
      </c>
      <c r="W131" s="689">
        <f t="shared" ca="1" si="30"/>
        <v>7.9178999999999995</v>
      </c>
      <c r="X131" s="689">
        <f t="shared" ca="1" si="31"/>
        <v>70.866900000000001</v>
      </c>
    </row>
    <row r="132" spans="1:24">
      <c r="A132" s="142" t="str">
        <f>面积清单!H109</f>
        <v>2单元604</v>
      </c>
      <c r="B132" s="52">
        <f>面积清单!J109</f>
        <v>76.430000000000007</v>
      </c>
      <c r="C132" s="21">
        <f t="shared" si="32"/>
        <v>1</v>
      </c>
      <c r="D132" s="635" t="s">
        <v>3968</v>
      </c>
      <c r="E132" s="21">
        <f t="shared" si="33"/>
        <v>1.02</v>
      </c>
      <c r="F132" s="635"/>
      <c r="G132" s="21">
        <f t="shared" si="34"/>
        <v>1</v>
      </c>
      <c r="H132" s="635"/>
      <c r="I132" s="21">
        <f t="shared" si="35"/>
        <v>1</v>
      </c>
      <c r="J132" s="635"/>
      <c r="K132" s="21">
        <f t="shared" si="36"/>
        <v>1</v>
      </c>
      <c r="L132" s="635"/>
      <c r="M132" s="21">
        <f t="shared" si="37"/>
        <v>1</v>
      </c>
      <c r="N132" s="635"/>
      <c r="O132" s="21">
        <f t="shared" si="38"/>
        <v>1</v>
      </c>
      <c r="P132" s="635"/>
      <c r="Q132" s="21">
        <f t="shared" si="39"/>
        <v>1</v>
      </c>
      <c r="R132" s="21">
        <f t="shared" ca="1" si="40"/>
        <v>9642</v>
      </c>
      <c r="S132" s="634">
        <f t="shared" ca="1" si="26"/>
        <v>73.693799999999996</v>
      </c>
      <c r="T132" s="689">
        <f t="shared" ca="1" si="27"/>
        <v>3.8601999999999999</v>
      </c>
      <c r="U132" s="689">
        <f t="shared" ca="1" si="28"/>
        <v>3.6799999999999999E-2</v>
      </c>
      <c r="V132" s="689">
        <f t="shared" ca="1" si="29"/>
        <v>3.5091999999999999</v>
      </c>
      <c r="W132" s="689">
        <f t="shared" ca="1" si="30"/>
        <v>7.4062000000000001</v>
      </c>
      <c r="X132" s="689">
        <f t="shared" ca="1" si="31"/>
        <v>66.287599999999998</v>
      </c>
    </row>
    <row r="133" spans="1:24">
      <c r="A133" s="142" t="str">
        <f>面积清单!H110</f>
        <v>2单元605</v>
      </c>
      <c r="B133" s="52">
        <f>面积清单!J110</f>
        <v>73</v>
      </c>
      <c r="C133" s="21">
        <f t="shared" si="32"/>
        <v>1</v>
      </c>
      <c r="D133" s="635" t="s">
        <v>3968</v>
      </c>
      <c r="E133" s="21">
        <f t="shared" si="33"/>
        <v>1.02</v>
      </c>
      <c r="F133" s="635"/>
      <c r="G133" s="21">
        <f t="shared" si="34"/>
        <v>1</v>
      </c>
      <c r="H133" s="635"/>
      <c r="I133" s="21">
        <f t="shared" si="35"/>
        <v>1</v>
      </c>
      <c r="J133" s="635"/>
      <c r="K133" s="21">
        <f t="shared" si="36"/>
        <v>1</v>
      </c>
      <c r="L133" s="635"/>
      <c r="M133" s="21">
        <f t="shared" si="37"/>
        <v>1</v>
      </c>
      <c r="N133" s="635"/>
      <c r="O133" s="21">
        <f t="shared" si="38"/>
        <v>1</v>
      </c>
      <c r="P133" s="635"/>
      <c r="Q133" s="21">
        <f t="shared" si="39"/>
        <v>1</v>
      </c>
      <c r="R133" s="21">
        <f t="shared" ca="1" si="40"/>
        <v>9642</v>
      </c>
      <c r="S133" s="634">
        <f t="shared" ca="1" si="26"/>
        <v>70.386600000000001</v>
      </c>
      <c r="T133" s="689">
        <f t="shared" ca="1" si="27"/>
        <v>3.6869000000000001</v>
      </c>
      <c r="U133" s="689">
        <f t="shared" ca="1" si="28"/>
        <v>3.5200000000000002E-2</v>
      </c>
      <c r="V133" s="689">
        <f t="shared" ca="1" si="29"/>
        <v>3.3517000000000001</v>
      </c>
      <c r="W133" s="689">
        <f t="shared" ca="1" si="30"/>
        <v>7.0738000000000003</v>
      </c>
      <c r="X133" s="689">
        <f t="shared" ca="1" si="31"/>
        <v>63.312800000000003</v>
      </c>
    </row>
    <row r="134" spans="1:24">
      <c r="A134" s="142" t="str">
        <f>面积清单!H111</f>
        <v>2单元606</v>
      </c>
      <c r="B134" s="52">
        <f>面积清单!J111</f>
        <v>78.45</v>
      </c>
      <c r="C134" s="21">
        <f t="shared" si="32"/>
        <v>1</v>
      </c>
      <c r="D134" s="635" t="s">
        <v>3968</v>
      </c>
      <c r="E134" s="21">
        <f t="shared" si="33"/>
        <v>1.02</v>
      </c>
      <c r="F134" s="635"/>
      <c r="G134" s="21">
        <f t="shared" si="34"/>
        <v>1</v>
      </c>
      <c r="H134" s="635"/>
      <c r="I134" s="21">
        <f t="shared" si="35"/>
        <v>1</v>
      </c>
      <c r="J134" s="635"/>
      <c r="K134" s="21">
        <f t="shared" si="36"/>
        <v>1</v>
      </c>
      <c r="L134" s="635"/>
      <c r="M134" s="21">
        <f t="shared" si="37"/>
        <v>1</v>
      </c>
      <c r="N134" s="635"/>
      <c r="O134" s="21">
        <f t="shared" si="38"/>
        <v>1</v>
      </c>
      <c r="P134" s="635"/>
      <c r="Q134" s="21">
        <f t="shared" si="39"/>
        <v>1</v>
      </c>
      <c r="R134" s="21">
        <f t="shared" ca="1" si="40"/>
        <v>9642</v>
      </c>
      <c r="S134" s="634">
        <f t="shared" ca="1" si="26"/>
        <v>75.641499999999994</v>
      </c>
      <c r="T134" s="689">
        <f t="shared" ca="1" si="27"/>
        <v>3.9622000000000002</v>
      </c>
      <c r="U134" s="689">
        <f t="shared" ca="1" si="28"/>
        <v>3.78E-2</v>
      </c>
      <c r="V134" s="689">
        <f t="shared" ca="1" si="29"/>
        <v>3.6019999999999999</v>
      </c>
      <c r="W134" s="689">
        <f t="shared" ca="1" si="30"/>
        <v>7.6020000000000003</v>
      </c>
      <c r="X134" s="689">
        <f t="shared" ca="1" si="31"/>
        <v>68.03949999999999</v>
      </c>
    </row>
    <row r="135" spans="1:24">
      <c r="A135" s="142" t="str">
        <f>面积清单!H112</f>
        <v>2单元607</v>
      </c>
      <c r="B135" s="52">
        <f>面积清单!J112</f>
        <v>75.959999999999994</v>
      </c>
      <c r="C135" s="21">
        <f t="shared" si="32"/>
        <v>1</v>
      </c>
      <c r="D135" s="635" t="s">
        <v>3968</v>
      </c>
      <c r="E135" s="21">
        <f t="shared" si="33"/>
        <v>1.02</v>
      </c>
      <c r="F135" s="635"/>
      <c r="G135" s="21">
        <f t="shared" si="34"/>
        <v>1</v>
      </c>
      <c r="H135" s="635"/>
      <c r="I135" s="21">
        <f t="shared" si="35"/>
        <v>1</v>
      </c>
      <c r="J135" s="635"/>
      <c r="K135" s="21">
        <f t="shared" si="36"/>
        <v>1</v>
      </c>
      <c r="L135" s="635"/>
      <c r="M135" s="21">
        <f t="shared" si="37"/>
        <v>1</v>
      </c>
      <c r="N135" s="635"/>
      <c r="O135" s="21">
        <f t="shared" si="38"/>
        <v>1</v>
      </c>
      <c r="P135" s="635"/>
      <c r="Q135" s="21">
        <f t="shared" si="39"/>
        <v>1</v>
      </c>
      <c r="R135" s="21">
        <f t="shared" ca="1" si="40"/>
        <v>9642</v>
      </c>
      <c r="S135" s="634">
        <f t="shared" ca="1" si="26"/>
        <v>73.240600000000001</v>
      </c>
      <c r="T135" s="689">
        <f t="shared" ca="1" si="27"/>
        <v>3.8363999999999998</v>
      </c>
      <c r="U135" s="689">
        <f t="shared" ca="1" si="28"/>
        <v>3.6600000000000001E-2</v>
      </c>
      <c r="V135" s="689">
        <f t="shared" ca="1" si="29"/>
        <v>3.4876</v>
      </c>
      <c r="W135" s="689">
        <f t="shared" ca="1" si="30"/>
        <v>7.3605999999999998</v>
      </c>
      <c r="X135" s="689">
        <f t="shared" ca="1" si="31"/>
        <v>65.88</v>
      </c>
    </row>
    <row r="136" spans="1:24">
      <c r="A136" s="142" t="str">
        <f>面积清单!H113</f>
        <v>2单元608</v>
      </c>
      <c r="B136" s="52">
        <f>面积清单!J113</f>
        <v>75.959999999999994</v>
      </c>
      <c r="C136" s="21">
        <f t="shared" si="32"/>
        <v>1</v>
      </c>
      <c r="D136" s="635" t="s">
        <v>3968</v>
      </c>
      <c r="E136" s="21">
        <f t="shared" si="33"/>
        <v>1.02</v>
      </c>
      <c r="F136" s="635"/>
      <c r="G136" s="21">
        <f t="shared" si="34"/>
        <v>1</v>
      </c>
      <c r="H136" s="635"/>
      <c r="I136" s="21">
        <f t="shared" si="35"/>
        <v>1</v>
      </c>
      <c r="J136" s="635"/>
      <c r="K136" s="21">
        <f t="shared" si="36"/>
        <v>1</v>
      </c>
      <c r="L136" s="635"/>
      <c r="M136" s="21">
        <f t="shared" si="37"/>
        <v>1</v>
      </c>
      <c r="N136" s="635"/>
      <c r="O136" s="21">
        <f t="shared" si="38"/>
        <v>1</v>
      </c>
      <c r="P136" s="635"/>
      <c r="Q136" s="21">
        <f t="shared" si="39"/>
        <v>1</v>
      </c>
      <c r="R136" s="21">
        <f t="shared" ca="1" si="40"/>
        <v>9642</v>
      </c>
      <c r="S136" s="634">
        <f t="shared" ca="1" si="26"/>
        <v>73.240600000000001</v>
      </c>
      <c r="T136" s="689">
        <f t="shared" ca="1" si="27"/>
        <v>3.8363999999999998</v>
      </c>
      <c r="U136" s="689">
        <f t="shared" ca="1" si="28"/>
        <v>3.6600000000000001E-2</v>
      </c>
      <c r="V136" s="689">
        <f t="shared" ca="1" si="29"/>
        <v>3.4876</v>
      </c>
      <c r="W136" s="689">
        <f t="shared" ca="1" si="30"/>
        <v>7.3605999999999998</v>
      </c>
      <c r="X136" s="689">
        <f t="shared" ca="1" si="31"/>
        <v>65.88</v>
      </c>
    </row>
    <row r="137" spans="1:24">
      <c r="A137" s="142" t="str">
        <f>面积清单!H114</f>
        <v>2单元609</v>
      </c>
      <c r="B137" s="52">
        <f>面积清单!J114</f>
        <v>78.45</v>
      </c>
      <c r="C137" s="21">
        <f t="shared" si="32"/>
        <v>1</v>
      </c>
      <c r="D137" s="635" t="s">
        <v>3968</v>
      </c>
      <c r="E137" s="21">
        <f t="shared" si="33"/>
        <v>1.02</v>
      </c>
      <c r="F137" s="635"/>
      <c r="G137" s="21">
        <f t="shared" si="34"/>
        <v>1</v>
      </c>
      <c r="H137" s="635"/>
      <c r="I137" s="21">
        <f t="shared" si="35"/>
        <v>1</v>
      </c>
      <c r="J137" s="635"/>
      <c r="K137" s="21">
        <f t="shared" si="36"/>
        <v>1</v>
      </c>
      <c r="L137" s="635"/>
      <c r="M137" s="21">
        <f t="shared" si="37"/>
        <v>1</v>
      </c>
      <c r="N137" s="635"/>
      <c r="O137" s="21">
        <f t="shared" si="38"/>
        <v>1</v>
      </c>
      <c r="P137" s="635"/>
      <c r="Q137" s="21">
        <f t="shared" si="39"/>
        <v>1</v>
      </c>
      <c r="R137" s="21">
        <f t="shared" ca="1" si="40"/>
        <v>9642</v>
      </c>
      <c r="S137" s="634">
        <f t="shared" ca="1" si="26"/>
        <v>75.641499999999994</v>
      </c>
      <c r="T137" s="689">
        <f t="shared" ca="1" si="27"/>
        <v>3.9622000000000002</v>
      </c>
      <c r="U137" s="689">
        <f t="shared" ca="1" si="28"/>
        <v>3.78E-2</v>
      </c>
      <c r="V137" s="689">
        <f t="shared" ca="1" si="29"/>
        <v>3.6019999999999999</v>
      </c>
      <c r="W137" s="689">
        <f t="shared" ca="1" si="30"/>
        <v>7.6020000000000003</v>
      </c>
      <c r="X137" s="689">
        <f t="shared" ca="1" si="31"/>
        <v>68.03949999999999</v>
      </c>
    </row>
    <row r="138" spans="1:24">
      <c r="A138" s="142" t="str">
        <f>面积清单!H115</f>
        <v>2单元610</v>
      </c>
      <c r="B138" s="52">
        <f>面积清单!J115</f>
        <v>73.47</v>
      </c>
      <c r="C138" s="21">
        <f t="shared" si="32"/>
        <v>1</v>
      </c>
      <c r="D138" s="635" t="s">
        <v>3968</v>
      </c>
      <c r="E138" s="21">
        <f t="shared" si="33"/>
        <v>1.02</v>
      </c>
      <c r="F138" s="635"/>
      <c r="G138" s="21">
        <f t="shared" si="34"/>
        <v>1</v>
      </c>
      <c r="H138" s="635"/>
      <c r="I138" s="21">
        <f t="shared" si="35"/>
        <v>1</v>
      </c>
      <c r="J138" s="635"/>
      <c r="K138" s="21">
        <f t="shared" si="36"/>
        <v>1</v>
      </c>
      <c r="L138" s="635"/>
      <c r="M138" s="21">
        <f t="shared" si="37"/>
        <v>1</v>
      </c>
      <c r="N138" s="635"/>
      <c r="O138" s="21">
        <f t="shared" si="38"/>
        <v>1</v>
      </c>
      <c r="P138" s="635"/>
      <c r="Q138" s="21">
        <f t="shared" si="39"/>
        <v>1</v>
      </c>
      <c r="R138" s="21">
        <f t="shared" ca="1" si="40"/>
        <v>9642</v>
      </c>
      <c r="S138" s="634">
        <f t="shared" ca="1" si="26"/>
        <v>70.839799999999997</v>
      </c>
      <c r="T138" s="689">
        <f t="shared" ca="1" si="27"/>
        <v>3.7107000000000001</v>
      </c>
      <c r="U138" s="689">
        <f t="shared" ca="1" si="28"/>
        <v>3.5400000000000001E-2</v>
      </c>
      <c r="V138" s="689">
        <f t="shared" ca="1" si="29"/>
        <v>3.3733</v>
      </c>
      <c r="W138" s="689">
        <f t="shared" ca="1" si="30"/>
        <v>7.1194000000000006</v>
      </c>
      <c r="X138" s="689">
        <f t="shared" ca="1" si="31"/>
        <v>63.720399999999998</v>
      </c>
    </row>
    <row r="139" spans="1:24">
      <c r="A139" s="142" t="str">
        <f>面积清单!H116</f>
        <v>2单元611</v>
      </c>
      <c r="B139" s="52">
        <f>面积清单!J116</f>
        <v>75.959999999999994</v>
      </c>
      <c r="C139" s="21">
        <f t="shared" si="32"/>
        <v>1</v>
      </c>
      <c r="D139" s="635" t="s">
        <v>3968</v>
      </c>
      <c r="E139" s="21">
        <f t="shared" si="33"/>
        <v>1.02</v>
      </c>
      <c r="F139" s="635"/>
      <c r="G139" s="21">
        <f t="shared" si="34"/>
        <v>1</v>
      </c>
      <c r="H139" s="635"/>
      <c r="I139" s="21">
        <f t="shared" si="35"/>
        <v>1</v>
      </c>
      <c r="J139" s="635"/>
      <c r="K139" s="21">
        <f t="shared" si="36"/>
        <v>1</v>
      </c>
      <c r="L139" s="635"/>
      <c r="M139" s="21">
        <f t="shared" si="37"/>
        <v>1</v>
      </c>
      <c r="N139" s="635"/>
      <c r="O139" s="21">
        <f t="shared" si="38"/>
        <v>1</v>
      </c>
      <c r="P139" s="635"/>
      <c r="Q139" s="21">
        <f t="shared" si="39"/>
        <v>1</v>
      </c>
      <c r="R139" s="21">
        <f t="shared" ca="1" si="40"/>
        <v>9642</v>
      </c>
      <c r="S139" s="634">
        <f t="shared" ca="1" si="26"/>
        <v>73.240600000000001</v>
      </c>
      <c r="T139" s="689">
        <f t="shared" ca="1" si="27"/>
        <v>3.8363999999999998</v>
      </c>
      <c r="U139" s="689">
        <f t="shared" ca="1" si="28"/>
        <v>3.6600000000000001E-2</v>
      </c>
      <c r="V139" s="689">
        <f t="shared" ca="1" si="29"/>
        <v>3.4876</v>
      </c>
      <c r="W139" s="689">
        <f t="shared" ca="1" si="30"/>
        <v>7.3605999999999998</v>
      </c>
      <c r="X139" s="689">
        <f t="shared" ca="1" si="31"/>
        <v>65.88</v>
      </c>
    </row>
    <row r="140" spans="1:24">
      <c r="A140" s="142" t="str">
        <f>面积清单!H117</f>
        <v>2单元612</v>
      </c>
      <c r="B140" s="52">
        <f>面积清单!J117</f>
        <v>83.52</v>
      </c>
      <c r="C140" s="21">
        <f t="shared" si="32"/>
        <v>1</v>
      </c>
      <c r="D140" s="635" t="s">
        <v>3968</v>
      </c>
      <c r="E140" s="21">
        <f t="shared" si="33"/>
        <v>1.02</v>
      </c>
      <c r="F140" s="635"/>
      <c r="G140" s="21">
        <f t="shared" si="34"/>
        <v>1</v>
      </c>
      <c r="H140" s="635"/>
      <c r="I140" s="21">
        <f t="shared" si="35"/>
        <v>1</v>
      </c>
      <c r="J140" s="635"/>
      <c r="K140" s="21">
        <f t="shared" si="36"/>
        <v>1</v>
      </c>
      <c r="L140" s="635"/>
      <c r="M140" s="21">
        <f t="shared" si="37"/>
        <v>1</v>
      </c>
      <c r="N140" s="635"/>
      <c r="O140" s="21">
        <f t="shared" si="38"/>
        <v>1</v>
      </c>
      <c r="P140" s="635"/>
      <c r="Q140" s="21">
        <f t="shared" si="39"/>
        <v>1</v>
      </c>
      <c r="R140" s="21">
        <f t="shared" ca="1" si="40"/>
        <v>9642</v>
      </c>
      <c r="S140" s="634">
        <f t="shared" ca="1" si="26"/>
        <v>80.53</v>
      </c>
      <c r="T140" s="689">
        <f t="shared" ca="1" si="27"/>
        <v>4.2182000000000004</v>
      </c>
      <c r="U140" s="689">
        <f t="shared" ca="1" si="28"/>
        <v>4.0300000000000002E-2</v>
      </c>
      <c r="V140" s="689">
        <f t="shared" ca="1" si="29"/>
        <v>3.8348</v>
      </c>
      <c r="W140" s="689">
        <f t="shared" ca="1" si="30"/>
        <v>8.093300000000001</v>
      </c>
      <c r="X140" s="689">
        <f t="shared" ca="1" si="31"/>
        <v>72.436700000000002</v>
      </c>
    </row>
    <row r="141" spans="1:24">
      <c r="A141" s="142" t="str">
        <f>面积清单!H118</f>
        <v>2单元613</v>
      </c>
      <c r="B141" s="52">
        <f>面积清单!J118</f>
        <v>89.88</v>
      </c>
      <c r="C141" s="21">
        <f t="shared" si="32"/>
        <v>1</v>
      </c>
      <c r="D141" s="635" t="s">
        <v>3968</v>
      </c>
      <c r="E141" s="21">
        <f t="shared" si="33"/>
        <v>1.02</v>
      </c>
      <c r="F141" s="635"/>
      <c r="G141" s="21">
        <f t="shared" si="34"/>
        <v>1</v>
      </c>
      <c r="H141" s="635"/>
      <c r="I141" s="21">
        <f t="shared" si="35"/>
        <v>1</v>
      </c>
      <c r="J141" s="635"/>
      <c r="K141" s="21">
        <f t="shared" si="36"/>
        <v>1</v>
      </c>
      <c r="L141" s="635"/>
      <c r="M141" s="21">
        <f t="shared" si="37"/>
        <v>1</v>
      </c>
      <c r="N141" s="635"/>
      <c r="O141" s="21">
        <f t="shared" si="38"/>
        <v>1</v>
      </c>
      <c r="P141" s="635"/>
      <c r="Q141" s="21">
        <f t="shared" si="39"/>
        <v>1</v>
      </c>
      <c r="R141" s="21">
        <f t="shared" ca="1" si="40"/>
        <v>9642</v>
      </c>
      <c r="S141" s="634">
        <f t="shared" ca="1" si="26"/>
        <v>86.662300000000002</v>
      </c>
      <c r="T141" s="689">
        <f t="shared" ca="1" si="27"/>
        <v>4.5395000000000003</v>
      </c>
      <c r="U141" s="689">
        <f t="shared" ca="1" si="28"/>
        <v>4.3299999999999998E-2</v>
      </c>
      <c r="V141" s="689">
        <f t="shared" ca="1" si="29"/>
        <v>4.1268000000000002</v>
      </c>
      <c r="W141" s="689">
        <f t="shared" ca="1" si="30"/>
        <v>8.7096000000000018</v>
      </c>
      <c r="X141" s="689">
        <f t="shared" ca="1" si="31"/>
        <v>77.952699999999993</v>
      </c>
    </row>
    <row r="142" spans="1:24">
      <c r="A142" s="142" t="str">
        <f>面积清单!H119</f>
        <v>2单元614</v>
      </c>
      <c r="B142" s="52">
        <f>面积清单!J119</f>
        <v>174.94</v>
      </c>
      <c r="C142" s="21">
        <f t="shared" si="32"/>
        <v>0.99</v>
      </c>
      <c r="D142" s="635" t="s">
        <v>3968</v>
      </c>
      <c r="E142" s="21">
        <f t="shared" si="33"/>
        <v>1.02</v>
      </c>
      <c r="F142" s="635"/>
      <c r="G142" s="21">
        <f t="shared" si="34"/>
        <v>1</v>
      </c>
      <c r="H142" s="635"/>
      <c r="I142" s="21">
        <f t="shared" si="35"/>
        <v>1</v>
      </c>
      <c r="J142" s="635"/>
      <c r="K142" s="21">
        <f t="shared" si="36"/>
        <v>1</v>
      </c>
      <c r="L142" s="635"/>
      <c r="M142" s="21">
        <f t="shared" si="37"/>
        <v>1</v>
      </c>
      <c r="N142" s="635"/>
      <c r="O142" s="21">
        <f t="shared" si="38"/>
        <v>1</v>
      </c>
      <c r="P142" s="635"/>
      <c r="Q142" s="21">
        <f t="shared" si="39"/>
        <v>1</v>
      </c>
      <c r="R142" s="21">
        <f t="shared" ca="1" si="40"/>
        <v>9546</v>
      </c>
      <c r="S142" s="634">
        <f t="shared" ca="1" si="26"/>
        <v>166.99770000000001</v>
      </c>
      <c r="T142" s="689">
        <f t="shared" ca="1" si="27"/>
        <v>8.7475000000000005</v>
      </c>
      <c r="U142" s="689">
        <f t="shared" ca="1" si="28"/>
        <v>8.3500000000000005E-2</v>
      </c>
      <c r="V142" s="689">
        <f t="shared" ca="1" si="29"/>
        <v>7.9523000000000001</v>
      </c>
      <c r="W142" s="689">
        <f t="shared" ca="1" si="30"/>
        <v>16.783300000000001</v>
      </c>
      <c r="X142" s="689">
        <f t="shared" ca="1" si="31"/>
        <v>150.21440000000001</v>
      </c>
    </row>
    <row r="143" spans="1:24">
      <c r="A143" s="142" t="str">
        <f>面积清单!H120</f>
        <v>2单元615</v>
      </c>
      <c r="B143" s="52">
        <f>面积清单!J120</f>
        <v>71.61</v>
      </c>
      <c r="C143" s="21">
        <f t="shared" si="32"/>
        <v>1</v>
      </c>
      <c r="D143" s="635" t="s">
        <v>3968</v>
      </c>
      <c r="E143" s="21">
        <f t="shared" si="33"/>
        <v>1.02</v>
      </c>
      <c r="F143" s="635"/>
      <c r="G143" s="21">
        <f t="shared" si="34"/>
        <v>1</v>
      </c>
      <c r="H143" s="635"/>
      <c r="I143" s="21">
        <f t="shared" si="35"/>
        <v>1</v>
      </c>
      <c r="J143" s="635"/>
      <c r="K143" s="21">
        <f t="shared" si="36"/>
        <v>1</v>
      </c>
      <c r="L143" s="635"/>
      <c r="M143" s="21">
        <f t="shared" si="37"/>
        <v>1</v>
      </c>
      <c r="N143" s="635"/>
      <c r="O143" s="21">
        <f t="shared" si="38"/>
        <v>1</v>
      </c>
      <c r="P143" s="635"/>
      <c r="Q143" s="21">
        <f t="shared" si="39"/>
        <v>1</v>
      </c>
      <c r="R143" s="21">
        <f t="shared" ca="1" si="40"/>
        <v>9642</v>
      </c>
      <c r="S143" s="634">
        <f t="shared" ca="1" si="26"/>
        <v>69.046400000000006</v>
      </c>
      <c r="T143" s="689">
        <f t="shared" ca="1" si="27"/>
        <v>3.6166999999999998</v>
      </c>
      <c r="U143" s="689">
        <f t="shared" ca="1" si="28"/>
        <v>3.4500000000000003E-2</v>
      </c>
      <c r="V143" s="689">
        <f t="shared" ca="1" si="29"/>
        <v>3.2879</v>
      </c>
      <c r="W143" s="689">
        <f t="shared" ca="1" si="30"/>
        <v>6.9390999999999998</v>
      </c>
      <c r="X143" s="689">
        <f t="shared" ca="1" si="31"/>
        <v>62.107300000000009</v>
      </c>
    </row>
    <row r="144" spans="1:24">
      <c r="A144" s="142" t="str">
        <f>面积清单!H121</f>
        <v>2单元616</v>
      </c>
      <c r="B144" s="52">
        <f>面积清单!J121</f>
        <v>63.4</v>
      </c>
      <c r="C144" s="21">
        <f t="shared" si="32"/>
        <v>1</v>
      </c>
      <c r="D144" s="635" t="s">
        <v>3968</v>
      </c>
      <c r="E144" s="21">
        <f t="shared" si="33"/>
        <v>1.02</v>
      </c>
      <c r="F144" s="635"/>
      <c r="G144" s="21">
        <f t="shared" si="34"/>
        <v>1</v>
      </c>
      <c r="H144" s="635"/>
      <c r="I144" s="21">
        <f t="shared" si="35"/>
        <v>1</v>
      </c>
      <c r="J144" s="635"/>
      <c r="K144" s="21">
        <f t="shared" si="36"/>
        <v>1</v>
      </c>
      <c r="L144" s="635"/>
      <c r="M144" s="21">
        <f t="shared" si="37"/>
        <v>1</v>
      </c>
      <c r="N144" s="635"/>
      <c r="O144" s="21">
        <f t="shared" si="38"/>
        <v>1</v>
      </c>
      <c r="P144" s="635"/>
      <c r="Q144" s="21">
        <f t="shared" si="39"/>
        <v>1</v>
      </c>
      <c r="R144" s="21">
        <f t="shared" ca="1" si="40"/>
        <v>9642</v>
      </c>
      <c r="S144" s="634">
        <f t="shared" ca="1" si="26"/>
        <v>61.130299999999998</v>
      </c>
      <c r="T144" s="689">
        <f t="shared" ca="1" si="27"/>
        <v>3.2021000000000002</v>
      </c>
      <c r="U144" s="689">
        <f t="shared" ca="1" si="28"/>
        <v>3.0599999999999999E-2</v>
      </c>
      <c r="V144" s="689">
        <f t="shared" ca="1" si="29"/>
        <v>2.911</v>
      </c>
      <c r="W144" s="689">
        <f t="shared" ca="1" si="30"/>
        <v>6.1437000000000008</v>
      </c>
      <c r="X144" s="689">
        <f t="shared" ca="1" si="31"/>
        <v>54.986599999999996</v>
      </c>
    </row>
    <row r="145" spans="1:24">
      <c r="A145" s="142" t="str">
        <f>面积清单!H122</f>
        <v>2单元617</v>
      </c>
      <c r="B145" s="52">
        <f>面积清单!J122</f>
        <v>55.03</v>
      </c>
      <c r="C145" s="21">
        <f t="shared" si="32"/>
        <v>1</v>
      </c>
      <c r="D145" s="635" t="s">
        <v>3968</v>
      </c>
      <c r="E145" s="21">
        <f t="shared" si="33"/>
        <v>1.02</v>
      </c>
      <c r="F145" s="635"/>
      <c r="G145" s="21">
        <f t="shared" si="34"/>
        <v>1</v>
      </c>
      <c r="H145" s="635"/>
      <c r="I145" s="21">
        <f t="shared" si="35"/>
        <v>1</v>
      </c>
      <c r="J145" s="635"/>
      <c r="K145" s="21">
        <f t="shared" si="36"/>
        <v>1</v>
      </c>
      <c r="L145" s="635"/>
      <c r="M145" s="21">
        <f t="shared" si="37"/>
        <v>1</v>
      </c>
      <c r="N145" s="635"/>
      <c r="O145" s="21">
        <f t="shared" si="38"/>
        <v>1</v>
      </c>
      <c r="P145" s="635"/>
      <c r="Q145" s="21">
        <f t="shared" si="39"/>
        <v>1</v>
      </c>
      <c r="R145" s="21">
        <f t="shared" ca="1" si="40"/>
        <v>9642</v>
      </c>
      <c r="S145" s="634">
        <f t="shared" ca="1" si="26"/>
        <v>53.059899999999999</v>
      </c>
      <c r="T145" s="689">
        <f t="shared" ca="1" si="27"/>
        <v>2.7793000000000001</v>
      </c>
      <c r="U145" s="689">
        <f t="shared" ca="1" si="28"/>
        <v>2.6499999999999999E-2</v>
      </c>
      <c r="V145" s="689">
        <f t="shared" ca="1" si="29"/>
        <v>2.5266999999999999</v>
      </c>
      <c r="W145" s="689">
        <f t="shared" ca="1" si="30"/>
        <v>5.3324999999999996</v>
      </c>
      <c r="X145" s="689">
        <f t="shared" ca="1" si="31"/>
        <v>47.727400000000003</v>
      </c>
    </row>
    <row r="146" spans="1:24">
      <c r="A146" s="142" t="str">
        <f>面积清单!H123</f>
        <v>2单元618</v>
      </c>
      <c r="B146" s="52">
        <f>面积清单!J123</f>
        <v>55.03</v>
      </c>
      <c r="C146" s="21">
        <f t="shared" si="32"/>
        <v>1</v>
      </c>
      <c r="D146" s="635" t="s">
        <v>3968</v>
      </c>
      <c r="E146" s="21">
        <f t="shared" si="33"/>
        <v>1.02</v>
      </c>
      <c r="F146" s="635"/>
      <c r="G146" s="21">
        <f t="shared" si="34"/>
        <v>1</v>
      </c>
      <c r="H146" s="635"/>
      <c r="I146" s="21">
        <f t="shared" si="35"/>
        <v>1</v>
      </c>
      <c r="J146" s="635"/>
      <c r="K146" s="21">
        <f t="shared" si="36"/>
        <v>1</v>
      </c>
      <c r="L146" s="635"/>
      <c r="M146" s="21">
        <f t="shared" si="37"/>
        <v>1</v>
      </c>
      <c r="N146" s="635"/>
      <c r="O146" s="21">
        <f t="shared" si="38"/>
        <v>1</v>
      </c>
      <c r="P146" s="635"/>
      <c r="Q146" s="21">
        <f t="shared" si="39"/>
        <v>1</v>
      </c>
      <c r="R146" s="21">
        <f t="shared" ca="1" si="40"/>
        <v>9642</v>
      </c>
      <c r="S146" s="634">
        <f t="shared" ca="1" si="26"/>
        <v>53.059899999999999</v>
      </c>
      <c r="T146" s="689">
        <f t="shared" ca="1" si="27"/>
        <v>2.7793000000000001</v>
      </c>
      <c r="U146" s="689">
        <f t="shared" ca="1" si="28"/>
        <v>2.6499999999999999E-2</v>
      </c>
      <c r="V146" s="689">
        <f t="shared" ca="1" si="29"/>
        <v>2.5266999999999999</v>
      </c>
      <c r="W146" s="689">
        <f t="shared" ca="1" si="30"/>
        <v>5.3324999999999996</v>
      </c>
      <c r="X146" s="689">
        <f t="shared" ca="1" si="31"/>
        <v>47.727400000000003</v>
      </c>
    </row>
    <row r="147" spans="1:24">
      <c r="A147" s="142" t="str">
        <f>面积清单!H124</f>
        <v>2单元619</v>
      </c>
      <c r="B147" s="52">
        <f>面积清单!J124</f>
        <v>55.03</v>
      </c>
      <c r="C147" s="21">
        <f t="shared" si="32"/>
        <v>1</v>
      </c>
      <c r="D147" s="635" t="s">
        <v>3968</v>
      </c>
      <c r="E147" s="21">
        <f t="shared" si="33"/>
        <v>1.02</v>
      </c>
      <c r="F147" s="635"/>
      <c r="G147" s="21">
        <f t="shared" si="34"/>
        <v>1</v>
      </c>
      <c r="H147" s="635"/>
      <c r="I147" s="21">
        <f t="shared" si="35"/>
        <v>1</v>
      </c>
      <c r="J147" s="635"/>
      <c r="K147" s="21">
        <f t="shared" si="36"/>
        <v>1</v>
      </c>
      <c r="L147" s="635"/>
      <c r="M147" s="21">
        <f t="shared" si="37"/>
        <v>1</v>
      </c>
      <c r="N147" s="635"/>
      <c r="O147" s="21">
        <f t="shared" si="38"/>
        <v>1</v>
      </c>
      <c r="P147" s="635"/>
      <c r="Q147" s="21">
        <f t="shared" si="39"/>
        <v>1</v>
      </c>
      <c r="R147" s="21">
        <f t="shared" ca="1" si="40"/>
        <v>9642</v>
      </c>
      <c r="S147" s="634">
        <f t="shared" ca="1" si="26"/>
        <v>53.059899999999999</v>
      </c>
      <c r="T147" s="689">
        <f t="shared" ca="1" si="27"/>
        <v>2.7793000000000001</v>
      </c>
      <c r="U147" s="689">
        <f t="shared" ca="1" si="28"/>
        <v>2.6499999999999999E-2</v>
      </c>
      <c r="V147" s="689">
        <f t="shared" ca="1" si="29"/>
        <v>2.5266999999999999</v>
      </c>
      <c r="W147" s="689">
        <f t="shared" ca="1" si="30"/>
        <v>5.3324999999999996</v>
      </c>
      <c r="X147" s="689">
        <f t="shared" ca="1" si="31"/>
        <v>47.727400000000003</v>
      </c>
    </row>
    <row r="148" spans="1:24">
      <c r="A148" s="142" t="str">
        <f>面积清单!H125</f>
        <v>2单元620</v>
      </c>
      <c r="B148" s="52">
        <f>面积清单!J125</f>
        <v>55.03</v>
      </c>
      <c r="C148" s="21">
        <f t="shared" si="32"/>
        <v>1</v>
      </c>
      <c r="D148" s="635" t="s">
        <v>3968</v>
      </c>
      <c r="E148" s="21">
        <f t="shared" si="33"/>
        <v>1.02</v>
      </c>
      <c r="F148" s="635"/>
      <c r="G148" s="21">
        <f t="shared" si="34"/>
        <v>1</v>
      </c>
      <c r="H148" s="635"/>
      <c r="I148" s="21">
        <f t="shared" si="35"/>
        <v>1</v>
      </c>
      <c r="J148" s="635"/>
      <c r="K148" s="21">
        <f t="shared" si="36"/>
        <v>1</v>
      </c>
      <c r="L148" s="635"/>
      <c r="M148" s="21">
        <f t="shared" si="37"/>
        <v>1</v>
      </c>
      <c r="N148" s="635"/>
      <c r="O148" s="21">
        <f t="shared" si="38"/>
        <v>1</v>
      </c>
      <c r="P148" s="635"/>
      <c r="Q148" s="21">
        <f t="shared" si="39"/>
        <v>1</v>
      </c>
      <c r="R148" s="21">
        <f t="shared" ca="1" si="40"/>
        <v>9642</v>
      </c>
      <c r="S148" s="634">
        <f t="shared" ca="1" si="26"/>
        <v>53.059899999999999</v>
      </c>
      <c r="T148" s="689">
        <f t="shared" ca="1" si="27"/>
        <v>2.7793000000000001</v>
      </c>
      <c r="U148" s="689">
        <f t="shared" ca="1" si="28"/>
        <v>2.6499999999999999E-2</v>
      </c>
      <c r="V148" s="689">
        <f t="shared" ca="1" si="29"/>
        <v>2.5266999999999999</v>
      </c>
      <c r="W148" s="689">
        <f t="shared" ca="1" si="30"/>
        <v>5.3324999999999996</v>
      </c>
      <c r="X148" s="689">
        <f t="shared" ca="1" si="31"/>
        <v>47.727400000000003</v>
      </c>
    </row>
    <row r="149" spans="1:24">
      <c r="A149" s="142" t="str">
        <f>面积清单!H126</f>
        <v>2单元621</v>
      </c>
      <c r="B149" s="52">
        <f>面积清单!J126</f>
        <v>55.03</v>
      </c>
      <c r="C149" s="21">
        <f t="shared" si="32"/>
        <v>1</v>
      </c>
      <c r="D149" s="635" t="s">
        <v>3968</v>
      </c>
      <c r="E149" s="21">
        <f t="shared" si="33"/>
        <v>1.02</v>
      </c>
      <c r="F149" s="635"/>
      <c r="G149" s="21">
        <f t="shared" si="34"/>
        <v>1</v>
      </c>
      <c r="H149" s="635"/>
      <c r="I149" s="21">
        <f t="shared" si="35"/>
        <v>1</v>
      </c>
      <c r="J149" s="635"/>
      <c r="K149" s="21">
        <f t="shared" si="36"/>
        <v>1</v>
      </c>
      <c r="L149" s="635"/>
      <c r="M149" s="21">
        <f t="shared" si="37"/>
        <v>1</v>
      </c>
      <c r="N149" s="635"/>
      <c r="O149" s="21">
        <f t="shared" si="38"/>
        <v>1</v>
      </c>
      <c r="P149" s="635"/>
      <c r="Q149" s="21">
        <f t="shared" si="39"/>
        <v>1</v>
      </c>
      <c r="R149" s="21">
        <f t="shared" ca="1" si="40"/>
        <v>9642</v>
      </c>
      <c r="S149" s="634">
        <f t="shared" ca="1" si="26"/>
        <v>53.059899999999999</v>
      </c>
      <c r="T149" s="689">
        <f t="shared" ca="1" si="27"/>
        <v>2.7793000000000001</v>
      </c>
      <c r="U149" s="689">
        <f t="shared" ca="1" si="28"/>
        <v>2.6499999999999999E-2</v>
      </c>
      <c r="V149" s="689">
        <f t="shared" ca="1" si="29"/>
        <v>2.5266999999999999</v>
      </c>
      <c r="W149" s="689">
        <f t="shared" ca="1" si="30"/>
        <v>5.3324999999999996</v>
      </c>
      <c r="X149" s="689">
        <f t="shared" ca="1" si="31"/>
        <v>47.727400000000003</v>
      </c>
    </row>
    <row r="150" spans="1:24">
      <c r="A150" s="142" t="str">
        <f>面积清单!H127</f>
        <v>2单元622</v>
      </c>
      <c r="B150" s="52">
        <f>面积清单!J127</f>
        <v>55.03</v>
      </c>
      <c r="C150" s="21">
        <f t="shared" si="32"/>
        <v>1</v>
      </c>
      <c r="D150" s="635" t="s">
        <v>3968</v>
      </c>
      <c r="E150" s="21">
        <f t="shared" si="33"/>
        <v>1.02</v>
      </c>
      <c r="F150" s="635"/>
      <c r="G150" s="21">
        <f t="shared" si="34"/>
        <v>1</v>
      </c>
      <c r="H150" s="635"/>
      <c r="I150" s="21">
        <f t="shared" si="35"/>
        <v>1</v>
      </c>
      <c r="J150" s="635"/>
      <c r="K150" s="21">
        <f t="shared" si="36"/>
        <v>1</v>
      </c>
      <c r="L150" s="635"/>
      <c r="M150" s="21">
        <f t="shared" si="37"/>
        <v>1</v>
      </c>
      <c r="N150" s="635"/>
      <c r="O150" s="21">
        <f t="shared" si="38"/>
        <v>1</v>
      </c>
      <c r="P150" s="635"/>
      <c r="Q150" s="21">
        <f t="shared" si="39"/>
        <v>1</v>
      </c>
      <c r="R150" s="21">
        <f t="shared" ca="1" si="40"/>
        <v>9642</v>
      </c>
      <c r="S150" s="634">
        <f t="shared" ca="1" si="26"/>
        <v>53.059899999999999</v>
      </c>
      <c r="T150" s="689">
        <f t="shared" ca="1" si="27"/>
        <v>2.7793000000000001</v>
      </c>
      <c r="U150" s="689">
        <f t="shared" ca="1" si="28"/>
        <v>2.6499999999999999E-2</v>
      </c>
      <c r="V150" s="689">
        <f t="shared" ca="1" si="29"/>
        <v>2.5266999999999999</v>
      </c>
      <c r="W150" s="689">
        <f t="shared" ca="1" si="30"/>
        <v>5.3324999999999996</v>
      </c>
      <c r="X150" s="689">
        <f t="shared" ca="1" si="31"/>
        <v>47.727400000000003</v>
      </c>
    </row>
    <row r="151" spans="1:24">
      <c r="A151" s="142" t="str">
        <f>面积清单!H128</f>
        <v>2单元623</v>
      </c>
      <c r="B151" s="52">
        <f>面积清单!J128</f>
        <v>55.03</v>
      </c>
      <c r="C151" s="21">
        <f t="shared" si="32"/>
        <v>1</v>
      </c>
      <c r="D151" s="635" t="s">
        <v>3968</v>
      </c>
      <c r="E151" s="21">
        <f t="shared" si="33"/>
        <v>1.02</v>
      </c>
      <c r="F151" s="635"/>
      <c r="G151" s="21">
        <f t="shared" si="34"/>
        <v>1</v>
      </c>
      <c r="H151" s="635"/>
      <c r="I151" s="21">
        <f t="shared" si="35"/>
        <v>1</v>
      </c>
      <c r="J151" s="635"/>
      <c r="K151" s="21">
        <f t="shared" si="36"/>
        <v>1</v>
      </c>
      <c r="L151" s="635"/>
      <c r="M151" s="21">
        <f t="shared" si="37"/>
        <v>1</v>
      </c>
      <c r="N151" s="635"/>
      <c r="O151" s="21">
        <f t="shared" si="38"/>
        <v>1</v>
      </c>
      <c r="P151" s="635"/>
      <c r="Q151" s="21">
        <f t="shared" si="39"/>
        <v>1</v>
      </c>
      <c r="R151" s="21">
        <f t="shared" ca="1" si="40"/>
        <v>9642</v>
      </c>
      <c r="S151" s="634">
        <f t="shared" ca="1" si="26"/>
        <v>53.059899999999999</v>
      </c>
      <c r="T151" s="689">
        <f t="shared" ca="1" si="27"/>
        <v>2.7793000000000001</v>
      </c>
      <c r="U151" s="689">
        <f t="shared" ca="1" si="28"/>
        <v>2.6499999999999999E-2</v>
      </c>
      <c r="V151" s="689">
        <f t="shared" ca="1" si="29"/>
        <v>2.5266999999999999</v>
      </c>
      <c r="W151" s="689">
        <f t="shared" ca="1" si="30"/>
        <v>5.3324999999999996</v>
      </c>
      <c r="X151" s="689">
        <f t="shared" ca="1" si="31"/>
        <v>47.727400000000003</v>
      </c>
    </row>
    <row r="152" spans="1:24">
      <c r="A152" s="142" t="str">
        <f>面积清单!H129</f>
        <v>2单元624</v>
      </c>
      <c r="B152" s="52">
        <f>面积清单!J129</f>
        <v>55.03</v>
      </c>
      <c r="C152" s="21">
        <f t="shared" si="32"/>
        <v>1</v>
      </c>
      <c r="D152" s="635" t="s">
        <v>3968</v>
      </c>
      <c r="E152" s="21">
        <f t="shared" si="33"/>
        <v>1.02</v>
      </c>
      <c r="F152" s="635"/>
      <c r="G152" s="21">
        <f t="shared" si="34"/>
        <v>1</v>
      </c>
      <c r="H152" s="635"/>
      <c r="I152" s="21">
        <f t="shared" si="35"/>
        <v>1</v>
      </c>
      <c r="J152" s="635"/>
      <c r="K152" s="21">
        <f t="shared" si="36"/>
        <v>1</v>
      </c>
      <c r="L152" s="635"/>
      <c r="M152" s="21">
        <f t="shared" si="37"/>
        <v>1</v>
      </c>
      <c r="N152" s="635"/>
      <c r="O152" s="21">
        <f t="shared" si="38"/>
        <v>1</v>
      </c>
      <c r="P152" s="635"/>
      <c r="Q152" s="21">
        <f t="shared" si="39"/>
        <v>1</v>
      </c>
      <c r="R152" s="21">
        <f t="shared" ca="1" si="40"/>
        <v>9642</v>
      </c>
      <c r="S152" s="634">
        <f t="shared" ca="1" si="26"/>
        <v>53.059899999999999</v>
      </c>
      <c r="T152" s="689">
        <f t="shared" ca="1" si="27"/>
        <v>2.7793000000000001</v>
      </c>
      <c r="U152" s="689">
        <f t="shared" ca="1" si="28"/>
        <v>2.6499999999999999E-2</v>
      </c>
      <c r="V152" s="689">
        <f t="shared" ca="1" si="29"/>
        <v>2.5266999999999999</v>
      </c>
      <c r="W152" s="689">
        <f t="shared" ca="1" si="30"/>
        <v>5.3324999999999996</v>
      </c>
      <c r="X152" s="689">
        <f t="shared" ca="1" si="31"/>
        <v>47.727400000000003</v>
      </c>
    </row>
    <row r="153" spans="1:24">
      <c r="A153" s="142" t="str">
        <f>面积清单!H130</f>
        <v>2单元625</v>
      </c>
      <c r="B153" s="52">
        <f>面积清单!J130</f>
        <v>62.71</v>
      </c>
      <c r="C153" s="21">
        <f t="shared" si="32"/>
        <v>1</v>
      </c>
      <c r="D153" s="635" t="s">
        <v>3968</v>
      </c>
      <c r="E153" s="21">
        <f t="shared" si="33"/>
        <v>1.02</v>
      </c>
      <c r="F153" s="635"/>
      <c r="G153" s="21">
        <f t="shared" si="34"/>
        <v>1</v>
      </c>
      <c r="H153" s="635"/>
      <c r="I153" s="21">
        <f t="shared" si="35"/>
        <v>1</v>
      </c>
      <c r="J153" s="635"/>
      <c r="K153" s="21">
        <f t="shared" si="36"/>
        <v>1</v>
      </c>
      <c r="L153" s="635"/>
      <c r="M153" s="21">
        <f t="shared" si="37"/>
        <v>1</v>
      </c>
      <c r="N153" s="635"/>
      <c r="O153" s="21">
        <f t="shared" si="38"/>
        <v>1</v>
      </c>
      <c r="P153" s="635"/>
      <c r="Q153" s="21">
        <f t="shared" si="39"/>
        <v>1</v>
      </c>
      <c r="R153" s="21">
        <f t="shared" ca="1" si="40"/>
        <v>9642</v>
      </c>
      <c r="S153" s="634">
        <f t="shared" ref="S153:S180" ca="1" si="41">ROUND(R153*B153/10000,4)</f>
        <v>60.465000000000003</v>
      </c>
      <c r="T153" s="689">
        <f t="shared" ref="T153:T180" ca="1" si="42">ROUND(S153*$T$23/1.05,4)</f>
        <v>3.1671999999999998</v>
      </c>
      <c r="U153" s="689">
        <f t="shared" ref="U153:U180" ca="1" si="43">ROUND(S153*$U$23,4)</f>
        <v>3.0200000000000001E-2</v>
      </c>
      <c r="V153" s="689">
        <f t="shared" ref="V153:V180" ca="1" si="44">ROUND(S153/1.05*$V$23,4)</f>
        <v>2.8793000000000002</v>
      </c>
      <c r="W153" s="689">
        <f t="shared" ref="W153:W180" ca="1" si="45">T153+U153+V153</f>
        <v>6.0766999999999998</v>
      </c>
      <c r="X153" s="689">
        <f t="shared" ref="X153:X180" ca="1" si="46">S153-W153</f>
        <v>54.388300000000001</v>
      </c>
    </row>
    <row r="154" spans="1:24">
      <c r="A154" s="142" t="str">
        <f>面积清单!H131</f>
        <v>2单元626</v>
      </c>
      <c r="B154" s="52">
        <f>面积清单!J131</f>
        <v>74.14</v>
      </c>
      <c r="C154" s="21">
        <f t="shared" ref="C154:C217" si="47">IF(B154="",1,(LOOKUP(B154,$3:$3,$4:$4)-LOOKUP($B$24,$3:$3,$4:$4)+100)/100)</f>
        <v>1</v>
      </c>
      <c r="D154" s="635" t="s">
        <v>3968</v>
      </c>
      <c r="E154" s="21">
        <f t="shared" ref="E154:E217" si="48">(SUMIF($5:$5,D154,$6:$6)-SUMIF($5:$5,$D$24,$6:$6)+100)/100</f>
        <v>1.02</v>
      </c>
      <c r="F154" s="635"/>
      <c r="G154" s="21">
        <f t="shared" ref="G154:G217" si="49">(SUMIF($7:$7,F154,$8:$8)-SUMIF($7:$7,$F$24,$8:$8)+100)/100</f>
        <v>1</v>
      </c>
      <c r="H154" s="635"/>
      <c r="I154" s="21">
        <f t="shared" ref="I154:I217" si="50">(SUMIF($9:$9,H154,$10:$10)-SUMIF($9:$9,$H$24,$10:$10)+100)/100</f>
        <v>1</v>
      </c>
      <c r="J154" s="635"/>
      <c r="K154" s="21">
        <f t="shared" ref="K154:K217" si="51">(SUMIF($11:$11,J154,$12:$12)-SUMIF($11:$11,$J$24,$12:$12)+100)/100</f>
        <v>1</v>
      </c>
      <c r="L154" s="635"/>
      <c r="M154" s="21">
        <f t="shared" ref="M154:M217" si="52">(SUMIF($13:$13,L154,$14:$14)-SUMIF($13:$13,$L$24,$14:$14)+100)/100</f>
        <v>1</v>
      </c>
      <c r="N154" s="635"/>
      <c r="O154" s="21">
        <f t="shared" ref="O154:O217" si="53">(SUMIF($15:$15,N154,$16:$16)-SUMIF($15:$15,$N$24,$16:$16)+100)/100</f>
        <v>1</v>
      </c>
      <c r="P154" s="635"/>
      <c r="Q154" s="21">
        <f t="shared" ref="Q154:Q217" si="54">(SUMIF($17:$17,P154,$18:$18)-SUMIF($17:$17,$P$24,$18:$18)+100)/100</f>
        <v>1</v>
      </c>
      <c r="R154" s="21">
        <f t="shared" ref="R154:R217" ca="1" si="55">IF(B154="",0,ROUND($R$24*C154*E154*G154*I154*K154*M154*O154*Q154,0))</f>
        <v>9642</v>
      </c>
      <c r="S154" s="634">
        <f t="shared" ca="1" si="41"/>
        <v>71.485799999999998</v>
      </c>
      <c r="T154" s="689">
        <f t="shared" ca="1" si="42"/>
        <v>3.7444999999999999</v>
      </c>
      <c r="U154" s="689">
        <f t="shared" ca="1" si="43"/>
        <v>3.5700000000000003E-2</v>
      </c>
      <c r="V154" s="689">
        <f t="shared" ca="1" si="44"/>
        <v>3.4041000000000001</v>
      </c>
      <c r="W154" s="689">
        <f t="shared" ca="1" si="45"/>
        <v>7.1843000000000004</v>
      </c>
      <c r="X154" s="689">
        <f t="shared" ca="1" si="46"/>
        <v>64.301500000000004</v>
      </c>
    </row>
    <row r="155" spans="1:24">
      <c r="A155" s="142" t="str">
        <f>面积清单!H132</f>
        <v>2单元701</v>
      </c>
      <c r="B155" s="52">
        <f>面积清单!J132</f>
        <v>182.4</v>
      </c>
      <c r="C155" s="21">
        <f t="shared" si="47"/>
        <v>0.99</v>
      </c>
      <c r="D155" s="635" t="s">
        <v>3968</v>
      </c>
      <c r="E155" s="21">
        <f t="shared" si="48"/>
        <v>1.02</v>
      </c>
      <c r="F155" s="635"/>
      <c r="G155" s="21">
        <f t="shared" si="49"/>
        <v>1</v>
      </c>
      <c r="H155" s="635"/>
      <c r="I155" s="21">
        <f t="shared" si="50"/>
        <v>1</v>
      </c>
      <c r="J155" s="635"/>
      <c r="K155" s="21">
        <f t="shared" si="51"/>
        <v>1</v>
      </c>
      <c r="L155" s="635"/>
      <c r="M155" s="21">
        <f t="shared" si="52"/>
        <v>1</v>
      </c>
      <c r="N155" s="635"/>
      <c r="O155" s="21">
        <f t="shared" si="53"/>
        <v>1</v>
      </c>
      <c r="P155" s="635"/>
      <c r="Q155" s="21">
        <f t="shared" si="54"/>
        <v>1</v>
      </c>
      <c r="R155" s="21">
        <f t="shared" ca="1" si="55"/>
        <v>9546</v>
      </c>
      <c r="S155" s="634">
        <f t="shared" ca="1" si="41"/>
        <v>174.119</v>
      </c>
      <c r="T155" s="689">
        <f t="shared" ca="1" si="42"/>
        <v>9.1204999999999998</v>
      </c>
      <c r="U155" s="689">
        <f t="shared" ca="1" si="43"/>
        <v>8.7099999999999997E-2</v>
      </c>
      <c r="V155" s="689">
        <f t="shared" ca="1" si="44"/>
        <v>8.2913999999999994</v>
      </c>
      <c r="W155" s="689">
        <f t="shared" ca="1" si="45"/>
        <v>17.498999999999999</v>
      </c>
      <c r="X155" s="689">
        <f t="shared" ca="1" si="46"/>
        <v>156.62</v>
      </c>
    </row>
    <row r="156" spans="1:24">
      <c r="A156" s="142" t="str">
        <f>面积清单!H133</f>
        <v>2单元702</v>
      </c>
      <c r="B156" s="52">
        <f>面积清单!J133</f>
        <v>75.75</v>
      </c>
      <c r="C156" s="21">
        <f t="shared" si="47"/>
        <v>1</v>
      </c>
      <c r="D156" s="635" t="s">
        <v>3968</v>
      </c>
      <c r="E156" s="21">
        <f t="shared" si="48"/>
        <v>1.02</v>
      </c>
      <c r="F156" s="635"/>
      <c r="G156" s="21">
        <f t="shared" si="49"/>
        <v>1</v>
      </c>
      <c r="H156" s="635"/>
      <c r="I156" s="21">
        <f t="shared" si="50"/>
        <v>1</v>
      </c>
      <c r="J156" s="635"/>
      <c r="K156" s="21">
        <f t="shared" si="51"/>
        <v>1</v>
      </c>
      <c r="L156" s="635"/>
      <c r="M156" s="21">
        <f t="shared" si="52"/>
        <v>1</v>
      </c>
      <c r="N156" s="635"/>
      <c r="O156" s="21">
        <f t="shared" si="53"/>
        <v>1</v>
      </c>
      <c r="P156" s="635"/>
      <c r="Q156" s="21">
        <f t="shared" si="54"/>
        <v>1</v>
      </c>
      <c r="R156" s="21">
        <f t="shared" ca="1" si="55"/>
        <v>9642</v>
      </c>
      <c r="S156" s="634">
        <f t="shared" ca="1" si="41"/>
        <v>73.038200000000003</v>
      </c>
      <c r="T156" s="689">
        <f t="shared" ca="1" si="42"/>
        <v>3.8258000000000001</v>
      </c>
      <c r="U156" s="689">
        <f t="shared" ca="1" si="43"/>
        <v>3.6499999999999998E-2</v>
      </c>
      <c r="V156" s="689">
        <f t="shared" ca="1" si="44"/>
        <v>3.4780000000000002</v>
      </c>
      <c r="W156" s="689">
        <f t="shared" ca="1" si="45"/>
        <v>7.3403000000000009</v>
      </c>
      <c r="X156" s="689">
        <f t="shared" ca="1" si="46"/>
        <v>65.697900000000004</v>
      </c>
    </row>
    <row r="157" spans="1:24">
      <c r="A157" s="142" t="str">
        <f>面积清单!H134</f>
        <v>2单元703</v>
      </c>
      <c r="B157" s="52">
        <f>面积清单!J134</f>
        <v>81.709999999999994</v>
      </c>
      <c r="C157" s="21">
        <f t="shared" si="47"/>
        <v>1</v>
      </c>
      <c r="D157" s="635" t="s">
        <v>3968</v>
      </c>
      <c r="E157" s="21">
        <f t="shared" si="48"/>
        <v>1.02</v>
      </c>
      <c r="F157" s="635"/>
      <c r="G157" s="21">
        <f t="shared" si="49"/>
        <v>1</v>
      </c>
      <c r="H157" s="635"/>
      <c r="I157" s="21">
        <f t="shared" si="50"/>
        <v>1</v>
      </c>
      <c r="J157" s="635"/>
      <c r="K157" s="21">
        <f t="shared" si="51"/>
        <v>1</v>
      </c>
      <c r="L157" s="635"/>
      <c r="M157" s="21">
        <f t="shared" si="52"/>
        <v>1</v>
      </c>
      <c r="N157" s="635"/>
      <c r="O157" s="21">
        <f t="shared" si="53"/>
        <v>1</v>
      </c>
      <c r="P157" s="635"/>
      <c r="Q157" s="21">
        <f t="shared" si="54"/>
        <v>1</v>
      </c>
      <c r="R157" s="21">
        <f t="shared" ca="1" si="55"/>
        <v>9642</v>
      </c>
      <c r="S157" s="634">
        <f t="shared" ca="1" si="41"/>
        <v>78.784800000000004</v>
      </c>
      <c r="T157" s="689">
        <f t="shared" ca="1" si="42"/>
        <v>4.1268000000000002</v>
      </c>
      <c r="U157" s="689">
        <f t="shared" ca="1" si="43"/>
        <v>3.9399999999999998E-2</v>
      </c>
      <c r="V157" s="689">
        <f t="shared" ca="1" si="44"/>
        <v>3.7517</v>
      </c>
      <c r="W157" s="689">
        <f t="shared" ca="1" si="45"/>
        <v>7.9178999999999995</v>
      </c>
      <c r="X157" s="689">
        <f t="shared" ca="1" si="46"/>
        <v>70.866900000000001</v>
      </c>
    </row>
    <row r="158" spans="1:24">
      <c r="A158" s="142" t="str">
        <f>面积清单!H135</f>
        <v>2单元704</v>
      </c>
      <c r="B158" s="52">
        <f>面积清单!J135</f>
        <v>76.430000000000007</v>
      </c>
      <c r="C158" s="21">
        <f t="shared" si="47"/>
        <v>1</v>
      </c>
      <c r="D158" s="635" t="s">
        <v>3968</v>
      </c>
      <c r="E158" s="21">
        <f t="shared" si="48"/>
        <v>1.02</v>
      </c>
      <c r="F158" s="635"/>
      <c r="G158" s="21">
        <f t="shared" si="49"/>
        <v>1</v>
      </c>
      <c r="H158" s="635"/>
      <c r="I158" s="21">
        <f t="shared" si="50"/>
        <v>1</v>
      </c>
      <c r="J158" s="635"/>
      <c r="K158" s="21">
        <f t="shared" si="51"/>
        <v>1</v>
      </c>
      <c r="L158" s="635"/>
      <c r="M158" s="21">
        <f t="shared" si="52"/>
        <v>1</v>
      </c>
      <c r="N158" s="635"/>
      <c r="O158" s="21">
        <f t="shared" si="53"/>
        <v>1</v>
      </c>
      <c r="P158" s="635"/>
      <c r="Q158" s="21">
        <f t="shared" si="54"/>
        <v>1</v>
      </c>
      <c r="R158" s="21">
        <f t="shared" ca="1" si="55"/>
        <v>9642</v>
      </c>
      <c r="S158" s="634">
        <f t="shared" ca="1" si="41"/>
        <v>73.693799999999996</v>
      </c>
      <c r="T158" s="689">
        <f t="shared" ca="1" si="42"/>
        <v>3.8601999999999999</v>
      </c>
      <c r="U158" s="689">
        <f t="shared" ca="1" si="43"/>
        <v>3.6799999999999999E-2</v>
      </c>
      <c r="V158" s="689">
        <f t="shared" ca="1" si="44"/>
        <v>3.5091999999999999</v>
      </c>
      <c r="W158" s="689">
        <f t="shared" ca="1" si="45"/>
        <v>7.4062000000000001</v>
      </c>
      <c r="X158" s="689">
        <f t="shared" ca="1" si="46"/>
        <v>66.287599999999998</v>
      </c>
    </row>
    <row r="159" spans="1:24">
      <c r="A159" s="142" t="str">
        <f>面积清单!H136</f>
        <v>2单元705</v>
      </c>
      <c r="B159" s="52">
        <f>面积清单!J136</f>
        <v>73</v>
      </c>
      <c r="C159" s="21">
        <f t="shared" si="47"/>
        <v>1</v>
      </c>
      <c r="D159" s="635" t="s">
        <v>3968</v>
      </c>
      <c r="E159" s="21">
        <f t="shared" si="48"/>
        <v>1.02</v>
      </c>
      <c r="F159" s="635"/>
      <c r="G159" s="21">
        <f t="shared" si="49"/>
        <v>1</v>
      </c>
      <c r="H159" s="635"/>
      <c r="I159" s="21">
        <f t="shared" si="50"/>
        <v>1</v>
      </c>
      <c r="J159" s="635"/>
      <c r="K159" s="21">
        <f t="shared" si="51"/>
        <v>1</v>
      </c>
      <c r="L159" s="635"/>
      <c r="M159" s="21">
        <f t="shared" si="52"/>
        <v>1</v>
      </c>
      <c r="N159" s="635"/>
      <c r="O159" s="21">
        <f t="shared" si="53"/>
        <v>1</v>
      </c>
      <c r="P159" s="635"/>
      <c r="Q159" s="21">
        <f t="shared" si="54"/>
        <v>1</v>
      </c>
      <c r="R159" s="21">
        <f t="shared" ca="1" si="55"/>
        <v>9642</v>
      </c>
      <c r="S159" s="634">
        <f t="shared" ca="1" si="41"/>
        <v>70.386600000000001</v>
      </c>
      <c r="T159" s="689">
        <f t="shared" ca="1" si="42"/>
        <v>3.6869000000000001</v>
      </c>
      <c r="U159" s="689">
        <f t="shared" ca="1" si="43"/>
        <v>3.5200000000000002E-2</v>
      </c>
      <c r="V159" s="689">
        <f t="shared" ca="1" si="44"/>
        <v>3.3517000000000001</v>
      </c>
      <c r="W159" s="689">
        <f t="shared" ca="1" si="45"/>
        <v>7.0738000000000003</v>
      </c>
      <c r="X159" s="689">
        <f t="shared" ca="1" si="46"/>
        <v>63.312800000000003</v>
      </c>
    </row>
    <row r="160" spans="1:24">
      <c r="A160" s="142" t="str">
        <f>面积清单!H137</f>
        <v>2单元706</v>
      </c>
      <c r="B160" s="52">
        <f>面积清单!J137</f>
        <v>78.45</v>
      </c>
      <c r="C160" s="21">
        <f t="shared" si="47"/>
        <v>1</v>
      </c>
      <c r="D160" s="635" t="s">
        <v>3968</v>
      </c>
      <c r="E160" s="21">
        <f t="shared" si="48"/>
        <v>1.02</v>
      </c>
      <c r="F160" s="635"/>
      <c r="G160" s="21">
        <f t="shared" si="49"/>
        <v>1</v>
      </c>
      <c r="H160" s="635"/>
      <c r="I160" s="21">
        <f t="shared" si="50"/>
        <v>1</v>
      </c>
      <c r="J160" s="635"/>
      <c r="K160" s="21">
        <f t="shared" si="51"/>
        <v>1</v>
      </c>
      <c r="L160" s="635"/>
      <c r="M160" s="21">
        <f t="shared" si="52"/>
        <v>1</v>
      </c>
      <c r="N160" s="635"/>
      <c r="O160" s="21">
        <f t="shared" si="53"/>
        <v>1</v>
      </c>
      <c r="P160" s="635"/>
      <c r="Q160" s="21">
        <f t="shared" si="54"/>
        <v>1</v>
      </c>
      <c r="R160" s="21">
        <f t="shared" ca="1" si="55"/>
        <v>9642</v>
      </c>
      <c r="S160" s="634">
        <f t="shared" ca="1" si="41"/>
        <v>75.641499999999994</v>
      </c>
      <c r="T160" s="689">
        <f t="shared" ca="1" si="42"/>
        <v>3.9622000000000002</v>
      </c>
      <c r="U160" s="689">
        <f t="shared" ca="1" si="43"/>
        <v>3.78E-2</v>
      </c>
      <c r="V160" s="689">
        <f t="shared" ca="1" si="44"/>
        <v>3.6019999999999999</v>
      </c>
      <c r="W160" s="689">
        <f t="shared" ca="1" si="45"/>
        <v>7.6020000000000003</v>
      </c>
      <c r="X160" s="689">
        <f t="shared" ca="1" si="46"/>
        <v>68.03949999999999</v>
      </c>
    </row>
    <row r="161" spans="1:24">
      <c r="A161" s="142" t="str">
        <f>面积清单!H138</f>
        <v>2单元707</v>
      </c>
      <c r="B161" s="52">
        <f>面积清单!J138</f>
        <v>75.959999999999994</v>
      </c>
      <c r="C161" s="21">
        <f t="shared" si="47"/>
        <v>1</v>
      </c>
      <c r="D161" s="635" t="s">
        <v>3968</v>
      </c>
      <c r="E161" s="21">
        <f t="shared" si="48"/>
        <v>1.02</v>
      </c>
      <c r="F161" s="635"/>
      <c r="G161" s="21">
        <f t="shared" si="49"/>
        <v>1</v>
      </c>
      <c r="H161" s="635"/>
      <c r="I161" s="21">
        <f t="shared" si="50"/>
        <v>1</v>
      </c>
      <c r="J161" s="635"/>
      <c r="K161" s="21">
        <f t="shared" si="51"/>
        <v>1</v>
      </c>
      <c r="L161" s="635"/>
      <c r="M161" s="21">
        <f t="shared" si="52"/>
        <v>1</v>
      </c>
      <c r="N161" s="635"/>
      <c r="O161" s="21">
        <f t="shared" si="53"/>
        <v>1</v>
      </c>
      <c r="P161" s="635"/>
      <c r="Q161" s="21">
        <f t="shared" si="54"/>
        <v>1</v>
      </c>
      <c r="R161" s="21">
        <f t="shared" ca="1" si="55"/>
        <v>9642</v>
      </c>
      <c r="S161" s="634">
        <f t="shared" ca="1" si="41"/>
        <v>73.240600000000001</v>
      </c>
      <c r="T161" s="689">
        <f t="shared" ca="1" si="42"/>
        <v>3.8363999999999998</v>
      </c>
      <c r="U161" s="689">
        <f t="shared" ca="1" si="43"/>
        <v>3.6600000000000001E-2</v>
      </c>
      <c r="V161" s="689">
        <f t="shared" ca="1" si="44"/>
        <v>3.4876</v>
      </c>
      <c r="W161" s="689">
        <f t="shared" ca="1" si="45"/>
        <v>7.3605999999999998</v>
      </c>
      <c r="X161" s="689">
        <f t="shared" ca="1" si="46"/>
        <v>65.88</v>
      </c>
    </row>
    <row r="162" spans="1:24">
      <c r="A162" s="142" t="str">
        <f>面积清单!H139</f>
        <v>2单元708</v>
      </c>
      <c r="B162" s="52">
        <f>面积清单!J139</f>
        <v>75.959999999999994</v>
      </c>
      <c r="C162" s="21">
        <f t="shared" si="47"/>
        <v>1</v>
      </c>
      <c r="D162" s="635" t="s">
        <v>3968</v>
      </c>
      <c r="E162" s="21">
        <f t="shared" si="48"/>
        <v>1.02</v>
      </c>
      <c r="F162" s="635"/>
      <c r="G162" s="21">
        <f t="shared" si="49"/>
        <v>1</v>
      </c>
      <c r="H162" s="635"/>
      <c r="I162" s="21">
        <f t="shared" si="50"/>
        <v>1</v>
      </c>
      <c r="J162" s="635"/>
      <c r="K162" s="21">
        <f t="shared" si="51"/>
        <v>1</v>
      </c>
      <c r="L162" s="635"/>
      <c r="M162" s="21">
        <f t="shared" si="52"/>
        <v>1</v>
      </c>
      <c r="N162" s="635"/>
      <c r="O162" s="21">
        <f t="shared" si="53"/>
        <v>1</v>
      </c>
      <c r="P162" s="635"/>
      <c r="Q162" s="21">
        <f t="shared" si="54"/>
        <v>1</v>
      </c>
      <c r="R162" s="21">
        <f t="shared" ca="1" si="55"/>
        <v>9642</v>
      </c>
      <c r="S162" s="634">
        <f t="shared" ca="1" si="41"/>
        <v>73.240600000000001</v>
      </c>
      <c r="T162" s="689">
        <f t="shared" ca="1" si="42"/>
        <v>3.8363999999999998</v>
      </c>
      <c r="U162" s="689">
        <f t="shared" ca="1" si="43"/>
        <v>3.6600000000000001E-2</v>
      </c>
      <c r="V162" s="689">
        <f t="shared" ca="1" si="44"/>
        <v>3.4876</v>
      </c>
      <c r="W162" s="689">
        <f t="shared" ca="1" si="45"/>
        <v>7.3605999999999998</v>
      </c>
      <c r="X162" s="689">
        <f t="shared" ca="1" si="46"/>
        <v>65.88</v>
      </c>
    </row>
    <row r="163" spans="1:24">
      <c r="A163" s="142" t="str">
        <f>面积清单!H140</f>
        <v>2单元709</v>
      </c>
      <c r="B163" s="52">
        <f>面积清单!J140</f>
        <v>78.45</v>
      </c>
      <c r="C163" s="21">
        <f t="shared" si="47"/>
        <v>1</v>
      </c>
      <c r="D163" s="635" t="s">
        <v>3968</v>
      </c>
      <c r="E163" s="21">
        <f t="shared" si="48"/>
        <v>1.02</v>
      </c>
      <c r="F163" s="635"/>
      <c r="G163" s="21">
        <f t="shared" si="49"/>
        <v>1</v>
      </c>
      <c r="H163" s="635"/>
      <c r="I163" s="21">
        <f t="shared" si="50"/>
        <v>1</v>
      </c>
      <c r="J163" s="635"/>
      <c r="K163" s="21">
        <f t="shared" si="51"/>
        <v>1</v>
      </c>
      <c r="L163" s="635"/>
      <c r="M163" s="21">
        <f t="shared" si="52"/>
        <v>1</v>
      </c>
      <c r="N163" s="635"/>
      <c r="O163" s="21">
        <f t="shared" si="53"/>
        <v>1</v>
      </c>
      <c r="P163" s="635"/>
      <c r="Q163" s="21">
        <f t="shared" si="54"/>
        <v>1</v>
      </c>
      <c r="R163" s="21">
        <f t="shared" ca="1" si="55"/>
        <v>9642</v>
      </c>
      <c r="S163" s="634">
        <f t="shared" ca="1" si="41"/>
        <v>75.641499999999994</v>
      </c>
      <c r="T163" s="689">
        <f t="shared" ca="1" si="42"/>
        <v>3.9622000000000002</v>
      </c>
      <c r="U163" s="689">
        <f t="shared" ca="1" si="43"/>
        <v>3.78E-2</v>
      </c>
      <c r="V163" s="689">
        <f t="shared" ca="1" si="44"/>
        <v>3.6019999999999999</v>
      </c>
      <c r="W163" s="689">
        <f t="shared" ca="1" si="45"/>
        <v>7.6020000000000003</v>
      </c>
      <c r="X163" s="689">
        <f t="shared" ca="1" si="46"/>
        <v>68.03949999999999</v>
      </c>
    </row>
    <row r="164" spans="1:24">
      <c r="A164" s="142" t="str">
        <f>面积清单!H141</f>
        <v>2单元710</v>
      </c>
      <c r="B164" s="52">
        <f>面积清单!J141</f>
        <v>73.47</v>
      </c>
      <c r="C164" s="21">
        <f t="shared" si="47"/>
        <v>1</v>
      </c>
      <c r="D164" s="635" t="s">
        <v>3968</v>
      </c>
      <c r="E164" s="21">
        <f t="shared" si="48"/>
        <v>1.02</v>
      </c>
      <c r="F164" s="635"/>
      <c r="G164" s="21">
        <f t="shared" si="49"/>
        <v>1</v>
      </c>
      <c r="H164" s="635"/>
      <c r="I164" s="21">
        <f t="shared" si="50"/>
        <v>1</v>
      </c>
      <c r="J164" s="635"/>
      <c r="K164" s="21">
        <f t="shared" si="51"/>
        <v>1</v>
      </c>
      <c r="L164" s="635"/>
      <c r="M164" s="21">
        <f t="shared" si="52"/>
        <v>1</v>
      </c>
      <c r="N164" s="635"/>
      <c r="O164" s="21">
        <f t="shared" si="53"/>
        <v>1</v>
      </c>
      <c r="P164" s="635"/>
      <c r="Q164" s="21">
        <f t="shared" si="54"/>
        <v>1</v>
      </c>
      <c r="R164" s="21">
        <f t="shared" ca="1" si="55"/>
        <v>9642</v>
      </c>
      <c r="S164" s="634">
        <f t="shared" ca="1" si="41"/>
        <v>70.839799999999997</v>
      </c>
      <c r="T164" s="689">
        <f t="shared" ca="1" si="42"/>
        <v>3.7107000000000001</v>
      </c>
      <c r="U164" s="689">
        <f t="shared" ca="1" si="43"/>
        <v>3.5400000000000001E-2</v>
      </c>
      <c r="V164" s="689">
        <f t="shared" ca="1" si="44"/>
        <v>3.3733</v>
      </c>
      <c r="W164" s="689">
        <f t="shared" ca="1" si="45"/>
        <v>7.1194000000000006</v>
      </c>
      <c r="X164" s="689">
        <f t="shared" ca="1" si="46"/>
        <v>63.720399999999998</v>
      </c>
    </row>
    <row r="165" spans="1:24">
      <c r="A165" s="142" t="str">
        <f>面积清单!H142</f>
        <v>2单元711</v>
      </c>
      <c r="B165" s="52">
        <f>面积清单!J142</f>
        <v>75.959999999999994</v>
      </c>
      <c r="C165" s="21">
        <f t="shared" si="47"/>
        <v>1</v>
      </c>
      <c r="D165" s="635" t="s">
        <v>3968</v>
      </c>
      <c r="E165" s="21">
        <f t="shared" si="48"/>
        <v>1.02</v>
      </c>
      <c r="F165" s="635"/>
      <c r="G165" s="21">
        <f t="shared" si="49"/>
        <v>1</v>
      </c>
      <c r="H165" s="635"/>
      <c r="I165" s="21">
        <f t="shared" si="50"/>
        <v>1</v>
      </c>
      <c r="J165" s="635"/>
      <c r="K165" s="21">
        <f t="shared" si="51"/>
        <v>1</v>
      </c>
      <c r="L165" s="635"/>
      <c r="M165" s="21">
        <f t="shared" si="52"/>
        <v>1</v>
      </c>
      <c r="N165" s="635"/>
      <c r="O165" s="21">
        <f t="shared" si="53"/>
        <v>1</v>
      </c>
      <c r="P165" s="635"/>
      <c r="Q165" s="21">
        <f t="shared" si="54"/>
        <v>1</v>
      </c>
      <c r="R165" s="21">
        <f t="shared" ca="1" si="55"/>
        <v>9642</v>
      </c>
      <c r="S165" s="634">
        <f t="shared" ca="1" si="41"/>
        <v>73.240600000000001</v>
      </c>
      <c r="T165" s="689">
        <f t="shared" ca="1" si="42"/>
        <v>3.8363999999999998</v>
      </c>
      <c r="U165" s="689">
        <f t="shared" ca="1" si="43"/>
        <v>3.6600000000000001E-2</v>
      </c>
      <c r="V165" s="689">
        <f t="shared" ca="1" si="44"/>
        <v>3.4876</v>
      </c>
      <c r="W165" s="689">
        <f t="shared" ca="1" si="45"/>
        <v>7.3605999999999998</v>
      </c>
      <c r="X165" s="689">
        <f t="shared" ca="1" si="46"/>
        <v>65.88</v>
      </c>
    </row>
    <row r="166" spans="1:24">
      <c r="A166" s="142" t="str">
        <f>面积清单!H143</f>
        <v>2单元712</v>
      </c>
      <c r="B166" s="52">
        <f>面积清单!J143</f>
        <v>83.52</v>
      </c>
      <c r="C166" s="21">
        <f t="shared" si="47"/>
        <v>1</v>
      </c>
      <c r="D166" s="635" t="s">
        <v>3968</v>
      </c>
      <c r="E166" s="21">
        <f t="shared" si="48"/>
        <v>1.02</v>
      </c>
      <c r="F166" s="635"/>
      <c r="G166" s="21">
        <f t="shared" si="49"/>
        <v>1</v>
      </c>
      <c r="H166" s="635"/>
      <c r="I166" s="21">
        <f t="shared" si="50"/>
        <v>1</v>
      </c>
      <c r="J166" s="635"/>
      <c r="K166" s="21">
        <f t="shared" si="51"/>
        <v>1</v>
      </c>
      <c r="L166" s="635"/>
      <c r="M166" s="21">
        <f t="shared" si="52"/>
        <v>1</v>
      </c>
      <c r="N166" s="635"/>
      <c r="O166" s="21">
        <f t="shared" si="53"/>
        <v>1</v>
      </c>
      <c r="P166" s="635"/>
      <c r="Q166" s="21">
        <f t="shared" si="54"/>
        <v>1</v>
      </c>
      <c r="R166" s="21">
        <f t="shared" ca="1" si="55"/>
        <v>9642</v>
      </c>
      <c r="S166" s="634">
        <f t="shared" ca="1" si="41"/>
        <v>80.53</v>
      </c>
      <c r="T166" s="689">
        <f t="shared" ca="1" si="42"/>
        <v>4.2182000000000004</v>
      </c>
      <c r="U166" s="689">
        <f t="shared" ca="1" si="43"/>
        <v>4.0300000000000002E-2</v>
      </c>
      <c r="V166" s="689">
        <f t="shared" ca="1" si="44"/>
        <v>3.8348</v>
      </c>
      <c r="W166" s="689">
        <f t="shared" ca="1" si="45"/>
        <v>8.093300000000001</v>
      </c>
      <c r="X166" s="689">
        <f t="shared" ca="1" si="46"/>
        <v>72.436700000000002</v>
      </c>
    </row>
    <row r="167" spans="1:24">
      <c r="A167" s="142" t="str">
        <f>面积清单!H144</f>
        <v>2单元713</v>
      </c>
      <c r="B167" s="52">
        <f>面积清单!J144</f>
        <v>89.88</v>
      </c>
      <c r="C167" s="21">
        <f t="shared" si="47"/>
        <v>1</v>
      </c>
      <c r="D167" s="635" t="s">
        <v>3968</v>
      </c>
      <c r="E167" s="21">
        <f t="shared" si="48"/>
        <v>1.02</v>
      </c>
      <c r="F167" s="635"/>
      <c r="G167" s="21">
        <f t="shared" si="49"/>
        <v>1</v>
      </c>
      <c r="H167" s="635"/>
      <c r="I167" s="21">
        <f t="shared" si="50"/>
        <v>1</v>
      </c>
      <c r="J167" s="635"/>
      <c r="K167" s="21">
        <f t="shared" si="51"/>
        <v>1</v>
      </c>
      <c r="L167" s="635"/>
      <c r="M167" s="21">
        <f t="shared" si="52"/>
        <v>1</v>
      </c>
      <c r="N167" s="635"/>
      <c r="O167" s="21">
        <f t="shared" si="53"/>
        <v>1</v>
      </c>
      <c r="P167" s="635"/>
      <c r="Q167" s="21">
        <f t="shared" si="54"/>
        <v>1</v>
      </c>
      <c r="R167" s="21">
        <f t="shared" ca="1" si="55"/>
        <v>9642</v>
      </c>
      <c r="S167" s="634">
        <f t="shared" ca="1" si="41"/>
        <v>86.662300000000002</v>
      </c>
      <c r="T167" s="689">
        <f t="shared" ca="1" si="42"/>
        <v>4.5395000000000003</v>
      </c>
      <c r="U167" s="689">
        <f t="shared" ca="1" si="43"/>
        <v>4.3299999999999998E-2</v>
      </c>
      <c r="V167" s="689">
        <f t="shared" ca="1" si="44"/>
        <v>4.1268000000000002</v>
      </c>
      <c r="W167" s="689">
        <f t="shared" ca="1" si="45"/>
        <v>8.7096000000000018</v>
      </c>
      <c r="X167" s="689">
        <f t="shared" ca="1" si="46"/>
        <v>77.952699999999993</v>
      </c>
    </row>
    <row r="168" spans="1:24">
      <c r="A168" s="142" t="str">
        <f>面积清单!H145</f>
        <v>2单元714</v>
      </c>
      <c r="B168" s="52">
        <f>面积清单!J145</f>
        <v>174.94</v>
      </c>
      <c r="C168" s="21">
        <f t="shared" si="47"/>
        <v>0.99</v>
      </c>
      <c r="D168" s="635" t="s">
        <v>3968</v>
      </c>
      <c r="E168" s="21">
        <f t="shared" si="48"/>
        <v>1.02</v>
      </c>
      <c r="F168" s="635"/>
      <c r="G168" s="21">
        <f t="shared" si="49"/>
        <v>1</v>
      </c>
      <c r="H168" s="635"/>
      <c r="I168" s="21">
        <f t="shared" si="50"/>
        <v>1</v>
      </c>
      <c r="J168" s="635"/>
      <c r="K168" s="21">
        <f t="shared" si="51"/>
        <v>1</v>
      </c>
      <c r="L168" s="635"/>
      <c r="M168" s="21">
        <f t="shared" si="52"/>
        <v>1</v>
      </c>
      <c r="N168" s="635"/>
      <c r="O168" s="21">
        <f t="shared" si="53"/>
        <v>1</v>
      </c>
      <c r="P168" s="635"/>
      <c r="Q168" s="21">
        <f t="shared" si="54"/>
        <v>1</v>
      </c>
      <c r="R168" s="21">
        <f t="shared" ca="1" si="55"/>
        <v>9546</v>
      </c>
      <c r="S168" s="634">
        <f t="shared" ca="1" si="41"/>
        <v>166.99770000000001</v>
      </c>
      <c r="T168" s="689">
        <f t="shared" ca="1" si="42"/>
        <v>8.7475000000000005</v>
      </c>
      <c r="U168" s="689">
        <f t="shared" ca="1" si="43"/>
        <v>8.3500000000000005E-2</v>
      </c>
      <c r="V168" s="689">
        <f t="shared" ca="1" si="44"/>
        <v>7.9523000000000001</v>
      </c>
      <c r="W168" s="689">
        <f t="shared" ca="1" si="45"/>
        <v>16.783300000000001</v>
      </c>
      <c r="X168" s="689">
        <f t="shared" ca="1" si="46"/>
        <v>150.21440000000001</v>
      </c>
    </row>
    <row r="169" spans="1:24">
      <c r="A169" s="142" t="str">
        <f>面积清单!H146</f>
        <v>2单元715</v>
      </c>
      <c r="B169" s="52">
        <f>面积清单!J146</f>
        <v>71.61</v>
      </c>
      <c r="C169" s="21">
        <f t="shared" si="47"/>
        <v>1</v>
      </c>
      <c r="D169" s="635" t="s">
        <v>3968</v>
      </c>
      <c r="E169" s="21">
        <f t="shared" si="48"/>
        <v>1.02</v>
      </c>
      <c r="F169" s="635"/>
      <c r="G169" s="21">
        <f t="shared" si="49"/>
        <v>1</v>
      </c>
      <c r="H169" s="635"/>
      <c r="I169" s="21">
        <f t="shared" si="50"/>
        <v>1</v>
      </c>
      <c r="J169" s="635"/>
      <c r="K169" s="21">
        <f t="shared" si="51"/>
        <v>1</v>
      </c>
      <c r="L169" s="635"/>
      <c r="M169" s="21">
        <f t="shared" si="52"/>
        <v>1</v>
      </c>
      <c r="N169" s="635"/>
      <c r="O169" s="21">
        <f t="shared" si="53"/>
        <v>1</v>
      </c>
      <c r="P169" s="635"/>
      <c r="Q169" s="21">
        <f t="shared" si="54"/>
        <v>1</v>
      </c>
      <c r="R169" s="21">
        <f t="shared" ca="1" si="55"/>
        <v>9642</v>
      </c>
      <c r="S169" s="634">
        <f t="shared" ca="1" si="41"/>
        <v>69.046400000000006</v>
      </c>
      <c r="T169" s="689">
        <f t="shared" ca="1" si="42"/>
        <v>3.6166999999999998</v>
      </c>
      <c r="U169" s="689">
        <f t="shared" ca="1" si="43"/>
        <v>3.4500000000000003E-2</v>
      </c>
      <c r="V169" s="689">
        <f t="shared" ca="1" si="44"/>
        <v>3.2879</v>
      </c>
      <c r="W169" s="689">
        <f t="shared" ca="1" si="45"/>
        <v>6.9390999999999998</v>
      </c>
      <c r="X169" s="689">
        <f t="shared" ca="1" si="46"/>
        <v>62.107300000000009</v>
      </c>
    </row>
    <row r="170" spans="1:24">
      <c r="A170" s="142" t="str">
        <f>面积清单!H147</f>
        <v>2单元716</v>
      </c>
      <c r="B170" s="52">
        <f>面积清单!J147</f>
        <v>63.4</v>
      </c>
      <c r="C170" s="21">
        <f t="shared" si="47"/>
        <v>1</v>
      </c>
      <c r="D170" s="635" t="s">
        <v>3968</v>
      </c>
      <c r="E170" s="21">
        <f t="shared" si="48"/>
        <v>1.02</v>
      </c>
      <c r="F170" s="635"/>
      <c r="G170" s="21">
        <f t="shared" si="49"/>
        <v>1</v>
      </c>
      <c r="H170" s="635"/>
      <c r="I170" s="21">
        <f t="shared" si="50"/>
        <v>1</v>
      </c>
      <c r="J170" s="635"/>
      <c r="K170" s="21">
        <f t="shared" si="51"/>
        <v>1</v>
      </c>
      <c r="L170" s="635"/>
      <c r="M170" s="21">
        <f t="shared" si="52"/>
        <v>1</v>
      </c>
      <c r="N170" s="635"/>
      <c r="O170" s="21">
        <f t="shared" si="53"/>
        <v>1</v>
      </c>
      <c r="P170" s="635"/>
      <c r="Q170" s="21">
        <f t="shared" si="54"/>
        <v>1</v>
      </c>
      <c r="R170" s="21">
        <f t="shared" ca="1" si="55"/>
        <v>9642</v>
      </c>
      <c r="S170" s="634">
        <f t="shared" ca="1" si="41"/>
        <v>61.130299999999998</v>
      </c>
      <c r="T170" s="689">
        <f t="shared" ca="1" si="42"/>
        <v>3.2021000000000002</v>
      </c>
      <c r="U170" s="689">
        <f t="shared" ca="1" si="43"/>
        <v>3.0599999999999999E-2</v>
      </c>
      <c r="V170" s="689">
        <f t="shared" ca="1" si="44"/>
        <v>2.911</v>
      </c>
      <c r="W170" s="689">
        <f t="shared" ca="1" si="45"/>
        <v>6.1437000000000008</v>
      </c>
      <c r="X170" s="689">
        <f t="shared" ca="1" si="46"/>
        <v>54.986599999999996</v>
      </c>
    </row>
    <row r="171" spans="1:24">
      <c r="A171" s="142" t="str">
        <f>面积清单!H148</f>
        <v>2单元717</v>
      </c>
      <c r="B171" s="52">
        <f>面积清单!J148</f>
        <v>55.03</v>
      </c>
      <c r="C171" s="21">
        <f t="shared" si="47"/>
        <v>1</v>
      </c>
      <c r="D171" s="635" t="s">
        <v>3968</v>
      </c>
      <c r="E171" s="21">
        <f t="shared" si="48"/>
        <v>1.02</v>
      </c>
      <c r="F171" s="635"/>
      <c r="G171" s="21">
        <f t="shared" si="49"/>
        <v>1</v>
      </c>
      <c r="H171" s="635"/>
      <c r="I171" s="21">
        <f t="shared" si="50"/>
        <v>1</v>
      </c>
      <c r="J171" s="635"/>
      <c r="K171" s="21">
        <f t="shared" si="51"/>
        <v>1</v>
      </c>
      <c r="L171" s="635"/>
      <c r="M171" s="21">
        <f t="shared" si="52"/>
        <v>1</v>
      </c>
      <c r="N171" s="635"/>
      <c r="O171" s="21">
        <f t="shared" si="53"/>
        <v>1</v>
      </c>
      <c r="P171" s="635"/>
      <c r="Q171" s="21">
        <f t="shared" si="54"/>
        <v>1</v>
      </c>
      <c r="R171" s="21">
        <f t="shared" ca="1" si="55"/>
        <v>9642</v>
      </c>
      <c r="S171" s="634">
        <f t="shared" ca="1" si="41"/>
        <v>53.059899999999999</v>
      </c>
      <c r="T171" s="689">
        <f t="shared" ca="1" si="42"/>
        <v>2.7793000000000001</v>
      </c>
      <c r="U171" s="689">
        <f t="shared" ca="1" si="43"/>
        <v>2.6499999999999999E-2</v>
      </c>
      <c r="V171" s="689">
        <f t="shared" ca="1" si="44"/>
        <v>2.5266999999999999</v>
      </c>
      <c r="W171" s="689">
        <f t="shared" ca="1" si="45"/>
        <v>5.3324999999999996</v>
      </c>
      <c r="X171" s="689">
        <f t="shared" ca="1" si="46"/>
        <v>47.727400000000003</v>
      </c>
    </row>
    <row r="172" spans="1:24">
      <c r="A172" s="142" t="str">
        <f>面积清单!H149</f>
        <v>2单元718</v>
      </c>
      <c r="B172" s="52">
        <f>面积清单!J149</f>
        <v>55.03</v>
      </c>
      <c r="C172" s="21">
        <f t="shared" si="47"/>
        <v>1</v>
      </c>
      <c r="D172" s="635" t="s">
        <v>3968</v>
      </c>
      <c r="E172" s="21">
        <f t="shared" si="48"/>
        <v>1.02</v>
      </c>
      <c r="F172" s="635"/>
      <c r="G172" s="21">
        <f t="shared" si="49"/>
        <v>1</v>
      </c>
      <c r="H172" s="635"/>
      <c r="I172" s="21">
        <f t="shared" si="50"/>
        <v>1</v>
      </c>
      <c r="J172" s="635"/>
      <c r="K172" s="21">
        <f t="shared" si="51"/>
        <v>1</v>
      </c>
      <c r="L172" s="635"/>
      <c r="M172" s="21">
        <f t="shared" si="52"/>
        <v>1</v>
      </c>
      <c r="N172" s="635"/>
      <c r="O172" s="21">
        <f t="shared" si="53"/>
        <v>1</v>
      </c>
      <c r="P172" s="635"/>
      <c r="Q172" s="21">
        <f t="shared" si="54"/>
        <v>1</v>
      </c>
      <c r="R172" s="21">
        <f t="shared" ca="1" si="55"/>
        <v>9642</v>
      </c>
      <c r="S172" s="634">
        <f t="shared" ca="1" si="41"/>
        <v>53.059899999999999</v>
      </c>
      <c r="T172" s="689">
        <f t="shared" ca="1" si="42"/>
        <v>2.7793000000000001</v>
      </c>
      <c r="U172" s="689">
        <f t="shared" ca="1" si="43"/>
        <v>2.6499999999999999E-2</v>
      </c>
      <c r="V172" s="689">
        <f t="shared" ca="1" si="44"/>
        <v>2.5266999999999999</v>
      </c>
      <c r="W172" s="689">
        <f t="shared" ca="1" si="45"/>
        <v>5.3324999999999996</v>
      </c>
      <c r="X172" s="689">
        <f t="shared" ca="1" si="46"/>
        <v>47.727400000000003</v>
      </c>
    </row>
    <row r="173" spans="1:24">
      <c r="A173" s="142" t="str">
        <f>面积清单!H150</f>
        <v>2单元719</v>
      </c>
      <c r="B173" s="52">
        <f>面积清单!J150</f>
        <v>55.03</v>
      </c>
      <c r="C173" s="21">
        <f t="shared" si="47"/>
        <v>1</v>
      </c>
      <c r="D173" s="635" t="s">
        <v>3968</v>
      </c>
      <c r="E173" s="21">
        <f t="shared" si="48"/>
        <v>1.02</v>
      </c>
      <c r="F173" s="635"/>
      <c r="G173" s="21">
        <f t="shared" si="49"/>
        <v>1</v>
      </c>
      <c r="H173" s="635"/>
      <c r="I173" s="21">
        <f t="shared" si="50"/>
        <v>1</v>
      </c>
      <c r="J173" s="635"/>
      <c r="K173" s="21">
        <f t="shared" si="51"/>
        <v>1</v>
      </c>
      <c r="L173" s="635"/>
      <c r="M173" s="21">
        <f t="shared" si="52"/>
        <v>1</v>
      </c>
      <c r="N173" s="635"/>
      <c r="O173" s="21">
        <f t="shared" si="53"/>
        <v>1</v>
      </c>
      <c r="P173" s="635"/>
      <c r="Q173" s="21">
        <f t="shared" si="54"/>
        <v>1</v>
      </c>
      <c r="R173" s="21">
        <f t="shared" ca="1" si="55"/>
        <v>9642</v>
      </c>
      <c r="S173" s="634">
        <f t="shared" ca="1" si="41"/>
        <v>53.059899999999999</v>
      </c>
      <c r="T173" s="689">
        <f t="shared" ca="1" si="42"/>
        <v>2.7793000000000001</v>
      </c>
      <c r="U173" s="689">
        <f t="shared" ca="1" si="43"/>
        <v>2.6499999999999999E-2</v>
      </c>
      <c r="V173" s="689">
        <f t="shared" ca="1" si="44"/>
        <v>2.5266999999999999</v>
      </c>
      <c r="W173" s="689">
        <f t="shared" ca="1" si="45"/>
        <v>5.3324999999999996</v>
      </c>
      <c r="X173" s="689">
        <f t="shared" ca="1" si="46"/>
        <v>47.727400000000003</v>
      </c>
    </row>
    <row r="174" spans="1:24">
      <c r="A174" s="142" t="str">
        <f>面积清单!H151</f>
        <v>2单元720</v>
      </c>
      <c r="B174" s="52">
        <f>面积清单!J151</f>
        <v>55.03</v>
      </c>
      <c r="C174" s="21">
        <f t="shared" si="47"/>
        <v>1</v>
      </c>
      <c r="D174" s="635" t="s">
        <v>3968</v>
      </c>
      <c r="E174" s="21">
        <f t="shared" si="48"/>
        <v>1.02</v>
      </c>
      <c r="F174" s="635"/>
      <c r="G174" s="21">
        <f t="shared" si="49"/>
        <v>1</v>
      </c>
      <c r="H174" s="635"/>
      <c r="I174" s="21">
        <f t="shared" si="50"/>
        <v>1</v>
      </c>
      <c r="J174" s="635"/>
      <c r="K174" s="21">
        <f t="shared" si="51"/>
        <v>1</v>
      </c>
      <c r="L174" s="635"/>
      <c r="M174" s="21">
        <f t="shared" si="52"/>
        <v>1</v>
      </c>
      <c r="N174" s="635"/>
      <c r="O174" s="21">
        <f t="shared" si="53"/>
        <v>1</v>
      </c>
      <c r="P174" s="635"/>
      <c r="Q174" s="21">
        <f t="shared" si="54"/>
        <v>1</v>
      </c>
      <c r="R174" s="21">
        <f t="shared" ca="1" si="55"/>
        <v>9642</v>
      </c>
      <c r="S174" s="634">
        <f t="shared" ca="1" si="41"/>
        <v>53.059899999999999</v>
      </c>
      <c r="T174" s="689">
        <f t="shared" ca="1" si="42"/>
        <v>2.7793000000000001</v>
      </c>
      <c r="U174" s="689">
        <f t="shared" ca="1" si="43"/>
        <v>2.6499999999999999E-2</v>
      </c>
      <c r="V174" s="689">
        <f t="shared" ca="1" si="44"/>
        <v>2.5266999999999999</v>
      </c>
      <c r="W174" s="689">
        <f t="shared" ca="1" si="45"/>
        <v>5.3324999999999996</v>
      </c>
      <c r="X174" s="689">
        <f t="shared" ca="1" si="46"/>
        <v>47.727400000000003</v>
      </c>
    </row>
    <row r="175" spans="1:24">
      <c r="A175" s="142" t="str">
        <f>面积清单!H152</f>
        <v>2单元721</v>
      </c>
      <c r="B175" s="52">
        <f>面积清单!J152</f>
        <v>55.03</v>
      </c>
      <c r="C175" s="21">
        <f t="shared" si="47"/>
        <v>1</v>
      </c>
      <c r="D175" s="635" t="s">
        <v>3968</v>
      </c>
      <c r="E175" s="21">
        <f t="shared" si="48"/>
        <v>1.02</v>
      </c>
      <c r="F175" s="635"/>
      <c r="G175" s="21">
        <f t="shared" si="49"/>
        <v>1</v>
      </c>
      <c r="H175" s="635"/>
      <c r="I175" s="21">
        <f t="shared" si="50"/>
        <v>1</v>
      </c>
      <c r="J175" s="635"/>
      <c r="K175" s="21">
        <f t="shared" si="51"/>
        <v>1</v>
      </c>
      <c r="L175" s="635"/>
      <c r="M175" s="21">
        <f t="shared" si="52"/>
        <v>1</v>
      </c>
      <c r="N175" s="635"/>
      <c r="O175" s="21">
        <f t="shared" si="53"/>
        <v>1</v>
      </c>
      <c r="P175" s="635"/>
      <c r="Q175" s="21">
        <f t="shared" si="54"/>
        <v>1</v>
      </c>
      <c r="R175" s="21">
        <f t="shared" ca="1" si="55"/>
        <v>9642</v>
      </c>
      <c r="S175" s="634">
        <f t="shared" ca="1" si="41"/>
        <v>53.059899999999999</v>
      </c>
      <c r="T175" s="689">
        <f t="shared" ca="1" si="42"/>
        <v>2.7793000000000001</v>
      </c>
      <c r="U175" s="689">
        <f t="shared" ca="1" si="43"/>
        <v>2.6499999999999999E-2</v>
      </c>
      <c r="V175" s="689">
        <f t="shared" ca="1" si="44"/>
        <v>2.5266999999999999</v>
      </c>
      <c r="W175" s="689">
        <f t="shared" ca="1" si="45"/>
        <v>5.3324999999999996</v>
      </c>
      <c r="X175" s="689">
        <f t="shared" ca="1" si="46"/>
        <v>47.727400000000003</v>
      </c>
    </row>
    <row r="176" spans="1:24">
      <c r="A176" s="142" t="str">
        <f>面积清单!H153</f>
        <v>2单元722</v>
      </c>
      <c r="B176" s="52">
        <f>面积清单!J153</f>
        <v>55.03</v>
      </c>
      <c r="C176" s="21">
        <f t="shared" si="47"/>
        <v>1</v>
      </c>
      <c r="D176" s="635" t="s">
        <v>3968</v>
      </c>
      <c r="E176" s="21">
        <f t="shared" si="48"/>
        <v>1.02</v>
      </c>
      <c r="F176" s="635"/>
      <c r="G176" s="21">
        <f t="shared" si="49"/>
        <v>1</v>
      </c>
      <c r="H176" s="635"/>
      <c r="I176" s="21">
        <f t="shared" si="50"/>
        <v>1</v>
      </c>
      <c r="J176" s="635"/>
      <c r="K176" s="21">
        <f t="shared" si="51"/>
        <v>1</v>
      </c>
      <c r="L176" s="635"/>
      <c r="M176" s="21">
        <f t="shared" si="52"/>
        <v>1</v>
      </c>
      <c r="N176" s="635"/>
      <c r="O176" s="21">
        <f t="shared" si="53"/>
        <v>1</v>
      </c>
      <c r="P176" s="635"/>
      <c r="Q176" s="21">
        <f t="shared" si="54"/>
        <v>1</v>
      </c>
      <c r="R176" s="21">
        <f t="shared" ca="1" si="55"/>
        <v>9642</v>
      </c>
      <c r="S176" s="634">
        <f t="shared" ca="1" si="41"/>
        <v>53.059899999999999</v>
      </c>
      <c r="T176" s="689">
        <f t="shared" ca="1" si="42"/>
        <v>2.7793000000000001</v>
      </c>
      <c r="U176" s="689">
        <f t="shared" ca="1" si="43"/>
        <v>2.6499999999999999E-2</v>
      </c>
      <c r="V176" s="689">
        <f t="shared" ca="1" si="44"/>
        <v>2.5266999999999999</v>
      </c>
      <c r="W176" s="689">
        <f t="shared" ca="1" si="45"/>
        <v>5.3324999999999996</v>
      </c>
      <c r="X176" s="689">
        <f t="shared" ca="1" si="46"/>
        <v>47.727400000000003</v>
      </c>
    </row>
    <row r="177" spans="1:25">
      <c r="A177" s="142" t="str">
        <f>面积清单!H154</f>
        <v>2单元723</v>
      </c>
      <c r="B177" s="52">
        <f>面积清单!J154</f>
        <v>55.03</v>
      </c>
      <c r="C177" s="21">
        <f t="shared" si="47"/>
        <v>1</v>
      </c>
      <c r="D177" s="635" t="s">
        <v>3968</v>
      </c>
      <c r="E177" s="21">
        <f t="shared" si="48"/>
        <v>1.02</v>
      </c>
      <c r="F177" s="635"/>
      <c r="G177" s="21">
        <f t="shared" si="49"/>
        <v>1</v>
      </c>
      <c r="H177" s="635"/>
      <c r="I177" s="21">
        <f t="shared" si="50"/>
        <v>1</v>
      </c>
      <c r="J177" s="635"/>
      <c r="K177" s="21">
        <f t="shared" si="51"/>
        <v>1</v>
      </c>
      <c r="L177" s="635"/>
      <c r="M177" s="21">
        <f t="shared" si="52"/>
        <v>1</v>
      </c>
      <c r="N177" s="635"/>
      <c r="O177" s="21">
        <f t="shared" si="53"/>
        <v>1</v>
      </c>
      <c r="P177" s="635"/>
      <c r="Q177" s="21">
        <f t="shared" si="54"/>
        <v>1</v>
      </c>
      <c r="R177" s="21">
        <f t="shared" ca="1" si="55"/>
        <v>9642</v>
      </c>
      <c r="S177" s="634">
        <f t="shared" ca="1" si="41"/>
        <v>53.059899999999999</v>
      </c>
      <c r="T177" s="689">
        <f t="shared" ca="1" si="42"/>
        <v>2.7793000000000001</v>
      </c>
      <c r="U177" s="689">
        <f t="shared" ca="1" si="43"/>
        <v>2.6499999999999999E-2</v>
      </c>
      <c r="V177" s="689">
        <f t="shared" ca="1" si="44"/>
        <v>2.5266999999999999</v>
      </c>
      <c r="W177" s="689">
        <f t="shared" ca="1" si="45"/>
        <v>5.3324999999999996</v>
      </c>
      <c r="X177" s="689">
        <f t="shared" ca="1" si="46"/>
        <v>47.727400000000003</v>
      </c>
    </row>
    <row r="178" spans="1:25">
      <c r="A178" s="142" t="str">
        <f>面积清单!H155</f>
        <v>2单元724</v>
      </c>
      <c r="B178" s="52">
        <f>面积清单!J155</f>
        <v>55.03</v>
      </c>
      <c r="C178" s="21">
        <f t="shared" si="47"/>
        <v>1</v>
      </c>
      <c r="D178" s="635" t="s">
        <v>3968</v>
      </c>
      <c r="E178" s="21">
        <f t="shared" si="48"/>
        <v>1.02</v>
      </c>
      <c r="F178" s="635"/>
      <c r="G178" s="21">
        <f t="shared" si="49"/>
        <v>1</v>
      </c>
      <c r="H178" s="635"/>
      <c r="I178" s="21">
        <f t="shared" si="50"/>
        <v>1</v>
      </c>
      <c r="J178" s="635"/>
      <c r="K178" s="21">
        <f t="shared" si="51"/>
        <v>1</v>
      </c>
      <c r="L178" s="635"/>
      <c r="M178" s="21">
        <f t="shared" si="52"/>
        <v>1</v>
      </c>
      <c r="N178" s="635"/>
      <c r="O178" s="21">
        <f t="shared" si="53"/>
        <v>1</v>
      </c>
      <c r="P178" s="635"/>
      <c r="Q178" s="21">
        <f t="shared" si="54"/>
        <v>1</v>
      </c>
      <c r="R178" s="21">
        <f t="shared" ca="1" si="55"/>
        <v>9642</v>
      </c>
      <c r="S178" s="634">
        <f t="shared" ca="1" si="41"/>
        <v>53.059899999999999</v>
      </c>
      <c r="T178" s="689">
        <f t="shared" ca="1" si="42"/>
        <v>2.7793000000000001</v>
      </c>
      <c r="U178" s="689">
        <f t="shared" ca="1" si="43"/>
        <v>2.6499999999999999E-2</v>
      </c>
      <c r="V178" s="689">
        <f t="shared" ca="1" si="44"/>
        <v>2.5266999999999999</v>
      </c>
      <c r="W178" s="689">
        <f t="shared" ca="1" si="45"/>
        <v>5.3324999999999996</v>
      </c>
      <c r="X178" s="689">
        <f t="shared" ca="1" si="46"/>
        <v>47.727400000000003</v>
      </c>
    </row>
    <row r="179" spans="1:25">
      <c r="A179" s="142" t="str">
        <f>面积清单!H156</f>
        <v>2单元725</v>
      </c>
      <c r="B179" s="52">
        <f>面积清单!J156</f>
        <v>62.71</v>
      </c>
      <c r="C179" s="21">
        <f t="shared" si="47"/>
        <v>1</v>
      </c>
      <c r="D179" s="635" t="s">
        <v>3968</v>
      </c>
      <c r="E179" s="21">
        <f t="shared" si="48"/>
        <v>1.02</v>
      </c>
      <c r="F179" s="635"/>
      <c r="G179" s="21">
        <f t="shared" si="49"/>
        <v>1</v>
      </c>
      <c r="H179" s="635"/>
      <c r="I179" s="21">
        <f t="shared" si="50"/>
        <v>1</v>
      </c>
      <c r="J179" s="635"/>
      <c r="K179" s="21">
        <f t="shared" si="51"/>
        <v>1</v>
      </c>
      <c r="L179" s="635"/>
      <c r="M179" s="21">
        <f t="shared" si="52"/>
        <v>1</v>
      </c>
      <c r="N179" s="635"/>
      <c r="O179" s="21">
        <f t="shared" si="53"/>
        <v>1</v>
      </c>
      <c r="P179" s="635"/>
      <c r="Q179" s="21">
        <f t="shared" si="54"/>
        <v>1</v>
      </c>
      <c r="R179" s="21">
        <f t="shared" ca="1" si="55"/>
        <v>9642</v>
      </c>
      <c r="S179" s="634">
        <f t="shared" ca="1" si="41"/>
        <v>60.465000000000003</v>
      </c>
      <c r="T179" s="689">
        <f t="shared" ca="1" si="42"/>
        <v>3.1671999999999998</v>
      </c>
      <c r="U179" s="689">
        <f t="shared" ca="1" si="43"/>
        <v>3.0200000000000001E-2</v>
      </c>
      <c r="V179" s="689">
        <f t="shared" ca="1" si="44"/>
        <v>2.8793000000000002</v>
      </c>
      <c r="W179" s="689">
        <f t="shared" ca="1" si="45"/>
        <v>6.0766999999999998</v>
      </c>
      <c r="X179" s="689">
        <f t="shared" ca="1" si="46"/>
        <v>54.388300000000001</v>
      </c>
    </row>
    <row r="180" spans="1:25">
      <c r="A180" s="142" t="str">
        <f>面积清单!H157</f>
        <v>2单元726</v>
      </c>
      <c r="B180" s="52">
        <f>面积清单!J157</f>
        <v>74.14</v>
      </c>
      <c r="C180" s="21">
        <f t="shared" si="47"/>
        <v>1</v>
      </c>
      <c r="D180" s="635" t="s">
        <v>3968</v>
      </c>
      <c r="E180" s="21">
        <f t="shared" si="48"/>
        <v>1.02</v>
      </c>
      <c r="F180" s="635"/>
      <c r="G180" s="21">
        <f t="shared" si="49"/>
        <v>1</v>
      </c>
      <c r="H180" s="635"/>
      <c r="I180" s="21">
        <f t="shared" si="50"/>
        <v>1</v>
      </c>
      <c r="J180" s="635"/>
      <c r="K180" s="21">
        <f t="shared" si="51"/>
        <v>1</v>
      </c>
      <c r="L180" s="635"/>
      <c r="M180" s="21">
        <f t="shared" si="52"/>
        <v>1</v>
      </c>
      <c r="N180" s="635"/>
      <c r="O180" s="21">
        <f t="shared" si="53"/>
        <v>1</v>
      </c>
      <c r="P180" s="635"/>
      <c r="Q180" s="21">
        <f t="shared" si="54"/>
        <v>1</v>
      </c>
      <c r="R180" s="21">
        <f t="shared" ca="1" si="55"/>
        <v>9642</v>
      </c>
      <c r="S180" s="634">
        <f t="shared" ca="1" si="41"/>
        <v>71.485799999999998</v>
      </c>
      <c r="T180" s="689">
        <f t="shared" ca="1" si="42"/>
        <v>3.7444999999999999</v>
      </c>
      <c r="U180" s="689">
        <f t="shared" ca="1" si="43"/>
        <v>3.5700000000000003E-2</v>
      </c>
      <c r="V180" s="689">
        <f t="shared" ca="1" si="44"/>
        <v>3.4041000000000001</v>
      </c>
      <c r="W180" s="689">
        <f t="shared" ca="1" si="45"/>
        <v>7.1843000000000004</v>
      </c>
      <c r="X180" s="689">
        <f t="shared" ca="1" si="46"/>
        <v>64.301500000000004</v>
      </c>
    </row>
    <row r="181" spans="1:25">
      <c r="A181" s="142"/>
      <c r="B181" s="52"/>
      <c r="C181" s="21">
        <f t="shared" si="47"/>
        <v>1</v>
      </c>
      <c r="D181" s="635"/>
      <c r="E181" s="21">
        <f t="shared" si="48"/>
        <v>0.02</v>
      </c>
      <c r="F181" s="635"/>
      <c r="G181" s="21">
        <f t="shared" si="49"/>
        <v>1</v>
      </c>
      <c r="H181" s="635"/>
      <c r="I181" s="21">
        <f t="shared" si="50"/>
        <v>1</v>
      </c>
      <c r="J181" s="635"/>
      <c r="K181" s="21">
        <f t="shared" si="51"/>
        <v>1</v>
      </c>
      <c r="L181" s="635"/>
      <c r="M181" s="21">
        <f t="shared" si="52"/>
        <v>1</v>
      </c>
      <c r="N181" s="635"/>
      <c r="O181" s="21">
        <f t="shared" si="53"/>
        <v>1</v>
      </c>
      <c r="P181" s="635"/>
      <c r="Q181" s="21">
        <f t="shared" si="54"/>
        <v>1</v>
      </c>
      <c r="R181" s="21">
        <f t="shared" si="55"/>
        <v>0</v>
      </c>
      <c r="S181" s="308">
        <f t="shared" ref="S181:S186" si="56">ROUND(R181*B181/10000,0)</f>
        <v>0</v>
      </c>
      <c r="V181" s="689"/>
      <c r="W181" s="3195" t="s">
        <v>3980</v>
      </c>
      <c r="X181" s="684">
        <f ca="1">SUM(X24:X180)</f>
        <v>10335.128699999996</v>
      </c>
      <c r="Y181" s="684">
        <f ca="1">ROUND(X181/B22*10000,0)</f>
        <v>8587</v>
      </c>
    </row>
    <row r="182" spans="1:25">
      <c r="A182" s="142"/>
      <c r="B182" s="52"/>
      <c r="C182" s="21">
        <f t="shared" si="47"/>
        <v>1</v>
      </c>
      <c r="D182" s="635"/>
      <c r="E182" s="21">
        <f t="shared" si="48"/>
        <v>0.02</v>
      </c>
      <c r="F182" s="635"/>
      <c r="G182" s="21">
        <f t="shared" si="49"/>
        <v>1</v>
      </c>
      <c r="H182" s="635"/>
      <c r="I182" s="21">
        <f t="shared" si="50"/>
        <v>1</v>
      </c>
      <c r="J182" s="635"/>
      <c r="K182" s="21">
        <f t="shared" si="51"/>
        <v>1</v>
      </c>
      <c r="L182" s="635"/>
      <c r="M182" s="21">
        <f t="shared" si="52"/>
        <v>1</v>
      </c>
      <c r="N182" s="635"/>
      <c r="O182" s="21">
        <f t="shared" si="53"/>
        <v>1</v>
      </c>
      <c r="P182" s="635"/>
      <c r="Q182" s="21">
        <f t="shared" si="54"/>
        <v>1</v>
      </c>
      <c r="R182" s="21">
        <f t="shared" si="55"/>
        <v>0</v>
      </c>
      <c r="S182" s="308">
        <f t="shared" si="56"/>
        <v>0</v>
      </c>
      <c r="V182" s="689"/>
    </row>
    <row r="183" spans="1:25">
      <c r="A183" s="142"/>
      <c r="B183" s="52"/>
      <c r="C183" s="21">
        <f t="shared" si="47"/>
        <v>1</v>
      </c>
      <c r="D183" s="635"/>
      <c r="E183" s="21">
        <f t="shared" si="48"/>
        <v>0.02</v>
      </c>
      <c r="F183" s="635"/>
      <c r="G183" s="21">
        <f t="shared" si="49"/>
        <v>1</v>
      </c>
      <c r="H183" s="635"/>
      <c r="I183" s="21">
        <f t="shared" si="50"/>
        <v>1</v>
      </c>
      <c r="J183" s="635"/>
      <c r="K183" s="21">
        <f t="shared" si="51"/>
        <v>1</v>
      </c>
      <c r="L183" s="635"/>
      <c r="M183" s="21">
        <f t="shared" si="52"/>
        <v>1</v>
      </c>
      <c r="N183" s="635"/>
      <c r="O183" s="21">
        <f t="shared" si="53"/>
        <v>1</v>
      </c>
      <c r="P183" s="635"/>
      <c r="Q183" s="21">
        <f t="shared" si="54"/>
        <v>1</v>
      </c>
      <c r="R183" s="21">
        <f t="shared" si="55"/>
        <v>0</v>
      </c>
      <c r="S183" s="308">
        <f t="shared" si="56"/>
        <v>0</v>
      </c>
      <c r="V183" s="689"/>
    </row>
    <row r="184" spans="1:25">
      <c r="A184" s="142"/>
      <c r="B184" s="52"/>
      <c r="C184" s="21">
        <f t="shared" si="47"/>
        <v>1</v>
      </c>
      <c r="D184" s="635"/>
      <c r="E184" s="21">
        <f t="shared" si="48"/>
        <v>0.02</v>
      </c>
      <c r="F184" s="635"/>
      <c r="G184" s="21">
        <f t="shared" si="49"/>
        <v>1</v>
      </c>
      <c r="H184" s="635"/>
      <c r="I184" s="21">
        <f t="shared" si="50"/>
        <v>1</v>
      </c>
      <c r="J184" s="635"/>
      <c r="K184" s="21">
        <f t="shared" si="51"/>
        <v>1</v>
      </c>
      <c r="L184" s="635"/>
      <c r="M184" s="21">
        <f t="shared" si="52"/>
        <v>1</v>
      </c>
      <c r="N184" s="635"/>
      <c r="O184" s="21">
        <f t="shared" si="53"/>
        <v>1</v>
      </c>
      <c r="P184" s="635"/>
      <c r="Q184" s="21">
        <f t="shared" si="54"/>
        <v>1</v>
      </c>
      <c r="R184" s="21">
        <f t="shared" si="55"/>
        <v>0</v>
      </c>
      <c r="S184" s="308">
        <f t="shared" si="56"/>
        <v>0</v>
      </c>
    </row>
    <row r="185" spans="1:25">
      <c r="A185" s="142"/>
      <c r="B185" s="52"/>
      <c r="C185" s="21">
        <f t="shared" si="47"/>
        <v>1</v>
      </c>
      <c r="D185" s="635"/>
      <c r="E185" s="21">
        <f t="shared" si="48"/>
        <v>0.02</v>
      </c>
      <c r="F185" s="635"/>
      <c r="G185" s="21">
        <f t="shared" si="49"/>
        <v>1</v>
      </c>
      <c r="H185" s="635"/>
      <c r="I185" s="21">
        <f t="shared" si="50"/>
        <v>1</v>
      </c>
      <c r="J185" s="635"/>
      <c r="K185" s="21">
        <f t="shared" si="51"/>
        <v>1</v>
      </c>
      <c r="L185" s="635"/>
      <c r="M185" s="21">
        <f t="shared" si="52"/>
        <v>1</v>
      </c>
      <c r="N185" s="635"/>
      <c r="O185" s="21">
        <f t="shared" si="53"/>
        <v>1</v>
      </c>
      <c r="P185" s="635"/>
      <c r="Q185" s="21">
        <f t="shared" si="54"/>
        <v>1</v>
      </c>
      <c r="R185" s="21">
        <f t="shared" si="55"/>
        <v>0</v>
      </c>
      <c r="S185" s="308">
        <f t="shared" si="56"/>
        <v>0</v>
      </c>
    </row>
    <row r="186" spans="1:25">
      <c r="A186" s="142"/>
      <c r="B186" s="52"/>
      <c r="C186" s="21">
        <f t="shared" si="47"/>
        <v>1</v>
      </c>
      <c r="D186" s="635"/>
      <c r="E186" s="21">
        <f t="shared" si="48"/>
        <v>0.02</v>
      </c>
      <c r="F186" s="635"/>
      <c r="G186" s="21">
        <f t="shared" si="49"/>
        <v>1</v>
      </c>
      <c r="H186" s="635"/>
      <c r="I186" s="21">
        <f t="shared" si="50"/>
        <v>1</v>
      </c>
      <c r="J186" s="635"/>
      <c r="K186" s="21">
        <f t="shared" si="51"/>
        <v>1</v>
      </c>
      <c r="L186" s="635"/>
      <c r="M186" s="21">
        <f t="shared" si="52"/>
        <v>1</v>
      </c>
      <c r="N186" s="635"/>
      <c r="O186" s="21">
        <f t="shared" si="53"/>
        <v>1</v>
      </c>
      <c r="P186" s="635"/>
      <c r="Q186" s="21">
        <f t="shared" si="54"/>
        <v>1</v>
      </c>
      <c r="R186" s="21">
        <f t="shared" si="55"/>
        <v>0</v>
      </c>
      <c r="S186" s="308">
        <f t="shared" si="56"/>
        <v>0</v>
      </c>
    </row>
    <row r="187" spans="1:25">
      <c r="A187" s="142"/>
      <c r="B187" s="52"/>
      <c r="C187" s="21">
        <f t="shared" si="47"/>
        <v>1</v>
      </c>
      <c r="D187" s="635"/>
      <c r="E187" s="21">
        <f t="shared" si="48"/>
        <v>0.02</v>
      </c>
      <c r="F187" s="635"/>
      <c r="G187" s="21">
        <f t="shared" si="49"/>
        <v>1</v>
      </c>
      <c r="H187" s="635"/>
      <c r="I187" s="21">
        <f t="shared" si="50"/>
        <v>1</v>
      </c>
      <c r="J187" s="635"/>
      <c r="K187" s="21">
        <f t="shared" si="51"/>
        <v>1</v>
      </c>
      <c r="L187" s="635"/>
      <c r="M187" s="21">
        <f t="shared" si="52"/>
        <v>1</v>
      </c>
      <c r="N187" s="635"/>
      <c r="O187" s="21">
        <f t="shared" si="53"/>
        <v>1</v>
      </c>
      <c r="P187" s="635"/>
      <c r="Q187" s="21">
        <f t="shared" si="54"/>
        <v>1</v>
      </c>
      <c r="R187" s="21">
        <f t="shared" si="55"/>
        <v>0</v>
      </c>
      <c r="S187" s="308">
        <f t="shared" ref="S187:S222" si="57">ROUND(R187*B187/10000,0)</f>
        <v>0</v>
      </c>
    </row>
    <row r="188" spans="1:25">
      <c r="A188" s="142"/>
      <c r="B188" s="52"/>
      <c r="C188" s="21">
        <f t="shared" si="47"/>
        <v>1</v>
      </c>
      <c r="D188" s="635"/>
      <c r="E188" s="21">
        <f t="shared" si="48"/>
        <v>0.02</v>
      </c>
      <c r="F188" s="635"/>
      <c r="G188" s="21">
        <f t="shared" si="49"/>
        <v>1</v>
      </c>
      <c r="H188" s="635"/>
      <c r="I188" s="21">
        <f t="shared" si="50"/>
        <v>1</v>
      </c>
      <c r="J188" s="635"/>
      <c r="K188" s="21">
        <f t="shared" si="51"/>
        <v>1</v>
      </c>
      <c r="L188" s="635"/>
      <c r="M188" s="21">
        <f t="shared" si="52"/>
        <v>1</v>
      </c>
      <c r="N188" s="635"/>
      <c r="O188" s="21">
        <f t="shared" si="53"/>
        <v>1</v>
      </c>
      <c r="P188" s="635"/>
      <c r="Q188" s="21">
        <f t="shared" si="54"/>
        <v>1</v>
      </c>
      <c r="R188" s="21">
        <f t="shared" si="55"/>
        <v>0</v>
      </c>
      <c r="S188" s="308">
        <f t="shared" si="57"/>
        <v>0</v>
      </c>
    </row>
    <row r="189" spans="1:25">
      <c r="A189" s="142"/>
      <c r="B189" s="52"/>
      <c r="C189" s="21">
        <f t="shared" si="47"/>
        <v>1</v>
      </c>
      <c r="D189" s="635"/>
      <c r="E189" s="21">
        <f t="shared" si="48"/>
        <v>0.02</v>
      </c>
      <c r="F189" s="635"/>
      <c r="G189" s="21">
        <f t="shared" si="49"/>
        <v>1</v>
      </c>
      <c r="H189" s="635"/>
      <c r="I189" s="21">
        <f t="shared" si="50"/>
        <v>1</v>
      </c>
      <c r="J189" s="635"/>
      <c r="K189" s="21">
        <f t="shared" si="51"/>
        <v>1</v>
      </c>
      <c r="L189" s="635"/>
      <c r="M189" s="21">
        <f t="shared" si="52"/>
        <v>1</v>
      </c>
      <c r="N189" s="635"/>
      <c r="O189" s="21">
        <f t="shared" si="53"/>
        <v>1</v>
      </c>
      <c r="P189" s="635"/>
      <c r="Q189" s="21">
        <f t="shared" si="54"/>
        <v>1</v>
      </c>
      <c r="R189" s="21">
        <f t="shared" si="55"/>
        <v>0</v>
      </c>
      <c r="S189" s="308">
        <f t="shared" si="57"/>
        <v>0</v>
      </c>
    </row>
    <row r="190" spans="1:25">
      <c r="A190" s="142"/>
      <c r="B190" s="52"/>
      <c r="C190" s="21">
        <f t="shared" si="47"/>
        <v>1</v>
      </c>
      <c r="D190" s="635"/>
      <c r="E190" s="21">
        <f t="shared" si="48"/>
        <v>0.02</v>
      </c>
      <c r="F190" s="635"/>
      <c r="G190" s="21">
        <f t="shared" si="49"/>
        <v>1</v>
      </c>
      <c r="H190" s="635"/>
      <c r="I190" s="21">
        <f t="shared" si="50"/>
        <v>1</v>
      </c>
      <c r="J190" s="635"/>
      <c r="K190" s="21">
        <f t="shared" si="51"/>
        <v>1</v>
      </c>
      <c r="L190" s="635"/>
      <c r="M190" s="21">
        <f t="shared" si="52"/>
        <v>1</v>
      </c>
      <c r="N190" s="635"/>
      <c r="O190" s="21">
        <f t="shared" si="53"/>
        <v>1</v>
      </c>
      <c r="P190" s="635"/>
      <c r="Q190" s="21">
        <f t="shared" si="54"/>
        <v>1</v>
      </c>
      <c r="R190" s="21">
        <f t="shared" si="55"/>
        <v>0</v>
      </c>
      <c r="S190" s="308">
        <f t="shared" si="57"/>
        <v>0</v>
      </c>
    </row>
    <row r="191" spans="1:25">
      <c r="A191" s="142"/>
      <c r="B191" s="52"/>
      <c r="C191" s="21">
        <f t="shared" si="47"/>
        <v>1</v>
      </c>
      <c r="D191" s="635"/>
      <c r="E191" s="21">
        <f t="shared" si="48"/>
        <v>0.02</v>
      </c>
      <c r="F191" s="635"/>
      <c r="G191" s="21">
        <f t="shared" si="49"/>
        <v>1</v>
      </c>
      <c r="H191" s="635"/>
      <c r="I191" s="21">
        <f t="shared" si="50"/>
        <v>1</v>
      </c>
      <c r="J191" s="635"/>
      <c r="K191" s="21">
        <f t="shared" si="51"/>
        <v>1</v>
      </c>
      <c r="L191" s="635"/>
      <c r="M191" s="21">
        <f t="shared" si="52"/>
        <v>1</v>
      </c>
      <c r="N191" s="635"/>
      <c r="O191" s="21">
        <f t="shared" si="53"/>
        <v>1</v>
      </c>
      <c r="P191" s="635"/>
      <c r="Q191" s="21">
        <f t="shared" si="54"/>
        <v>1</v>
      </c>
      <c r="R191" s="21">
        <f t="shared" si="55"/>
        <v>0</v>
      </c>
      <c r="S191" s="308">
        <f t="shared" si="57"/>
        <v>0</v>
      </c>
    </row>
    <row r="192" spans="1:25">
      <c r="A192" s="142"/>
      <c r="B192" s="52"/>
      <c r="C192" s="21">
        <f t="shared" si="47"/>
        <v>1</v>
      </c>
      <c r="D192" s="635"/>
      <c r="E192" s="21">
        <f t="shared" si="48"/>
        <v>0.02</v>
      </c>
      <c r="F192" s="635"/>
      <c r="G192" s="21">
        <f t="shared" si="49"/>
        <v>1</v>
      </c>
      <c r="H192" s="635"/>
      <c r="I192" s="21">
        <f t="shared" si="50"/>
        <v>1</v>
      </c>
      <c r="J192" s="635"/>
      <c r="K192" s="21">
        <f t="shared" si="51"/>
        <v>1</v>
      </c>
      <c r="L192" s="635"/>
      <c r="M192" s="21">
        <f t="shared" si="52"/>
        <v>1</v>
      </c>
      <c r="N192" s="635"/>
      <c r="O192" s="21">
        <f t="shared" si="53"/>
        <v>1</v>
      </c>
      <c r="P192" s="635"/>
      <c r="Q192" s="21">
        <f t="shared" si="54"/>
        <v>1</v>
      </c>
      <c r="R192" s="21">
        <f t="shared" si="55"/>
        <v>0</v>
      </c>
      <c r="S192" s="308">
        <f t="shared" si="57"/>
        <v>0</v>
      </c>
    </row>
    <row r="193" spans="1:19">
      <c r="A193" s="142"/>
      <c r="B193" s="52"/>
      <c r="C193" s="21">
        <f t="shared" si="47"/>
        <v>1</v>
      </c>
      <c r="D193" s="635"/>
      <c r="E193" s="21">
        <f t="shared" si="48"/>
        <v>0.02</v>
      </c>
      <c r="F193" s="635"/>
      <c r="G193" s="21">
        <f t="shared" si="49"/>
        <v>1</v>
      </c>
      <c r="H193" s="635"/>
      <c r="I193" s="21">
        <f t="shared" si="50"/>
        <v>1</v>
      </c>
      <c r="J193" s="635"/>
      <c r="K193" s="21">
        <f t="shared" si="51"/>
        <v>1</v>
      </c>
      <c r="L193" s="635"/>
      <c r="M193" s="21">
        <f t="shared" si="52"/>
        <v>1</v>
      </c>
      <c r="N193" s="635"/>
      <c r="O193" s="21">
        <f t="shared" si="53"/>
        <v>1</v>
      </c>
      <c r="P193" s="635"/>
      <c r="Q193" s="21">
        <f t="shared" si="54"/>
        <v>1</v>
      </c>
      <c r="R193" s="21">
        <f t="shared" si="55"/>
        <v>0</v>
      </c>
      <c r="S193" s="308">
        <f t="shared" si="57"/>
        <v>0</v>
      </c>
    </row>
    <row r="194" spans="1:19">
      <c r="A194" s="142"/>
      <c r="B194" s="52"/>
      <c r="C194" s="21">
        <f t="shared" si="47"/>
        <v>1</v>
      </c>
      <c r="D194" s="635"/>
      <c r="E194" s="21">
        <f t="shared" si="48"/>
        <v>0.02</v>
      </c>
      <c r="F194" s="635"/>
      <c r="G194" s="21">
        <f t="shared" si="49"/>
        <v>1</v>
      </c>
      <c r="H194" s="635"/>
      <c r="I194" s="21">
        <f t="shared" si="50"/>
        <v>1</v>
      </c>
      <c r="J194" s="635"/>
      <c r="K194" s="21">
        <f t="shared" si="51"/>
        <v>1</v>
      </c>
      <c r="L194" s="635"/>
      <c r="M194" s="21">
        <f t="shared" si="52"/>
        <v>1</v>
      </c>
      <c r="N194" s="635"/>
      <c r="O194" s="21">
        <f t="shared" si="53"/>
        <v>1</v>
      </c>
      <c r="P194" s="635"/>
      <c r="Q194" s="21">
        <f t="shared" si="54"/>
        <v>1</v>
      </c>
      <c r="R194" s="21">
        <f t="shared" si="55"/>
        <v>0</v>
      </c>
      <c r="S194" s="308">
        <f t="shared" si="57"/>
        <v>0</v>
      </c>
    </row>
    <row r="195" spans="1:19">
      <c r="A195" s="142"/>
      <c r="B195" s="52"/>
      <c r="C195" s="21">
        <f t="shared" si="47"/>
        <v>1</v>
      </c>
      <c r="D195" s="635"/>
      <c r="E195" s="21">
        <f t="shared" si="48"/>
        <v>0.02</v>
      </c>
      <c r="F195" s="635"/>
      <c r="G195" s="21">
        <f t="shared" si="49"/>
        <v>1</v>
      </c>
      <c r="H195" s="635"/>
      <c r="I195" s="21">
        <f t="shared" si="50"/>
        <v>1</v>
      </c>
      <c r="J195" s="635"/>
      <c r="K195" s="21">
        <f t="shared" si="51"/>
        <v>1</v>
      </c>
      <c r="L195" s="635"/>
      <c r="M195" s="21">
        <f t="shared" si="52"/>
        <v>1</v>
      </c>
      <c r="N195" s="635"/>
      <c r="O195" s="21">
        <f t="shared" si="53"/>
        <v>1</v>
      </c>
      <c r="P195" s="635"/>
      <c r="Q195" s="21">
        <f t="shared" si="54"/>
        <v>1</v>
      </c>
      <c r="R195" s="21">
        <f t="shared" si="55"/>
        <v>0</v>
      </c>
      <c r="S195" s="308">
        <f t="shared" si="57"/>
        <v>0</v>
      </c>
    </row>
    <row r="196" spans="1:19">
      <c r="A196" s="142"/>
      <c r="B196" s="52"/>
      <c r="C196" s="21">
        <f t="shared" si="47"/>
        <v>1</v>
      </c>
      <c r="D196" s="635"/>
      <c r="E196" s="21">
        <f t="shared" si="48"/>
        <v>0.02</v>
      </c>
      <c r="F196" s="635"/>
      <c r="G196" s="21">
        <f t="shared" si="49"/>
        <v>1</v>
      </c>
      <c r="H196" s="635"/>
      <c r="I196" s="21">
        <f t="shared" si="50"/>
        <v>1</v>
      </c>
      <c r="J196" s="635"/>
      <c r="K196" s="21">
        <f t="shared" si="51"/>
        <v>1</v>
      </c>
      <c r="L196" s="635"/>
      <c r="M196" s="21">
        <f t="shared" si="52"/>
        <v>1</v>
      </c>
      <c r="N196" s="635"/>
      <c r="O196" s="21">
        <f t="shared" si="53"/>
        <v>1</v>
      </c>
      <c r="P196" s="635"/>
      <c r="Q196" s="21">
        <f t="shared" si="54"/>
        <v>1</v>
      </c>
      <c r="R196" s="21">
        <f t="shared" si="55"/>
        <v>0</v>
      </c>
      <c r="S196" s="308">
        <f t="shared" si="57"/>
        <v>0</v>
      </c>
    </row>
    <row r="197" spans="1:19">
      <c r="A197" s="142"/>
      <c r="B197" s="52"/>
      <c r="C197" s="21">
        <f t="shared" si="47"/>
        <v>1</v>
      </c>
      <c r="D197" s="635"/>
      <c r="E197" s="21">
        <f t="shared" si="48"/>
        <v>0.02</v>
      </c>
      <c r="F197" s="635"/>
      <c r="G197" s="21">
        <f t="shared" si="49"/>
        <v>1</v>
      </c>
      <c r="H197" s="635"/>
      <c r="I197" s="21">
        <f t="shared" si="50"/>
        <v>1</v>
      </c>
      <c r="J197" s="635"/>
      <c r="K197" s="21">
        <f t="shared" si="51"/>
        <v>1</v>
      </c>
      <c r="L197" s="635"/>
      <c r="M197" s="21">
        <f t="shared" si="52"/>
        <v>1</v>
      </c>
      <c r="N197" s="635"/>
      <c r="O197" s="21">
        <f t="shared" si="53"/>
        <v>1</v>
      </c>
      <c r="P197" s="635"/>
      <c r="Q197" s="21">
        <f t="shared" si="54"/>
        <v>1</v>
      </c>
      <c r="R197" s="21">
        <f t="shared" si="55"/>
        <v>0</v>
      </c>
      <c r="S197" s="308">
        <f t="shared" si="57"/>
        <v>0</v>
      </c>
    </row>
    <row r="198" spans="1:19">
      <c r="A198" s="142"/>
      <c r="B198" s="52"/>
      <c r="C198" s="21">
        <f t="shared" si="47"/>
        <v>1</v>
      </c>
      <c r="D198" s="635"/>
      <c r="E198" s="21">
        <f t="shared" si="48"/>
        <v>0.02</v>
      </c>
      <c r="F198" s="635"/>
      <c r="G198" s="21">
        <f t="shared" si="49"/>
        <v>1</v>
      </c>
      <c r="H198" s="635"/>
      <c r="I198" s="21">
        <f t="shared" si="50"/>
        <v>1</v>
      </c>
      <c r="J198" s="635"/>
      <c r="K198" s="21">
        <f t="shared" si="51"/>
        <v>1</v>
      </c>
      <c r="L198" s="635"/>
      <c r="M198" s="21">
        <f t="shared" si="52"/>
        <v>1</v>
      </c>
      <c r="N198" s="635"/>
      <c r="O198" s="21">
        <f t="shared" si="53"/>
        <v>1</v>
      </c>
      <c r="P198" s="635"/>
      <c r="Q198" s="21">
        <f t="shared" si="54"/>
        <v>1</v>
      </c>
      <c r="R198" s="21">
        <f t="shared" si="55"/>
        <v>0</v>
      </c>
      <c r="S198" s="308">
        <f t="shared" si="57"/>
        <v>0</v>
      </c>
    </row>
    <row r="199" spans="1:19">
      <c r="A199" s="142"/>
      <c r="B199" s="52"/>
      <c r="C199" s="21">
        <f t="shared" si="47"/>
        <v>1</v>
      </c>
      <c r="D199" s="635"/>
      <c r="E199" s="21">
        <f t="shared" si="48"/>
        <v>0.02</v>
      </c>
      <c r="F199" s="635"/>
      <c r="G199" s="21">
        <f t="shared" si="49"/>
        <v>1</v>
      </c>
      <c r="H199" s="635"/>
      <c r="I199" s="21">
        <f t="shared" si="50"/>
        <v>1</v>
      </c>
      <c r="J199" s="635"/>
      <c r="K199" s="21">
        <f t="shared" si="51"/>
        <v>1</v>
      </c>
      <c r="L199" s="635"/>
      <c r="M199" s="21">
        <f t="shared" si="52"/>
        <v>1</v>
      </c>
      <c r="N199" s="635"/>
      <c r="O199" s="21">
        <f t="shared" si="53"/>
        <v>1</v>
      </c>
      <c r="P199" s="635"/>
      <c r="Q199" s="21">
        <f t="shared" si="54"/>
        <v>1</v>
      </c>
      <c r="R199" s="21">
        <f t="shared" si="55"/>
        <v>0</v>
      </c>
      <c r="S199" s="308">
        <f t="shared" si="57"/>
        <v>0</v>
      </c>
    </row>
    <row r="200" spans="1:19">
      <c r="A200" s="142"/>
      <c r="B200" s="52"/>
      <c r="C200" s="21">
        <f t="shared" si="47"/>
        <v>1</v>
      </c>
      <c r="D200" s="635"/>
      <c r="E200" s="21">
        <f t="shared" si="48"/>
        <v>0.02</v>
      </c>
      <c r="F200" s="635"/>
      <c r="G200" s="21">
        <f t="shared" si="49"/>
        <v>1</v>
      </c>
      <c r="H200" s="635"/>
      <c r="I200" s="21">
        <f t="shared" si="50"/>
        <v>1</v>
      </c>
      <c r="J200" s="635"/>
      <c r="K200" s="21">
        <f t="shared" si="51"/>
        <v>1</v>
      </c>
      <c r="L200" s="635"/>
      <c r="M200" s="21">
        <f t="shared" si="52"/>
        <v>1</v>
      </c>
      <c r="N200" s="635"/>
      <c r="O200" s="21">
        <f t="shared" si="53"/>
        <v>1</v>
      </c>
      <c r="P200" s="635"/>
      <c r="Q200" s="21">
        <f t="shared" si="54"/>
        <v>1</v>
      </c>
      <c r="R200" s="21">
        <f t="shared" si="55"/>
        <v>0</v>
      </c>
      <c r="S200" s="308">
        <f t="shared" si="57"/>
        <v>0</v>
      </c>
    </row>
    <row r="201" spans="1:19">
      <c r="A201" s="142"/>
      <c r="B201" s="52"/>
      <c r="C201" s="21">
        <f t="shared" si="47"/>
        <v>1</v>
      </c>
      <c r="D201" s="635"/>
      <c r="E201" s="21">
        <f t="shared" si="48"/>
        <v>0.02</v>
      </c>
      <c r="F201" s="635"/>
      <c r="G201" s="21">
        <f t="shared" si="49"/>
        <v>1</v>
      </c>
      <c r="H201" s="635"/>
      <c r="I201" s="21">
        <f t="shared" si="50"/>
        <v>1</v>
      </c>
      <c r="J201" s="635"/>
      <c r="K201" s="21">
        <f t="shared" si="51"/>
        <v>1</v>
      </c>
      <c r="L201" s="635"/>
      <c r="M201" s="21">
        <f t="shared" si="52"/>
        <v>1</v>
      </c>
      <c r="N201" s="635"/>
      <c r="O201" s="21">
        <f t="shared" si="53"/>
        <v>1</v>
      </c>
      <c r="P201" s="635"/>
      <c r="Q201" s="21">
        <f t="shared" si="54"/>
        <v>1</v>
      </c>
      <c r="R201" s="21">
        <f t="shared" si="55"/>
        <v>0</v>
      </c>
      <c r="S201" s="308">
        <f t="shared" si="57"/>
        <v>0</v>
      </c>
    </row>
    <row r="202" spans="1:19">
      <c r="A202" s="142"/>
      <c r="B202" s="52"/>
      <c r="C202" s="21">
        <f t="shared" si="47"/>
        <v>1</v>
      </c>
      <c r="D202" s="635"/>
      <c r="E202" s="21">
        <f t="shared" si="48"/>
        <v>0.02</v>
      </c>
      <c r="F202" s="635"/>
      <c r="G202" s="21">
        <f t="shared" si="49"/>
        <v>1</v>
      </c>
      <c r="H202" s="635"/>
      <c r="I202" s="21">
        <f t="shared" si="50"/>
        <v>1</v>
      </c>
      <c r="J202" s="635"/>
      <c r="K202" s="21">
        <f t="shared" si="51"/>
        <v>1</v>
      </c>
      <c r="L202" s="635"/>
      <c r="M202" s="21">
        <f t="shared" si="52"/>
        <v>1</v>
      </c>
      <c r="N202" s="635"/>
      <c r="O202" s="21">
        <f t="shared" si="53"/>
        <v>1</v>
      </c>
      <c r="P202" s="635"/>
      <c r="Q202" s="21">
        <f t="shared" si="54"/>
        <v>1</v>
      </c>
      <c r="R202" s="21">
        <f t="shared" si="55"/>
        <v>0</v>
      </c>
      <c r="S202" s="308">
        <f t="shared" si="57"/>
        <v>0</v>
      </c>
    </row>
    <row r="203" spans="1:19">
      <c r="A203" s="142"/>
      <c r="B203" s="52"/>
      <c r="C203" s="21">
        <f t="shared" si="47"/>
        <v>1</v>
      </c>
      <c r="D203" s="635"/>
      <c r="E203" s="21">
        <f t="shared" si="48"/>
        <v>0.02</v>
      </c>
      <c r="F203" s="635"/>
      <c r="G203" s="21">
        <f t="shared" si="49"/>
        <v>1</v>
      </c>
      <c r="H203" s="635"/>
      <c r="I203" s="21">
        <f t="shared" si="50"/>
        <v>1</v>
      </c>
      <c r="J203" s="635"/>
      <c r="K203" s="21">
        <f t="shared" si="51"/>
        <v>1</v>
      </c>
      <c r="L203" s="635"/>
      <c r="M203" s="21">
        <f t="shared" si="52"/>
        <v>1</v>
      </c>
      <c r="N203" s="635"/>
      <c r="O203" s="21">
        <f t="shared" si="53"/>
        <v>1</v>
      </c>
      <c r="P203" s="635"/>
      <c r="Q203" s="21">
        <f t="shared" si="54"/>
        <v>1</v>
      </c>
      <c r="R203" s="21">
        <f t="shared" si="55"/>
        <v>0</v>
      </c>
      <c r="S203" s="308">
        <f t="shared" si="57"/>
        <v>0</v>
      </c>
    </row>
    <row r="204" spans="1:19">
      <c r="A204" s="142"/>
      <c r="B204" s="52"/>
      <c r="C204" s="21">
        <f t="shared" si="47"/>
        <v>1</v>
      </c>
      <c r="D204" s="635"/>
      <c r="E204" s="21">
        <f t="shared" si="48"/>
        <v>0.02</v>
      </c>
      <c r="F204" s="635"/>
      <c r="G204" s="21">
        <f t="shared" si="49"/>
        <v>1</v>
      </c>
      <c r="H204" s="635"/>
      <c r="I204" s="21">
        <f t="shared" si="50"/>
        <v>1</v>
      </c>
      <c r="J204" s="635"/>
      <c r="K204" s="21">
        <f t="shared" si="51"/>
        <v>1</v>
      </c>
      <c r="L204" s="635"/>
      <c r="M204" s="21">
        <f t="shared" si="52"/>
        <v>1</v>
      </c>
      <c r="N204" s="635"/>
      <c r="O204" s="21">
        <f t="shared" si="53"/>
        <v>1</v>
      </c>
      <c r="P204" s="635"/>
      <c r="Q204" s="21">
        <f t="shared" si="54"/>
        <v>1</v>
      </c>
      <c r="R204" s="21">
        <f t="shared" si="55"/>
        <v>0</v>
      </c>
      <c r="S204" s="308">
        <f t="shared" si="57"/>
        <v>0</v>
      </c>
    </row>
    <row r="205" spans="1:19">
      <c r="A205" s="142"/>
      <c r="B205" s="52"/>
      <c r="C205" s="21">
        <f t="shared" si="47"/>
        <v>1</v>
      </c>
      <c r="D205" s="635"/>
      <c r="E205" s="21">
        <f t="shared" si="48"/>
        <v>0.02</v>
      </c>
      <c r="F205" s="635"/>
      <c r="G205" s="21">
        <f t="shared" si="49"/>
        <v>1</v>
      </c>
      <c r="H205" s="635"/>
      <c r="I205" s="21">
        <f t="shared" si="50"/>
        <v>1</v>
      </c>
      <c r="J205" s="635"/>
      <c r="K205" s="21">
        <f t="shared" si="51"/>
        <v>1</v>
      </c>
      <c r="L205" s="635"/>
      <c r="M205" s="21">
        <f t="shared" si="52"/>
        <v>1</v>
      </c>
      <c r="N205" s="635"/>
      <c r="O205" s="21">
        <f t="shared" si="53"/>
        <v>1</v>
      </c>
      <c r="P205" s="635"/>
      <c r="Q205" s="21">
        <f t="shared" si="54"/>
        <v>1</v>
      </c>
      <c r="R205" s="21">
        <f t="shared" si="55"/>
        <v>0</v>
      </c>
      <c r="S205" s="308">
        <f t="shared" si="57"/>
        <v>0</v>
      </c>
    </row>
    <row r="206" spans="1:19">
      <c r="A206" s="142"/>
      <c r="B206" s="52"/>
      <c r="C206" s="21">
        <f t="shared" si="47"/>
        <v>1</v>
      </c>
      <c r="D206" s="635"/>
      <c r="E206" s="21">
        <f t="shared" si="48"/>
        <v>0.02</v>
      </c>
      <c r="F206" s="635"/>
      <c r="G206" s="21">
        <f t="shared" si="49"/>
        <v>1</v>
      </c>
      <c r="H206" s="635"/>
      <c r="I206" s="21">
        <f t="shared" si="50"/>
        <v>1</v>
      </c>
      <c r="J206" s="635"/>
      <c r="K206" s="21">
        <f t="shared" si="51"/>
        <v>1</v>
      </c>
      <c r="L206" s="635"/>
      <c r="M206" s="21">
        <f t="shared" si="52"/>
        <v>1</v>
      </c>
      <c r="N206" s="635"/>
      <c r="O206" s="21">
        <f t="shared" si="53"/>
        <v>1</v>
      </c>
      <c r="P206" s="635"/>
      <c r="Q206" s="21">
        <f t="shared" si="54"/>
        <v>1</v>
      </c>
      <c r="R206" s="21">
        <f t="shared" si="55"/>
        <v>0</v>
      </c>
      <c r="S206" s="308">
        <f t="shared" si="57"/>
        <v>0</v>
      </c>
    </row>
    <row r="207" spans="1:19">
      <c r="A207" s="142"/>
      <c r="B207" s="52"/>
      <c r="C207" s="21">
        <f t="shared" si="47"/>
        <v>1</v>
      </c>
      <c r="D207" s="635"/>
      <c r="E207" s="21">
        <f t="shared" si="48"/>
        <v>0.02</v>
      </c>
      <c r="F207" s="635"/>
      <c r="G207" s="21">
        <f t="shared" si="49"/>
        <v>1</v>
      </c>
      <c r="H207" s="635"/>
      <c r="I207" s="21">
        <f t="shared" si="50"/>
        <v>1</v>
      </c>
      <c r="J207" s="635"/>
      <c r="K207" s="21">
        <f t="shared" si="51"/>
        <v>1</v>
      </c>
      <c r="L207" s="635"/>
      <c r="M207" s="21">
        <f t="shared" si="52"/>
        <v>1</v>
      </c>
      <c r="N207" s="635"/>
      <c r="O207" s="21">
        <f t="shared" si="53"/>
        <v>1</v>
      </c>
      <c r="P207" s="635"/>
      <c r="Q207" s="21">
        <f t="shared" si="54"/>
        <v>1</v>
      </c>
      <c r="R207" s="21">
        <f t="shared" si="55"/>
        <v>0</v>
      </c>
      <c r="S207" s="308">
        <f t="shared" si="57"/>
        <v>0</v>
      </c>
    </row>
    <row r="208" spans="1:19">
      <c r="A208" s="142"/>
      <c r="B208" s="52"/>
      <c r="C208" s="21">
        <f t="shared" si="47"/>
        <v>1</v>
      </c>
      <c r="D208" s="635"/>
      <c r="E208" s="21">
        <f t="shared" si="48"/>
        <v>0.02</v>
      </c>
      <c r="F208" s="635"/>
      <c r="G208" s="21">
        <f t="shared" si="49"/>
        <v>1</v>
      </c>
      <c r="H208" s="635"/>
      <c r="I208" s="21">
        <f t="shared" si="50"/>
        <v>1</v>
      </c>
      <c r="J208" s="635"/>
      <c r="K208" s="21">
        <f t="shared" si="51"/>
        <v>1</v>
      </c>
      <c r="L208" s="635"/>
      <c r="M208" s="21">
        <f t="shared" si="52"/>
        <v>1</v>
      </c>
      <c r="N208" s="635"/>
      <c r="O208" s="21">
        <f t="shared" si="53"/>
        <v>1</v>
      </c>
      <c r="P208" s="635"/>
      <c r="Q208" s="21">
        <f t="shared" si="54"/>
        <v>1</v>
      </c>
      <c r="R208" s="21">
        <f t="shared" si="55"/>
        <v>0</v>
      </c>
      <c r="S208" s="308">
        <f t="shared" si="57"/>
        <v>0</v>
      </c>
    </row>
    <row r="209" spans="1:19">
      <c r="A209" s="142"/>
      <c r="B209" s="52"/>
      <c r="C209" s="21">
        <f t="shared" si="47"/>
        <v>1</v>
      </c>
      <c r="D209" s="635"/>
      <c r="E209" s="21">
        <f t="shared" si="48"/>
        <v>0.02</v>
      </c>
      <c r="F209" s="635"/>
      <c r="G209" s="21">
        <f t="shared" si="49"/>
        <v>1</v>
      </c>
      <c r="H209" s="635"/>
      <c r="I209" s="21">
        <f t="shared" si="50"/>
        <v>1</v>
      </c>
      <c r="J209" s="635"/>
      <c r="K209" s="21">
        <f t="shared" si="51"/>
        <v>1</v>
      </c>
      <c r="L209" s="635"/>
      <c r="M209" s="21">
        <f t="shared" si="52"/>
        <v>1</v>
      </c>
      <c r="N209" s="635"/>
      <c r="O209" s="21">
        <f t="shared" si="53"/>
        <v>1</v>
      </c>
      <c r="P209" s="635"/>
      <c r="Q209" s="21">
        <f t="shared" si="54"/>
        <v>1</v>
      </c>
      <c r="R209" s="21">
        <f t="shared" si="55"/>
        <v>0</v>
      </c>
      <c r="S209" s="308">
        <f t="shared" si="57"/>
        <v>0</v>
      </c>
    </row>
    <row r="210" spans="1:19">
      <c r="A210" s="142"/>
      <c r="B210" s="52"/>
      <c r="C210" s="21">
        <f t="shared" si="47"/>
        <v>1</v>
      </c>
      <c r="D210" s="635"/>
      <c r="E210" s="21">
        <f t="shared" si="48"/>
        <v>0.02</v>
      </c>
      <c r="F210" s="635"/>
      <c r="G210" s="21">
        <f t="shared" si="49"/>
        <v>1</v>
      </c>
      <c r="H210" s="635"/>
      <c r="I210" s="21">
        <f t="shared" si="50"/>
        <v>1</v>
      </c>
      <c r="J210" s="635"/>
      <c r="K210" s="21">
        <f t="shared" si="51"/>
        <v>1</v>
      </c>
      <c r="L210" s="635"/>
      <c r="M210" s="21">
        <f t="shared" si="52"/>
        <v>1</v>
      </c>
      <c r="N210" s="635"/>
      <c r="O210" s="21">
        <f t="shared" si="53"/>
        <v>1</v>
      </c>
      <c r="P210" s="635"/>
      <c r="Q210" s="21">
        <f t="shared" si="54"/>
        <v>1</v>
      </c>
      <c r="R210" s="21">
        <f t="shared" si="55"/>
        <v>0</v>
      </c>
      <c r="S210" s="308">
        <f t="shared" si="57"/>
        <v>0</v>
      </c>
    </row>
    <row r="211" spans="1:19">
      <c r="A211" s="142"/>
      <c r="B211" s="52"/>
      <c r="C211" s="21">
        <f t="shared" si="47"/>
        <v>1</v>
      </c>
      <c r="D211" s="635"/>
      <c r="E211" s="21">
        <f t="shared" si="48"/>
        <v>0.02</v>
      </c>
      <c r="F211" s="635"/>
      <c r="G211" s="21">
        <f t="shared" si="49"/>
        <v>1</v>
      </c>
      <c r="H211" s="635"/>
      <c r="I211" s="21">
        <f t="shared" si="50"/>
        <v>1</v>
      </c>
      <c r="J211" s="635"/>
      <c r="K211" s="21">
        <f t="shared" si="51"/>
        <v>1</v>
      </c>
      <c r="L211" s="635"/>
      <c r="M211" s="21">
        <f t="shared" si="52"/>
        <v>1</v>
      </c>
      <c r="N211" s="635"/>
      <c r="O211" s="21">
        <f t="shared" si="53"/>
        <v>1</v>
      </c>
      <c r="P211" s="635"/>
      <c r="Q211" s="21">
        <f t="shared" si="54"/>
        <v>1</v>
      </c>
      <c r="R211" s="21">
        <f t="shared" si="55"/>
        <v>0</v>
      </c>
      <c r="S211" s="308">
        <f t="shared" si="57"/>
        <v>0</v>
      </c>
    </row>
    <row r="212" spans="1:19">
      <c r="A212" s="142"/>
      <c r="B212" s="52"/>
      <c r="C212" s="21">
        <f t="shared" si="47"/>
        <v>1</v>
      </c>
      <c r="D212" s="635"/>
      <c r="E212" s="21">
        <f t="shared" si="48"/>
        <v>0.02</v>
      </c>
      <c r="F212" s="635"/>
      <c r="G212" s="21">
        <f t="shared" si="49"/>
        <v>1</v>
      </c>
      <c r="H212" s="635"/>
      <c r="I212" s="21">
        <f t="shared" si="50"/>
        <v>1</v>
      </c>
      <c r="J212" s="635"/>
      <c r="K212" s="21">
        <f t="shared" si="51"/>
        <v>1</v>
      </c>
      <c r="L212" s="635"/>
      <c r="M212" s="21">
        <f t="shared" si="52"/>
        <v>1</v>
      </c>
      <c r="N212" s="635"/>
      <c r="O212" s="21">
        <f t="shared" si="53"/>
        <v>1</v>
      </c>
      <c r="P212" s="635"/>
      <c r="Q212" s="21">
        <f t="shared" si="54"/>
        <v>1</v>
      </c>
      <c r="R212" s="21">
        <f t="shared" si="55"/>
        <v>0</v>
      </c>
      <c r="S212" s="308">
        <f t="shared" si="57"/>
        <v>0</v>
      </c>
    </row>
    <row r="213" spans="1:19">
      <c r="A213" s="142"/>
      <c r="B213" s="52"/>
      <c r="C213" s="21">
        <f t="shared" si="47"/>
        <v>1</v>
      </c>
      <c r="D213" s="635"/>
      <c r="E213" s="21">
        <f t="shared" si="48"/>
        <v>0.02</v>
      </c>
      <c r="F213" s="635"/>
      <c r="G213" s="21">
        <f t="shared" si="49"/>
        <v>1</v>
      </c>
      <c r="H213" s="635"/>
      <c r="I213" s="21">
        <f t="shared" si="50"/>
        <v>1</v>
      </c>
      <c r="J213" s="635"/>
      <c r="K213" s="21">
        <f t="shared" si="51"/>
        <v>1</v>
      </c>
      <c r="L213" s="635"/>
      <c r="M213" s="21">
        <f t="shared" si="52"/>
        <v>1</v>
      </c>
      <c r="N213" s="635"/>
      <c r="O213" s="21">
        <f t="shared" si="53"/>
        <v>1</v>
      </c>
      <c r="P213" s="635"/>
      <c r="Q213" s="21">
        <f t="shared" si="54"/>
        <v>1</v>
      </c>
      <c r="R213" s="21">
        <f t="shared" si="55"/>
        <v>0</v>
      </c>
      <c r="S213" s="308">
        <f t="shared" si="57"/>
        <v>0</v>
      </c>
    </row>
    <row r="214" spans="1:19">
      <c r="A214" s="142"/>
      <c r="B214" s="52"/>
      <c r="C214" s="21">
        <f t="shared" si="47"/>
        <v>1</v>
      </c>
      <c r="D214" s="635"/>
      <c r="E214" s="21">
        <f t="shared" si="48"/>
        <v>0.02</v>
      </c>
      <c r="F214" s="635"/>
      <c r="G214" s="21">
        <f t="shared" si="49"/>
        <v>1</v>
      </c>
      <c r="H214" s="635"/>
      <c r="I214" s="21">
        <f t="shared" si="50"/>
        <v>1</v>
      </c>
      <c r="J214" s="635"/>
      <c r="K214" s="21">
        <f t="shared" si="51"/>
        <v>1</v>
      </c>
      <c r="L214" s="635"/>
      <c r="M214" s="21">
        <f t="shared" si="52"/>
        <v>1</v>
      </c>
      <c r="N214" s="635"/>
      <c r="O214" s="21">
        <f t="shared" si="53"/>
        <v>1</v>
      </c>
      <c r="P214" s="635"/>
      <c r="Q214" s="21">
        <f t="shared" si="54"/>
        <v>1</v>
      </c>
      <c r="R214" s="21">
        <f t="shared" si="55"/>
        <v>0</v>
      </c>
      <c r="S214" s="308">
        <f t="shared" si="57"/>
        <v>0</v>
      </c>
    </row>
    <row r="215" spans="1:19">
      <c r="A215" s="142"/>
      <c r="B215" s="52"/>
      <c r="C215" s="21">
        <f t="shared" si="47"/>
        <v>1</v>
      </c>
      <c r="D215" s="635"/>
      <c r="E215" s="21">
        <f t="shared" si="48"/>
        <v>0.02</v>
      </c>
      <c r="F215" s="635"/>
      <c r="G215" s="21">
        <f t="shared" si="49"/>
        <v>1</v>
      </c>
      <c r="H215" s="635"/>
      <c r="I215" s="21">
        <f t="shared" si="50"/>
        <v>1</v>
      </c>
      <c r="J215" s="635"/>
      <c r="K215" s="21">
        <f t="shared" si="51"/>
        <v>1</v>
      </c>
      <c r="L215" s="635"/>
      <c r="M215" s="21">
        <f t="shared" si="52"/>
        <v>1</v>
      </c>
      <c r="N215" s="635"/>
      <c r="O215" s="21">
        <f t="shared" si="53"/>
        <v>1</v>
      </c>
      <c r="P215" s="635"/>
      <c r="Q215" s="21">
        <f t="shared" si="54"/>
        <v>1</v>
      </c>
      <c r="R215" s="21">
        <f t="shared" si="55"/>
        <v>0</v>
      </c>
      <c r="S215" s="308">
        <f t="shared" si="57"/>
        <v>0</v>
      </c>
    </row>
    <row r="216" spans="1:19">
      <c r="A216" s="142"/>
      <c r="B216" s="52"/>
      <c r="C216" s="21">
        <f t="shared" si="47"/>
        <v>1</v>
      </c>
      <c r="D216" s="635"/>
      <c r="E216" s="21">
        <f t="shared" si="48"/>
        <v>0.02</v>
      </c>
      <c r="F216" s="635"/>
      <c r="G216" s="21">
        <f t="shared" si="49"/>
        <v>1</v>
      </c>
      <c r="H216" s="635"/>
      <c r="I216" s="21">
        <f t="shared" si="50"/>
        <v>1</v>
      </c>
      <c r="J216" s="635"/>
      <c r="K216" s="21">
        <f t="shared" si="51"/>
        <v>1</v>
      </c>
      <c r="L216" s="635"/>
      <c r="M216" s="21">
        <f t="shared" si="52"/>
        <v>1</v>
      </c>
      <c r="N216" s="635"/>
      <c r="O216" s="21">
        <f t="shared" si="53"/>
        <v>1</v>
      </c>
      <c r="P216" s="635"/>
      <c r="Q216" s="21">
        <f t="shared" si="54"/>
        <v>1</v>
      </c>
      <c r="R216" s="21">
        <f t="shared" si="55"/>
        <v>0</v>
      </c>
      <c r="S216" s="308">
        <f t="shared" si="57"/>
        <v>0</v>
      </c>
    </row>
    <row r="217" spans="1:19">
      <c r="A217" s="142"/>
      <c r="B217" s="52"/>
      <c r="C217" s="21">
        <f t="shared" si="47"/>
        <v>1</v>
      </c>
      <c r="D217" s="635"/>
      <c r="E217" s="21">
        <f t="shared" si="48"/>
        <v>0.02</v>
      </c>
      <c r="F217" s="635"/>
      <c r="G217" s="21">
        <f t="shared" si="49"/>
        <v>1</v>
      </c>
      <c r="H217" s="635"/>
      <c r="I217" s="21">
        <f t="shared" si="50"/>
        <v>1</v>
      </c>
      <c r="J217" s="635"/>
      <c r="K217" s="21">
        <f t="shared" si="51"/>
        <v>1</v>
      </c>
      <c r="L217" s="635"/>
      <c r="M217" s="21">
        <f t="shared" si="52"/>
        <v>1</v>
      </c>
      <c r="N217" s="635"/>
      <c r="O217" s="21">
        <f t="shared" si="53"/>
        <v>1</v>
      </c>
      <c r="P217" s="635"/>
      <c r="Q217" s="21">
        <f t="shared" si="54"/>
        <v>1</v>
      </c>
      <c r="R217" s="21">
        <f t="shared" si="55"/>
        <v>0</v>
      </c>
      <c r="S217" s="308">
        <f t="shared" si="57"/>
        <v>0</v>
      </c>
    </row>
    <row r="218" spans="1:19">
      <c r="A218" s="142"/>
      <c r="B218" s="52"/>
      <c r="C218" s="21">
        <f t="shared" ref="C218:C281" si="58">IF(B218="",1,(LOOKUP(B218,$3:$3,$4:$4)-LOOKUP($B$24,$3:$3,$4:$4)+100)/100)</f>
        <v>1</v>
      </c>
      <c r="D218" s="635"/>
      <c r="E218" s="21">
        <f t="shared" ref="E218:E281" si="59">(SUMIF($5:$5,D218,$6:$6)-SUMIF($5:$5,$D$24,$6:$6)+100)/100</f>
        <v>0.02</v>
      </c>
      <c r="F218" s="635"/>
      <c r="G218" s="21">
        <f t="shared" ref="G218:G281" si="60">(SUMIF($7:$7,F218,$8:$8)-SUMIF($7:$7,$F$24,$8:$8)+100)/100</f>
        <v>1</v>
      </c>
      <c r="H218" s="635"/>
      <c r="I218" s="21">
        <f t="shared" ref="I218:I281" si="61">(SUMIF($9:$9,H218,$10:$10)-SUMIF($9:$9,$H$24,$10:$10)+100)/100</f>
        <v>1</v>
      </c>
      <c r="J218" s="635"/>
      <c r="K218" s="21">
        <f t="shared" ref="K218:K281" si="62">(SUMIF($11:$11,J218,$12:$12)-SUMIF($11:$11,$J$24,$12:$12)+100)/100</f>
        <v>1</v>
      </c>
      <c r="L218" s="635"/>
      <c r="M218" s="21">
        <f t="shared" ref="M218:M281" si="63">(SUMIF($13:$13,L218,$14:$14)-SUMIF($13:$13,$L$24,$14:$14)+100)/100</f>
        <v>1</v>
      </c>
      <c r="N218" s="635"/>
      <c r="O218" s="21">
        <f t="shared" ref="O218:O281" si="64">(SUMIF($15:$15,N218,$16:$16)-SUMIF($15:$15,$N$24,$16:$16)+100)/100</f>
        <v>1</v>
      </c>
      <c r="P218" s="635"/>
      <c r="Q218" s="21">
        <f t="shared" ref="Q218:Q281" si="65">(SUMIF($17:$17,P218,$18:$18)-SUMIF($17:$17,$P$24,$18:$18)+100)/100</f>
        <v>1</v>
      </c>
      <c r="R218" s="21">
        <f t="shared" ref="R218:R281" si="66">IF(B218="",0,ROUND($R$24*C218*E218*G218*I218*K218*M218*O218*Q218,0))</f>
        <v>0</v>
      </c>
      <c r="S218" s="308">
        <f t="shared" si="57"/>
        <v>0</v>
      </c>
    </row>
    <row r="219" spans="1:19">
      <c r="A219" s="142"/>
      <c r="B219" s="52"/>
      <c r="C219" s="21">
        <f t="shared" si="58"/>
        <v>1</v>
      </c>
      <c r="D219" s="635"/>
      <c r="E219" s="21">
        <f t="shared" si="59"/>
        <v>0.02</v>
      </c>
      <c r="F219" s="635"/>
      <c r="G219" s="21">
        <f t="shared" si="60"/>
        <v>1</v>
      </c>
      <c r="H219" s="635"/>
      <c r="I219" s="21">
        <f t="shared" si="61"/>
        <v>1</v>
      </c>
      <c r="J219" s="635"/>
      <c r="K219" s="21">
        <f t="shared" si="62"/>
        <v>1</v>
      </c>
      <c r="L219" s="635"/>
      <c r="M219" s="21">
        <f t="shared" si="63"/>
        <v>1</v>
      </c>
      <c r="N219" s="635"/>
      <c r="O219" s="21">
        <f t="shared" si="64"/>
        <v>1</v>
      </c>
      <c r="P219" s="635"/>
      <c r="Q219" s="21">
        <f t="shared" si="65"/>
        <v>1</v>
      </c>
      <c r="R219" s="21">
        <f t="shared" si="66"/>
        <v>0</v>
      </c>
      <c r="S219" s="308">
        <f t="shared" si="57"/>
        <v>0</v>
      </c>
    </row>
    <row r="220" spans="1:19">
      <c r="A220" s="142"/>
      <c r="B220" s="52"/>
      <c r="C220" s="21">
        <f t="shared" si="58"/>
        <v>1</v>
      </c>
      <c r="D220" s="635"/>
      <c r="E220" s="21">
        <f t="shared" si="59"/>
        <v>0.02</v>
      </c>
      <c r="F220" s="635"/>
      <c r="G220" s="21">
        <f t="shared" si="60"/>
        <v>1</v>
      </c>
      <c r="H220" s="635"/>
      <c r="I220" s="21">
        <f t="shared" si="61"/>
        <v>1</v>
      </c>
      <c r="J220" s="635"/>
      <c r="K220" s="21">
        <f t="shared" si="62"/>
        <v>1</v>
      </c>
      <c r="L220" s="635"/>
      <c r="M220" s="21">
        <f t="shared" si="63"/>
        <v>1</v>
      </c>
      <c r="N220" s="635"/>
      <c r="O220" s="21">
        <f t="shared" si="64"/>
        <v>1</v>
      </c>
      <c r="P220" s="635"/>
      <c r="Q220" s="21">
        <f t="shared" si="65"/>
        <v>1</v>
      </c>
      <c r="R220" s="21">
        <f t="shared" si="66"/>
        <v>0</v>
      </c>
      <c r="S220" s="308">
        <f t="shared" si="57"/>
        <v>0</v>
      </c>
    </row>
    <row r="221" spans="1:19">
      <c r="A221" s="142"/>
      <c r="B221" s="52"/>
      <c r="C221" s="21">
        <f t="shared" si="58"/>
        <v>1</v>
      </c>
      <c r="D221" s="635"/>
      <c r="E221" s="21">
        <f t="shared" si="59"/>
        <v>0.02</v>
      </c>
      <c r="F221" s="635"/>
      <c r="G221" s="21">
        <f t="shared" si="60"/>
        <v>1</v>
      </c>
      <c r="H221" s="635"/>
      <c r="I221" s="21">
        <f t="shared" si="61"/>
        <v>1</v>
      </c>
      <c r="J221" s="635"/>
      <c r="K221" s="21">
        <f t="shared" si="62"/>
        <v>1</v>
      </c>
      <c r="L221" s="635"/>
      <c r="M221" s="21">
        <f t="shared" si="63"/>
        <v>1</v>
      </c>
      <c r="N221" s="635"/>
      <c r="O221" s="21">
        <f t="shared" si="64"/>
        <v>1</v>
      </c>
      <c r="P221" s="635"/>
      <c r="Q221" s="21">
        <f t="shared" si="65"/>
        <v>1</v>
      </c>
      <c r="R221" s="21">
        <f t="shared" si="66"/>
        <v>0</v>
      </c>
      <c r="S221" s="308">
        <f t="shared" si="57"/>
        <v>0</v>
      </c>
    </row>
    <row r="222" spans="1:19">
      <c r="A222" s="142"/>
      <c r="B222" s="52"/>
      <c r="C222" s="21">
        <f t="shared" si="58"/>
        <v>1</v>
      </c>
      <c r="D222" s="635"/>
      <c r="E222" s="21">
        <f t="shared" si="59"/>
        <v>0.02</v>
      </c>
      <c r="F222" s="635"/>
      <c r="G222" s="21">
        <f t="shared" si="60"/>
        <v>1</v>
      </c>
      <c r="H222" s="635"/>
      <c r="I222" s="21">
        <f t="shared" si="61"/>
        <v>1</v>
      </c>
      <c r="J222" s="635"/>
      <c r="K222" s="21">
        <f t="shared" si="62"/>
        <v>1</v>
      </c>
      <c r="L222" s="635"/>
      <c r="M222" s="21">
        <f t="shared" si="63"/>
        <v>1</v>
      </c>
      <c r="N222" s="635"/>
      <c r="O222" s="21">
        <f t="shared" si="64"/>
        <v>1</v>
      </c>
      <c r="P222" s="635"/>
      <c r="Q222" s="21">
        <f t="shared" si="65"/>
        <v>1</v>
      </c>
      <c r="R222" s="21">
        <f t="shared" si="66"/>
        <v>0</v>
      </c>
      <c r="S222" s="308">
        <f t="shared" si="57"/>
        <v>0</v>
      </c>
    </row>
    <row r="223" spans="1:19">
      <c r="A223" s="142"/>
      <c r="B223" s="52"/>
      <c r="C223" s="21">
        <f t="shared" si="58"/>
        <v>1</v>
      </c>
      <c r="D223" s="635"/>
      <c r="E223" s="21">
        <f t="shared" si="59"/>
        <v>0.02</v>
      </c>
      <c r="F223" s="635"/>
      <c r="G223" s="21">
        <f t="shared" si="60"/>
        <v>1</v>
      </c>
      <c r="H223" s="635"/>
      <c r="I223" s="21">
        <f t="shared" si="61"/>
        <v>1</v>
      </c>
      <c r="J223" s="635"/>
      <c r="K223" s="21">
        <f t="shared" si="62"/>
        <v>1</v>
      </c>
      <c r="L223" s="635"/>
      <c r="M223" s="21">
        <f t="shared" si="63"/>
        <v>1</v>
      </c>
      <c r="N223" s="635"/>
      <c r="O223" s="21">
        <f t="shared" si="64"/>
        <v>1</v>
      </c>
      <c r="P223" s="635"/>
      <c r="Q223" s="21">
        <f t="shared" si="65"/>
        <v>1</v>
      </c>
      <c r="R223" s="21">
        <f t="shared" si="66"/>
        <v>0</v>
      </c>
      <c r="S223" s="308">
        <f t="shared" ref="S223:S286" si="67">ROUND(R223*B223/10000,0)</f>
        <v>0</v>
      </c>
    </row>
    <row r="224" spans="1:19">
      <c r="A224" s="142"/>
      <c r="B224" s="52"/>
      <c r="C224" s="21">
        <f t="shared" si="58"/>
        <v>1</v>
      </c>
      <c r="D224" s="635"/>
      <c r="E224" s="21">
        <f t="shared" si="59"/>
        <v>0.02</v>
      </c>
      <c r="F224" s="635"/>
      <c r="G224" s="21">
        <f t="shared" si="60"/>
        <v>1</v>
      </c>
      <c r="H224" s="635"/>
      <c r="I224" s="21">
        <f t="shared" si="61"/>
        <v>1</v>
      </c>
      <c r="J224" s="635"/>
      <c r="K224" s="21">
        <f t="shared" si="62"/>
        <v>1</v>
      </c>
      <c r="L224" s="635"/>
      <c r="M224" s="21">
        <f t="shared" si="63"/>
        <v>1</v>
      </c>
      <c r="N224" s="635"/>
      <c r="O224" s="21">
        <f t="shared" si="64"/>
        <v>1</v>
      </c>
      <c r="P224" s="635"/>
      <c r="Q224" s="21">
        <f t="shared" si="65"/>
        <v>1</v>
      </c>
      <c r="R224" s="21">
        <f t="shared" si="66"/>
        <v>0</v>
      </c>
      <c r="S224" s="308">
        <f t="shared" si="67"/>
        <v>0</v>
      </c>
    </row>
    <row r="225" spans="1:19">
      <c r="A225" s="142"/>
      <c r="B225" s="52"/>
      <c r="C225" s="21">
        <f t="shared" si="58"/>
        <v>1</v>
      </c>
      <c r="D225" s="635"/>
      <c r="E225" s="21">
        <f t="shared" si="59"/>
        <v>0.02</v>
      </c>
      <c r="F225" s="635"/>
      <c r="G225" s="21">
        <f t="shared" si="60"/>
        <v>1</v>
      </c>
      <c r="H225" s="635"/>
      <c r="I225" s="21">
        <f t="shared" si="61"/>
        <v>1</v>
      </c>
      <c r="J225" s="635"/>
      <c r="K225" s="21">
        <f t="shared" si="62"/>
        <v>1</v>
      </c>
      <c r="L225" s="635"/>
      <c r="M225" s="21">
        <f t="shared" si="63"/>
        <v>1</v>
      </c>
      <c r="N225" s="635"/>
      <c r="O225" s="21">
        <f t="shared" si="64"/>
        <v>1</v>
      </c>
      <c r="P225" s="635"/>
      <c r="Q225" s="21">
        <f t="shared" si="65"/>
        <v>1</v>
      </c>
      <c r="R225" s="21">
        <f t="shared" si="66"/>
        <v>0</v>
      </c>
      <c r="S225" s="308">
        <f t="shared" si="67"/>
        <v>0</v>
      </c>
    </row>
    <row r="226" spans="1:19">
      <c r="A226" s="142"/>
      <c r="B226" s="52"/>
      <c r="C226" s="21">
        <f t="shared" si="58"/>
        <v>1</v>
      </c>
      <c r="D226" s="635"/>
      <c r="E226" s="21">
        <f t="shared" si="59"/>
        <v>0.02</v>
      </c>
      <c r="F226" s="635"/>
      <c r="G226" s="21">
        <f t="shared" si="60"/>
        <v>1</v>
      </c>
      <c r="H226" s="635"/>
      <c r="I226" s="21">
        <f t="shared" si="61"/>
        <v>1</v>
      </c>
      <c r="J226" s="635"/>
      <c r="K226" s="21">
        <f t="shared" si="62"/>
        <v>1</v>
      </c>
      <c r="L226" s="635"/>
      <c r="M226" s="21">
        <f t="shared" si="63"/>
        <v>1</v>
      </c>
      <c r="N226" s="635"/>
      <c r="O226" s="21">
        <f t="shared" si="64"/>
        <v>1</v>
      </c>
      <c r="P226" s="635"/>
      <c r="Q226" s="21">
        <f t="shared" si="65"/>
        <v>1</v>
      </c>
      <c r="R226" s="21">
        <f t="shared" si="66"/>
        <v>0</v>
      </c>
      <c r="S226" s="308">
        <f t="shared" si="67"/>
        <v>0</v>
      </c>
    </row>
    <row r="227" spans="1:19">
      <c r="A227" s="142"/>
      <c r="B227" s="52"/>
      <c r="C227" s="21">
        <f t="shared" si="58"/>
        <v>1</v>
      </c>
      <c r="D227" s="635"/>
      <c r="E227" s="21">
        <f t="shared" si="59"/>
        <v>0.02</v>
      </c>
      <c r="F227" s="635"/>
      <c r="G227" s="21">
        <f t="shared" si="60"/>
        <v>1</v>
      </c>
      <c r="H227" s="635"/>
      <c r="I227" s="21">
        <f t="shared" si="61"/>
        <v>1</v>
      </c>
      <c r="J227" s="635"/>
      <c r="K227" s="21">
        <f t="shared" si="62"/>
        <v>1</v>
      </c>
      <c r="L227" s="635"/>
      <c r="M227" s="21">
        <f t="shared" si="63"/>
        <v>1</v>
      </c>
      <c r="N227" s="635"/>
      <c r="O227" s="21">
        <f t="shared" si="64"/>
        <v>1</v>
      </c>
      <c r="P227" s="635"/>
      <c r="Q227" s="21">
        <f t="shared" si="65"/>
        <v>1</v>
      </c>
      <c r="R227" s="21">
        <f t="shared" si="66"/>
        <v>0</v>
      </c>
      <c r="S227" s="308">
        <f t="shared" si="67"/>
        <v>0</v>
      </c>
    </row>
    <row r="228" spans="1:19">
      <c r="A228" s="142"/>
      <c r="B228" s="52"/>
      <c r="C228" s="21">
        <f t="shared" si="58"/>
        <v>1</v>
      </c>
      <c r="D228" s="635"/>
      <c r="E228" s="21">
        <f t="shared" si="59"/>
        <v>0.02</v>
      </c>
      <c r="F228" s="635"/>
      <c r="G228" s="21">
        <f t="shared" si="60"/>
        <v>1</v>
      </c>
      <c r="H228" s="635"/>
      <c r="I228" s="21">
        <f t="shared" si="61"/>
        <v>1</v>
      </c>
      <c r="J228" s="635"/>
      <c r="K228" s="21">
        <f t="shared" si="62"/>
        <v>1</v>
      </c>
      <c r="L228" s="635"/>
      <c r="M228" s="21">
        <f t="shared" si="63"/>
        <v>1</v>
      </c>
      <c r="N228" s="635"/>
      <c r="O228" s="21">
        <f t="shared" si="64"/>
        <v>1</v>
      </c>
      <c r="P228" s="635"/>
      <c r="Q228" s="21">
        <f t="shared" si="65"/>
        <v>1</v>
      </c>
      <c r="R228" s="21">
        <f t="shared" si="66"/>
        <v>0</v>
      </c>
      <c r="S228" s="308">
        <f t="shared" si="67"/>
        <v>0</v>
      </c>
    </row>
    <row r="229" spans="1:19">
      <c r="A229" s="142"/>
      <c r="B229" s="52"/>
      <c r="C229" s="21">
        <f t="shared" si="58"/>
        <v>1</v>
      </c>
      <c r="D229" s="635"/>
      <c r="E229" s="21">
        <f t="shared" si="59"/>
        <v>0.02</v>
      </c>
      <c r="F229" s="635"/>
      <c r="G229" s="21">
        <f t="shared" si="60"/>
        <v>1</v>
      </c>
      <c r="H229" s="635"/>
      <c r="I229" s="21">
        <f t="shared" si="61"/>
        <v>1</v>
      </c>
      <c r="J229" s="635"/>
      <c r="K229" s="21">
        <f t="shared" si="62"/>
        <v>1</v>
      </c>
      <c r="L229" s="635"/>
      <c r="M229" s="21">
        <f t="shared" si="63"/>
        <v>1</v>
      </c>
      <c r="N229" s="635"/>
      <c r="O229" s="21">
        <f t="shared" si="64"/>
        <v>1</v>
      </c>
      <c r="P229" s="635"/>
      <c r="Q229" s="21">
        <f t="shared" si="65"/>
        <v>1</v>
      </c>
      <c r="R229" s="21">
        <f t="shared" si="66"/>
        <v>0</v>
      </c>
      <c r="S229" s="308">
        <f t="shared" si="67"/>
        <v>0</v>
      </c>
    </row>
    <row r="230" spans="1:19">
      <c r="A230" s="142"/>
      <c r="B230" s="52"/>
      <c r="C230" s="21">
        <f t="shared" si="58"/>
        <v>1</v>
      </c>
      <c r="D230" s="635"/>
      <c r="E230" s="21">
        <f t="shared" si="59"/>
        <v>0.02</v>
      </c>
      <c r="F230" s="635"/>
      <c r="G230" s="21">
        <f t="shared" si="60"/>
        <v>1</v>
      </c>
      <c r="H230" s="635"/>
      <c r="I230" s="21">
        <f t="shared" si="61"/>
        <v>1</v>
      </c>
      <c r="J230" s="635"/>
      <c r="K230" s="21">
        <f t="shared" si="62"/>
        <v>1</v>
      </c>
      <c r="L230" s="635"/>
      <c r="M230" s="21">
        <f t="shared" si="63"/>
        <v>1</v>
      </c>
      <c r="N230" s="635"/>
      <c r="O230" s="21">
        <f t="shared" si="64"/>
        <v>1</v>
      </c>
      <c r="P230" s="635"/>
      <c r="Q230" s="21">
        <f t="shared" si="65"/>
        <v>1</v>
      </c>
      <c r="R230" s="21">
        <f t="shared" si="66"/>
        <v>0</v>
      </c>
      <c r="S230" s="308">
        <f t="shared" si="67"/>
        <v>0</v>
      </c>
    </row>
    <row r="231" spans="1:19">
      <c r="A231" s="142"/>
      <c r="B231" s="52"/>
      <c r="C231" s="21">
        <f t="shared" si="58"/>
        <v>1</v>
      </c>
      <c r="D231" s="635"/>
      <c r="E231" s="21">
        <f t="shared" si="59"/>
        <v>0.02</v>
      </c>
      <c r="F231" s="635"/>
      <c r="G231" s="21">
        <f t="shared" si="60"/>
        <v>1</v>
      </c>
      <c r="H231" s="635"/>
      <c r="I231" s="21">
        <f t="shared" si="61"/>
        <v>1</v>
      </c>
      <c r="J231" s="635"/>
      <c r="K231" s="21">
        <f t="shared" si="62"/>
        <v>1</v>
      </c>
      <c r="L231" s="635"/>
      <c r="M231" s="21">
        <f t="shared" si="63"/>
        <v>1</v>
      </c>
      <c r="N231" s="635"/>
      <c r="O231" s="21">
        <f t="shared" si="64"/>
        <v>1</v>
      </c>
      <c r="P231" s="635"/>
      <c r="Q231" s="21">
        <f t="shared" si="65"/>
        <v>1</v>
      </c>
      <c r="R231" s="21">
        <f t="shared" si="66"/>
        <v>0</v>
      </c>
      <c r="S231" s="308">
        <f t="shared" si="67"/>
        <v>0</v>
      </c>
    </row>
    <row r="232" spans="1:19">
      <c r="A232" s="142"/>
      <c r="B232" s="52"/>
      <c r="C232" s="21">
        <f t="shared" si="58"/>
        <v>1</v>
      </c>
      <c r="D232" s="635"/>
      <c r="E232" s="21">
        <f t="shared" si="59"/>
        <v>0.02</v>
      </c>
      <c r="F232" s="635"/>
      <c r="G232" s="21">
        <f t="shared" si="60"/>
        <v>1</v>
      </c>
      <c r="H232" s="635"/>
      <c r="I232" s="21">
        <f t="shared" si="61"/>
        <v>1</v>
      </c>
      <c r="J232" s="635"/>
      <c r="K232" s="21">
        <f t="shared" si="62"/>
        <v>1</v>
      </c>
      <c r="L232" s="635"/>
      <c r="M232" s="21">
        <f t="shared" si="63"/>
        <v>1</v>
      </c>
      <c r="N232" s="635"/>
      <c r="O232" s="21">
        <f t="shared" si="64"/>
        <v>1</v>
      </c>
      <c r="P232" s="635"/>
      <c r="Q232" s="21">
        <f t="shared" si="65"/>
        <v>1</v>
      </c>
      <c r="R232" s="21">
        <f t="shared" si="66"/>
        <v>0</v>
      </c>
      <c r="S232" s="308">
        <f t="shared" si="67"/>
        <v>0</v>
      </c>
    </row>
    <row r="233" spans="1:19">
      <c r="A233" s="142"/>
      <c r="B233" s="52"/>
      <c r="C233" s="21">
        <f t="shared" si="58"/>
        <v>1</v>
      </c>
      <c r="D233" s="635"/>
      <c r="E233" s="21">
        <f t="shared" si="59"/>
        <v>0.02</v>
      </c>
      <c r="F233" s="635"/>
      <c r="G233" s="21">
        <f t="shared" si="60"/>
        <v>1</v>
      </c>
      <c r="H233" s="635"/>
      <c r="I233" s="21">
        <f t="shared" si="61"/>
        <v>1</v>
      </c>
      <c r="J233" s="635"/>
      <c r="K233" s="21">
        <f t="shared" si="62"/>
        <v>1</v>
      </c>
      <c r="L233" s="635"/>
      <c r="M233" s="21">
        <f t="shared" si="63"/>
        <v>1</v>
      </c>
      <c r="N233" s="635"/>
      <c r="O233" s="21">
        <f t="shared" si="64"/>
        <v>1</v>
      </c>
      <c r="P233" s="635"/>
      <c r="Q233" s="21">
        <f t="shared" si="65"/>
        <v>1</v>
      </c>
      <c r="R233" s="21">
        <f t="shared" si="66"/>
        <v>0</v>
      </c>
      <c r="S233" s="308">
        <f t="shared" si="67"/>
        <v>0</v>
      </c>
    </row>
    <row r="234" spans="1:19">
      <c r="A234" s="142"/>
      <c r="B234" s="52"/>
      <c r="C234" s="21">
        <f t="shared" si="58"/>
        <v>1</v>
      </c>
      <c r="D234" s="635"/>
      <c r="E234" s="21">
        <f t="shared" si="59"/>
        <v>0.02</v>
      </c>
      <c r="F234" s="635"/>
      <c r="G234" s="21">
        <f t="shared" si="60"/>
        <v>1</v>
      </c>
      <c r="H234" s="635"/>
      <c r="I234" s="21">
        <f t="shared" si="61"/>
        <v>1</v>
      </c>
      <c r="J234" s="635"/>
      <c r="K234" s="21">
        <f t="shared" si="62"/>
        <v>1</v>
      </c>
      <c r="L234" s="635"/>
      <c r="M234" s="21">
        <f t="shared" si="63"/>
        <v>1</v>
      </c>
      <c r="N234" s="635"/>
      <c r="O234" s="21">
        <f t="shared" si="64"/>
        <v>1</v>
      </c>
      <c r="P234" s="635"/>
      <c r="Q234" s="21">
        <f t="shared" si="65"/>
        <v>1</v>
      </c>
      <c r="R234" s="21">
        <f t="shared" si="66"/>
        <v>0</v>
      </c>
      <c r="S234" s="308">
        <f t="shared" si="67"/>
        <v>0</v>
      </c>
    </row>
    <row r="235" spans="1:19">
      <c r="A235" s="142"/>
      <c r="B235" s="52"/>
      <c r="C235" s="21">
        <f t="shared" si="58"/>
        <v>1</v>
      </c>
      <c r="D235" s="635"/>
      <c r="E235" s="21">
        <f t="shared" si="59"/>
        <v>0.02</v>
      </c>
      <c r="F235" s="635"/>
      <c r="G235" s="21">
        <f t="shared" si="60"/>
        <v>1</v>
      </c>
      <c r="H235" s="635"/>
      <c r="I235" s="21">
        <f t="shared" si="61"/>
        <v>1</v>
      </c>
      <c r="J235" s="635"/>
      <c r="K235" s="21">
        <f t="shared" si="62"/>
        <v>1</v>
      </c>
      <c r="L235" s="635"/>
      <c r="M235" s="21">
        <f t="shared" si="63"/>
        <v>1</v>
      </c>
      <c r="N235" s="635"/>
      <c r="O235" s="21">
        <f t="shared" si="64"/>
        <v>1</v>
      </c>
      <c r="P235" s="635"/>
      <c r="Q235" s="21">
        <f t="shared" si="65"/>
        <v>1</v>
      </c>
      <c r="R235" s="21">
        <f t="shared" si="66"/>
        <v>0</v>
      </c>
      <c r="S235" s="308">
        <f t="shared" si="67"/>
        <v>0</v>
      </c>
    </row>
    <row r="236" spans="1:19">
      <c r="A236" s="142"/>
      <c r="B236" s="52"/>
      <c r="C236" s="21">
        <f t="shared" si="58"/>
        <v>1</v>
      </c>
      <c r="D236" s="635"/>
      <c r="E236" s="21">
        <f t="shared" si="59"/>
        <v>0.02</v>
      </c>
      <c r="F236" s="635"/>
      <c r="G236" s="21">
        <f t="shared" si="60"/>
        <v>1</v>
      </c>
      <c r="H236" s="635"/>
      <c r="I236" s="21">
        <f t="shared" si="61"/>
        <v>1</v>
      </c>
      <c r="J236" s="635"/>
      <c r="K236" s="21">
        <f t="shared" si="62"/>
        <v>1</v>
      </c>
      <c r="L236" s="635"/>
      <c r="M236" s="21">
        <f t="shared" si="63"/>
        <v>1</v>
      </c>
      <c r="N236" s="635"/>
      <c r="O236" s="21">
        <f t="shared" si="64"/>
        <v>1</v>
      </c>
      <c r="P236" s="635"/>
      <c r="Q236" s="21">
        <f t="shared" si="65"/>
        <v>1</v>
      </c>
      <c r="R236" s="21">
        <f t="shared" si="66"/>
        <v>0</v>
      </c>
      <c r="S236" s="308">
        <f t="shared" si="67"/>
        <v>0</v>
      </c>
    </row>
    <row r="237" spans="1:19">
      <c r="A237" s="142"/>
      <c r="B237" s="52"/>
      <c r="C237" s="21">
        <f t="shared" si="58"/>
        <v>1</v>
      </c>
      <c r="D237" s="635"/>
      <c r="E237" s="21">
        <f t="shared" si="59"/>
        <v>0.02</v>
      </c>
      <c r="F237" s="635"/>
      <c r="G237" s="21">
        <f t="shared" si="60"/>
        <v>1</v>
      </c>
      <c r="H237" s="635"/>
      <c r="I237" s="21">
        <f t="shared" si="61"/>
        <v>1</v>
      </c>
      <c r="J237" s="635"/>
      <c r="K237" s="21">
        <f t="shared" si="62"/>
        <v>1</v>
      </c>
      <c r="L237" s="635"/>
      <c r="M237" s="21">
        <f t="shared" si="63"/>
        <v>1</v>
      </c>
      <c r="N237" s="635"/>
      <c r="O237" s="21">
        <f t="shared" si="64"/>
        <v>1</v>
      </c>
      <c r="P237" s="635"/>
      <c r="Q237" s="21">
        <f t="shared" si="65"/>
        <v>1</v>
      </c>
      <c r="R237" s="21">
        <f t="shared" si="66"/>
        <v>0</v>
      </c>
      <c r="S237" s="308">
        <f t="shared" si="67"/>
        <v>0</v>
      </c>
    </row>
    <row r="238" spans="1:19">
      <c r="A238" s="142"/>
      <c r="B238" s="52"/>
      <c r="C238" s="21">
        <f t="shared" si="58"/>
        <v>1</v>
      </c>
      <c r="D238" s="635"/>
      <c r="E238" s="21">
        <f t="shared" si="59"/>
        <v>0.02</v>
      </c>
      <c r="F238" s="635"/>
      <c r="G238" s="21">
        <f t="shared" si="60"/>
        <v>1</v>
      </c>
      <c r="H238" s="635"/>
      <c r="I238" s="21">
        <f t="shared" si="61"/>
        <v>1</v>
      </c>
      <c r="J238" s="635"/>
      <c r="K238" s="21">
        <f t="shared" si="62"/>
        <v>1</v>
      </c>
      <c r="L238" s="635"/>
      <c r="M238" s="21">
        <f t="shared" si="63"/>
        <v>1</v>
      </c>
      <c r="N238" s="635"/>
      <c r="O238" s="21">
        <f t="shared" si="64"/>
        <v>1</v>
      </c>
      <c r="P238" s="635"/>
      <c r="Q238" s="21">
        <f t="shared" si="65"/>
        <v>1</v>
      </c>
      <c r="R238" s="21">
        <f t="shared" si="66"/>
        <v>0</v>
      </c>
      <c r="S238" s="308">
        <f t="shared" si="67"/>
        <v>0</v>
      </c>
    </row>
    <row r="239" spans="1:19">
      <c r="A239" s="142"/>
      <c r="B239" s="52"/>
      <c r="C239" s="21">
        <f t="shared" si="58"/>
        <v>1</v>
      </c>
      <c r="D239" s="635"/>
      <c r="E239" s="21">
        <f t="shared" si="59"/>
        <v>0.02</v>
      </c>
      <c r="F239" s="635"/>
      <c r="G239" s="21">
        <f t="shared" si="60"/>
        <v>1</v>
      </c>
      <c r="H239" s="635"/>
      <c r="I239" s="21">
        <f t="shared" si="61"/>
        <v>1</v>
      </c>
      <c r="J239" s="635"/>
      <c r="K239" s="21">
        <f t="shared" si="62"/>
        <v>1</v>
      </c>
      <c r="L239" s="635"/>
      <c r="M239" s="21">
        <f t="shared" si="63"/>
        <v>1</v>
      </c>
      <c r="N239" s="635"/>
      <c r="O239" s="21">
        <f t="shared" si="64"/>
        <v>1</v>
      </c>
      <c r="P239" s="635"/>
      <c r="Q239" s="21">
        <f t="shared" si="65"/>
        <v>1</v>
      </c>
      <c r="R239" s="21">
        <f t="shared" si="66"/>
        <v>0</v>
      </c>
      <c r="S239" s="308">
        <f t="shared" si="67"/>
        <v>0</v>
      </c>
    </row>
    <row r="240" spans="1:19">
      <c r="A240" s="142"/>
      <c r="B240" s="52"/>
      <c r="C240" s="21">
        <f t="shared" si="58"/>
        <v>1</v>
      </c>
      <c r="D240" s="635"/>
      <c r="E240" s="21">
        <f t="shared" si="59"/>
        <v>0.02</v>
      </c>
      <c r="F240" s="635"/>
      <c r="G240" s="21">
        <f t="shared" si="60"/>
        <v>1</v>
      </c>
      <c r="H240" s="635"/>
      <c r="I240" s="21">
        <f t="shared" si="61"/>
        <v>1</v>
      </c>
      <c r="J240" s="635"/>
      <c r="K240" s="21">
        <f t="shared" si="62"/>
        <v>1</v>
      </c>
      <c r="L240" s="635"/>
      <c r="M240" s="21">
        <f t="shared" si="63"/>
        <v>1</v>
      </c>
      <c r="N240" s="635"/>
      <c r="O240" s="21">
        <f t="shared" si="64"/>
        <v>1</v>
      </c>
      <c r="P240" s="635"/>
      <c r="Q240" s="21">
        <f t="shared" si="65"/>
        <v>1</v>
      </c>
      <c r="R240" s="21">
        <f t="shared" si="66"/>
        <v>0</v>
      </c>
      <c r="S240" s="308">
        <f t="shared" si="67"/>
        <v>0</v>
      </c>
    </row>
    <row r="241" spans="1:19">
      <c r="A241" s="142"/>
      <c r="B241" s="52"/>
      <c r="C241" s="21">
        <f t="shared" si="58"/>
        <v>1</v>
      </c>
      <c r="D241" s="635"/>
      <c r="E241" s="21">
        <f t="shared" si="59"/>
        <v>0.02</v>
      </c>
      <c r="F241" s="635"/>
      <c r="G241" s="21">
        <f t="shared" si="60"/>
        <v>1</v>
      </c>
      <c r="H241" s="635"/>
      <c r="I241" s="21">
        <f t="shared" si="61"/>
        <v>1</v>
      </c>
      <c r="J241" s="635"/>
      <c r="K241" s="21">
        <f t="shared" si="62"/>
        <v>1</v>
      </c>
      <c r="L241" s="635"/>
      <c r="M241" s="21">
        <f t="shared" si="63"/>
        <v>1</v>
      </c>
      <c r="N241" s="635"/>
      <c r="O241" s="21">
        <f t="shared" si="64"/>
        <v>1</v>
      </c>
      <c r="P241" s="635"/>
      <c r="Q241" s="21">
        <f t="shared" si="65"/>
        <v>1</v>
      </c>
      <c r="R241" s="21">
        <f t="shared" si="66"/>
        <v>0</v>
      </c>
      <c r="S241" s="308">
        <f t="shared" si="67"/>
        <v>0</v>
      </c>
    </row>
    <row r="242" spans="1:19">
      <c r="A242" s="142"/>
      <c r="B242" s="52"/>
      <c r="C242" s="21">
        <f t="shared" si="58"/>
        <v>1</v>
      </c>
      <c r="D242" s="635"/>
      <c r="E242" s="21">
        <f t="shared" si="59"/>
        <v>0.02</v>
      </c>
      <c r="F242" s="635"/>
      <c r="G242" s="21">
        <f t="shared" si="60"/>
        <v>1</v>
      </c>
      <c r="H242" s="635"/>
      <c r="I242" s="21">
        <f t="shared" si="61"/>
        <v>1</v>
      </c>
      <c r="J242" s="635"/>
      <c r="K242" s="21">
        <f t="shared" si="62"/>
        <v>1</v>
      </c>
      <c r="L242" s="635"/>
      <c r="M242" s="21">
        <f t="shared" si="63"/>
        <v>1</v>
      </c>
      <c r="N242" s="635"/>
      <c r="O242" s="21">
        <f t="shared" si="64"/>
        <v>1</v>
      </c>
      <c r="P242" s="635"/>
      <c r="Q242" s="21">
        <f t="shared" si="65"/>
        <v>1</v>
      </c>
      <c r="R242" s="21">
        <f t="shared" si="66"/>
        <v>0</v>
      </c>
      <c r="S242" s="308">
        <f t="shared" si="67"/>
        <v>0</v>
      </c>
    </row>
    <row r="243" spans="1:19">
      <c r="A243" s="142"/>
      <c r="B243" s="52"/>
      <c r="C243" s="21">
        <f t="shared" si="58"/>
        <v>1</v>
      </c>
      <c r="D243" s="635"/>
      <c r="E243" s="21">
        <f t="shared" si="59"/>
        <v>0.02</v>
      </c>
      <c r="F243" s="635"/>
      <c r="G243" s="21">
        <f t="shared" si="60"/>
        <v>1</v>
      </c>
      <c r="H243" s="635"/>
      <c r="I243" s="21">
        <f t="shared" si="61"/>
        <v>1</v>
      </c>
      <c r="J243" s="635"/>
      <c r="K243" s="21">
        <f t="shared" si="62"/>
        <v>1</v>
      </c>
      <c r="L243" s="635"/>
      <c r="M243" s="21">
        <f t="shared" si="63"/>
        <v>1</v>
      </c>
      <c r="N243" s="635"/>
      <c r="O243" s="21">
        <f t="shared" si="64"/>
        <v>1</v>
      </c>
      <c r="P243" s="635"/>
      <c r="Q243" s="21">
        <f t="shared" si="65"/>
        <v>1</v>
      </c>
      <c r="R243" s="21">
        <f t="shared" si="66"/>
        <v>0</v>
      </c>
      <c r="S243" s="308">
        <f t="shared" si="67"/>
        <v>0</v>
      </c>
    </row>
    <row r="244" spans="1:19">
      <c r="A244" s="142"/>
      <c r="B244" s="52"/>
      <c r="C244" s="21">
        <f t="shared" si="58"/>
        <v>1</v>
      </c>
      <c r="D244" s="635"/>
      <c r="E244" s="21">
        <f t="shared" si="59"/>
        <v>0.02</v>
      </c>
      <c r="F244" s="635"/>
      <c r="G244" s="21">
        <f t="shared" si="60"/>
        <v>1</v>
      </c>
      <c r="H244" s="635"/>
      <c r="I244" s="21">
        <f t="shared" si="61"/>
        <v>1</v>
      </c>
      <c r="J244" s="635"/>
      <c r="K244" s="21">
        <f t="shared" si="62"/>
        <v>1</v>
      </c>
      <c r="L244" s="635"/>
      <c r="M244" s="21">
        <f t="shared" si="63"/>
        <v>1</v>
      </c>
      <c r="N244" s="635"/>
      <c r="O244" s="21">
        <f t="shared" si="64"/>
        <v>1</v>
      </c>
      <c r="P244" s="635"/>
      <c r="Q244" s="21">
        <f t="shared" si="65"/>
        <v>1</v>
      </c>
      <c r="R244" s="21">
        <f t="shared" si="66"/>
        <v>0</v>
      </c>
      <c r="S244" s="308">
        <f t="shared" si="67"/>
        <v>0</v>
      </c>
    </row>
    <row r="245" spans="1:19">
      <c r="A245" s="142"/>
      <c r="B245" s="52"/>
      <c r="C245" s="21">
        <f t="shared" si="58"/>
        <v>1</v>
      </c>
      <c r="D245" s="635"/>
      <c r="E245" s="21">
        <f t="shared" si="59"/>
        <v>0.02</v>
      </c>
      <c r="F245" s="635"/>
      <c r="G245" s="21">
        <f t="shared" si="60"/>
        <v>1</v>
      </c>
      <c r="H245" s="635"/>
      <c r="I245" s="21">
        <f t="shared" si="61"/>
        <v>1</v>
      </c>
      <c r="J245" s="635"/>
      <c r="K245" s="21">
        <f t="shared" si="62"/>
        <v>1</v>
      </c>
      <c r="L245" s="635"/>
      <c r="M245" s="21">
        <f t="shared" si="63"/>
        <v>1</v>
      </c>
      <c r="N245" s="635"/>
      <c r="O245" s="21">
        <f t="shared" si="64"/>
        <v>1</v>
      </c>
      <c r="P245" s="635"/>
      <c r="Q245" s="21">
        <f t="shared" si="65"/>
        <v>1</v>
      </c>
      <c r="R245" s="21">
        <f t="shared" si="66"/>
        <v>0</v>
      </c>
      <c r="S245" s="308">
        <f t="shared" si="67"/>
        <v>0</v>
      </c>
    </row>
    <row r="246" spans="1:19">
      <c r="A246" s="142"/>
      <c r="B246" s="52"/>
      <c r="C246" s="21">
        <f t="shared" si="58"/>
        <v>1</v>
      </c>
      <c r="D246" s="635"/>
      <c r="E246" s="21">
        <f t="shared" si="59"/>
        <v>0.02</v>
      </c>
      <c r="F246" s="635"/>
      <c r="G246" s="21">
        <f t="shared" si="60"/>
        <v>1</v>
      </c>
      <c r="H246" s="635"/>
      <c r="I246" s="21">
        <f t="shared" si="61"/>
        <v>1</v>
      </c>
      <c r="J246" s="635"/>
      <c r="K246" s="21">
        <f t="shared" si="62"/>
        <v>1</v>
      </c>
      <c r="L246" s="635"/>
      <c r="M246" s="21">
        <f t="shared" si="63"/>
        <v>1</v>
      </c>
      <c r="N246" s="635"/>
      <c r="O246" s="21">
        <f t="shared" si="64"/>
        <v>1</v>
      </c>
      <c r="P246" s="635"/>
      <c r="Q246" s="21">
        <f t="shared" si="65"/>
        <v>1</v>
      </c>
      <c r="R246" s="21">
        <f t="shared" si="66"/>
        <v>0</v>
      </c>
      <c r="S246" s="308">
        <f t="shared" si="67"/>
        <v>0</v>
      </c>
    </row>
    <row r="247" spans="1:19">
      <c r="A247" s="142"/>
      <c r="B247" s="52"/>
      <c r="C247" s="21">
        <f t="shared" si="58"/>
        <v>1</v>
      </c>
      <c r="D247" s="635"/>
      <c r="E247" s="21">
        <f t="shared" si="59"/>
        <v>0.02</v>
      </c>
      <c r="F247" s="635"/>
      <c r="G247" s="21">
        <f t="shared" si="60"/>
        <v>1</v>
      </c>
      <c r="H247" s="635"/>
      <c r="I247" s="21">
        <f t="shared" si="61"/>
        <v>1</v>
      </c>
      <c r="J247" s="635"/>
      <c r="K247" s="21">
        <f t="shared" si="62"/>
        <v>1</v>
      </c>
      <c r="L247" s="635"/>
      <c r="M247" s="21">
        <f t="shared" si="63"/>
        <v>1</v>
      </c>
      <c r="N247" s="635"/>
      <c r="O247" s="21">
        <f t="shared" si="64"/>
        <v>1</v>
      </c>
      <c r="P247" s="635"/>
      <c r="Q247" s="21">
        <f t="shared" si="65"/>
        <v>1</v>
      </c>
      <c r="R247" s="21">
        <f t="shared" si="66"/>
        <v>0</v>
      </c>
      <c r="S247" s="308">
        <f t="shared" si="67"/>
        <v>0</v>
      </c>
    </row>
    <row r="248" spans="1:19">
      <c r="A248" s="142"/>
      <c r="B248" s="52"/>
      <c r="C248" s="21">
        <f t="shared" si="58"/>
        <v>1</v>
      </c>
      <c r="D248" s="635"/>
      <c r="E248" s="21">
        <f t="shared" si="59"/>
        <v>0.02</v>
      </c>
      <c r="F248" s="635"/>
      <c r="G248" s="21">
        <f t="shared" si="60"/>
        <v>1</v>
      </c>
      <c r="H248" s="635"/>
      <c r="I248" s="21">
        <f t="shared" si="61"/>
        <v>1</v>
      </c>
      <c r="J248" s="635"/>
      <c r="K248" s="21">
        <f t="shared" si="62"/>
        <v>1</v>
      </c>
      <c r="L248" s="635"/>
      <c r="M248" s="21">
        <f t="shared" si="63"/>
        <v>1</v>
      </c>
      <c r="N248" s="635"/>
      <c r="O248" s="21">
        <f t="shared" si="64"/>
        <v>1</v>
      </c>
      <c r="P248" s="635"/>
      <c r="Q248" s="21">
        <f t="shared" si="65"/>
        <v>1</v>
      </c>
      <c r="R248" s="21">
        <f t="shared" si="66"/>
        <v>0</v>
      </c>
      <c r="S248" s="308">
        <f t="shared" si="67"/>
        <v>0</v>
      </c>
    </row>
    <row r="249" spans="1:19">
      <c r="A249" s="142"/>
      <c r="B249" s="52"/>
      <c r="C249" s="21">
        <f t="shared" si="58"/>
        <v>1</v>
      </c>
      <c r="D249" s="635"/>
      <c r="E249" s="21">
        <f t="shared" si="59"/>
        <v>0.02</v>
      </c>
      <c r="F249" s="635"/>
      <c r="G249" s="21">
        <f t="shared" si="60"/>
        <v>1</v>
      </c>
      <c r="H249" s="635"/>
      <c r="I249" s="21">
        <f t="shared" si="61"/>
        <v>1</v>
      </c>
      <c r="J249" s="635"/>
      <c r="K249" s="21">
        <f t="shared" si="62"/>
        <v>1</v>
      </c>
      <c r="L249" s="635"/>
      <c r="M249" s="21">
        <f t="shared" si="63"/>
        <v>1</v>
      </c>
      <c r="N249" s="635"/>
      <c r="O249" s="21">
        <f t="shared" si="64"/>
        <v>1</v>
      </c>
      <c r="P249" s="635"/>
      <c r="Q249" s="21">
        <f t="shared" si="65"/>
        <v>1</v>
      </c>
      <c r="R249" s="21">
        <f t="shared" si="66"/>
        <v>0</v>
      </c>
      <c r="S249" s="308">
        <f t="shared" si="67"/>
        <v>0</v>
      </c>
    </row>
    <row r="250" spans="1:19">
      <c r="A250" s="142"/>
      <c r="B250" s="52"/>
      <c r="C250" s="21">
        <f t="shared" si="58"/>
        <v>1</v>
      </c>
      <c r="D250" s="635"/>
      <c r="E250" s="21">
        <f t="shared" si="59"/>
        <v>0.02</v>
      </c>
      <c r="F250" s="635"/>
      <c r="G250" s="21">
        <f t="shared" si="60"/>
        <v>1</v>
      </c>
      <c r="H250" s="635"/>
      <c r="I250" s="21">
        <f t="shared" si="61"/>
        <v>1</v>
      </c>
      <c r="J250" s="635"/>
      <c r="K250" s="21">
        <f t="shared" si="62"/>
        <v>1</v>
      </c>
      <c r="L250" s="635"/>
      <c r="M250" s="21">
        <f t="shared" si="63"/>
        <v>1</v>
      </c>
      <c r="N250" s="635"/>
      <c r="O250" s="21">
        <f t="shared" si="64"/>
        <v>1</v>
      </c>
      <c r="P250" s="635"/>
      <c r="Q250" s="21">
        <f t="shared" si="65"/>
        <v>1</v>
      </c>
      <c r="R250" s="21">
        <f t="shared" si="66"/>
        <v>0</v>
      </c>
      <c r="S250" s="308">
        <f t="shared" si="67"/>
        <v>0</v>
      </c>
    </row>
    <row r="251" spans="1:19">
      <c r="A251" s="142"/>
      <c r="B251" s="52"/>
      <c r="C251" s="21">
        <f t="shared" si="58"/>
        <v>1</v>
      </c>
      <c r="D251" s="635"/>
      <c r="E251" s="21">
        <f t="shared" si="59"/>
        <v>0.02</v>
      </c>
      <c r="F251" s="635"/>
      <c r="G251" s="21">
        <f t="shared" si="60"/>
        <v>1</v>
      </c>
      <c r="H251" s="635"/>
      <c r="I251" s="21">
        <f t="shared" si="61"/>
        <v>1</v>
      </c>
      <c r="J251" s="635"/>
      <c r="K251" s="21">
        <f t="shared" si="62"/>
        <v>1</v>
      </c>
      <c r="L251" s="635"/>
      <c r="M251" s="21">
        <f t="shared" si="63"/>
        <v>1</v>
      </c>
      <c r="N251" s="635"/>
      <c r="O251" s="21">
        <f t="shared" si="64"/>
        <v>1</v>
      </c>
      <c r="P251" s="635"/>
      <c r="Q251" s="21">
        <f t="shared" si="65"/>
        <v>1</v>
      </c>
      <c r="R251" s="21">
        <f t="shared" si="66"/>
        <v>0</v>
      </c>
      <c r="S251" s="308">
        <f t="shared" si="67"/>
        <v>0</v>
      </c>
    </row>
    <row r="252" spans="1:19">
      <c r="A252" s="142"/>
      <c r="B252" s="52"/>
      <c r="C252" s="21">
        <f t="shared" si="58"/>
        <v>1</v>
      </c>
      <c r="D252" s="635"/>
      <c r="E252" s="21">
        <f t="shared" si="59"/>
        <v>0.02</v>
      </c>
      <c r="F252" s="635"/>
      <c r="G252" s="21">
        <f t="shared" si="60"/>
        <v>1</v>
      </c>
      <c r="H252" s="635"/>
      <c r="I252" s="21">
        <f t="shared" si="61"/>
        <v>1</v>
      </c>
      <c r="J252" s="635"/>
      <c r="K252" s="21">
        <f t="shared" si="62"/>
        <v>1</v>
      </c>
      <c r="L252" s="635"/>
      <c r="M252" s="21">
        <f t="shared" si="63"/>
        <v>1</v>
      </c>
      <c r="N252" s="635"/>
      <c r="O252" s="21">
        <f t="shared" si="64"/>
        <v>1</v>
      </c>
      <c r="P252" s="635"/>
      <c r="Q252" s="21">
        <f t="shared" si="65"/>
        <v>1</v>
      </c>
      <c r="R252" s="21">
        <f t="shared" si="66"/>
        <v>0</v>
      </c>
      <c r="S252" s="308">
        <f t="shared" si="67"/>
        <v>0</v>
      </c>
    </row>
    <row r="253" spans="1:19">
      <c r="A253" s="142"/>
      <c r="B253" s="52"/>
      <c r="C253" s="21">
        <f t="shared" si="58"/>
        <v>1</v>
      </c>
      <c r="D253" s="635"/>
      <c r="E253" s="21">
        <f t="shared" si="59"/>
        <v>0.02</v>
      </c>
      <c r="F253" s="635"/>
      <c r="G253" s="21">
        <f t="shared" si="60"/>
        <v>1</v>
      </c>
      <c r="H253" s="635"/>
      <c r="I253" s="21">
        <f t="shared" si="61"/>
        <v>1</v>
      </c>
      <c r="J253" s="635"/>
      <c r="K253" s="21">
        <f t="shared" si="62"/>
        <v>1</v>
      </c>
      <c r="L253" s="635"/>
      <c r="M253" s="21">
        <f t="shared" si="63"/>
        <v>1</v>
      </c>
      <c r="N253" s="635"/>
      <c r="O253" s="21">
        <f t="shared" si="64"/>
        <v>1</v>
      </c>
      <c r="P253" s="635"/>
      <c r="Q253" s="21">
        <f t="shared" si="65"/>
        <v>1</v>
      </c>
      <c r="R253" s="21">
        <f t="shared" si="66"/>
        <v>0</v>
      </c>
      <c r="S253" s="308">
        <f t="shared" si="67"/>
        <v>0</v>
      </c>
    </row>
    <row r="254" spans="1:19">
      <c r="A254" s="142"/>
      <c r="B254" s="52"/>
      <c r="C254" s="21">
        <f t="shared" si="58"/>
        <v>1</v>
      </c>
      <c r="D254" s="635"/>
      <c r="E254" s="21">
        <f t="shared" si="59"/>
        <v>0.02</v>
      </c>
      <c r="F254" s="635"/>
      <c r="G254" s="21">
        <f t="shared" si="60"/>
        <v>1</v>
      </c>
      <c r="H254" s="635"/>
      <c r="I254" s="21">
        <f t="shared" si="61"/>
        <v>1</v>
      </c>
      <c r="J254" s="635"/>
      <c r="K254" s="21">
        <f t="shared" si="62"/>
        <v>1</v>
      </c>
      <c r="L254" s="635"/>
      <c r="M254" s="21">
        <f t="shared" si="63"/>
        <v>1</v>
      </c>
      <c r="N254" s="635"/>
      <c r="O254" s="21">
        <f t="shared" si="64"/>
        <v>1</v>
      </c>
      <c r="P254" s="635"/>
      <c r="Q254" s="21">
        <f t="shared" si="65"/>
        <v>1</v>
      </c>
      <c r="R254" s="21">
        <f t="shared" si="66"/>
        <v>0</v>
      </c>
      <c r="S254" s="308">
        <f t="shared" si="67"/>
        <v>0</v>
      </c>
    </row>
    <row r="255" spans="1:19">
      <c r="A255" s="142"/>
      <c r="B255" s="52"/>
      <c r="C255" s="21">
        <f t="shared" si="58"/>
        <v>1</v>
      </c>
      <c r="D255" s="635"/>
      <c r="E255" s="21">
        <f t="shared" si="59"/>
        <v>0.02</v>
      </c>
      <c r="F255" s="635"/>
      <c r="G255" s="21">
        <f t="shared" si="60"/>
        <v>1</v>
      </c>
      <c r="H255" s="635"/>
      <c r="I255" s="21">
        <f t="shared" si="61"/>
        <v>1</v>
      </c>
      <c r="J255" s="635"/>
      <c r="K255" s="21">
        <f t="shared" si="62"/>
        <v>1</v>
      </c>
      <c r="L255" s="635"/>
      <c r="M255" s="21">
        <f t="shared" si="63"/>
        <v>1</v>
      </c>
      <c r="N255" s="635"/>
      <c r="O255" s="21">
        <f t="shared" si="64"/>
        <v>1</v>
      </c>
      <c r="P255" s="635"/>
      <c r="Q255" s="21">
        <f t="shared" si="65"/>
        <v>1</v>
      </c>
      <c r="R255" s="21">
        <f t="shared" si="66"/>
        <v>0</v>
      </c>
      <c r="S255" s="308">
        <f t="shared" si="67"/>
        <v>0</v>
      </c>
    </row>
    <row r="256" spans="1:19">
      <c r="A256" s="142"/>
      <c r="B256" s="52"/>
      <c r="C256" s="21">
        <f t="shared" si="58"/>
        <v>1</v>
      </c>
      <c r="D256" s="635"/>
      <c r="E256" s="21">
        <f t="shared" si="59"/>
        <v>0.02</v>
      </c>
      <c r="F256" s="635"/>
      <c r="G256" s="21">
        <f t="shared" si="60"/>
        <v>1</v>
      </c>
      <c r="H256" s="635"/>
      <c r="I256" s="21">
        <f t="shared" si="61"/>
        <v>1</v>
      </c>
      <c r="J256" s="635"/>
      <c r="K256" s="21">
        <f t="shared" si="62"/>
        <v>1</v>
      </c>
      <c r="L256" s="635"/>
      <c r="M256" s="21">
        <f t="shared" si="63"/>
        <v>1</v>
      </c>
      <c r="N256" s="635"/>
      <c r="O256" s="21">
        <f t="shared" si="64"/>
        <v>1</v>
      </c>
      <c r="P256" s="635"/>
      <c r="Q256" s="21">
        <f t="shared" si="65"/>
        <v>1</v>
      </c>
      <c r="R256" s="21">
        <f t="shared" si="66"/>
        <v>0</v>
      </c>
      <c r="S256" s="308">
        <f t="shared" si="67"/>
        <v>0</v>
      </c>
    </row>
    <row r="257" spans="1:19">
      <c r="A257" s="142"/>
      <c r="B257" s="52"/>
      <c r="C257" s="21">
        <f t="shared" si="58"/>
        <v>1</v>
      </c>
      <c r="D257" s="635"/>
      <c r="E257" s="21">
        <f t="shared" si="59"/>
        <v>0.02</v>
      </c>
      <c r="F257" s="635"/>
      <c r="G257" s="21">
        <f t="shared" si="60"/>
        <v>1</v>
      </c>
      <c r="H257" s="635"/>
      <c r="I257" s="21">
        <f t="shared" si="61"/>
        <v>1</v>
      </c>
      <c r="J257" s="635"/>
      <c r="K257" s="21">
        <f t="shared" si="62"/>
        <v>1</v>
      </c>
      <c r="L257" s="635"/>
      <c r="M257" s="21">
        <f t="shared" si="63"/>
        <v>1</v>
      </c>
      <c r="N257" s="635"/>
      <c r="O257" s="21">
        <f t="shared" si="64"/>
        <v>1</v>
      </c>
      <c r="P257" s="635"/>
      <c r="Q257" s="21">
        <f t="shared" si="65"/>
        <v>1</v>
      </c>
      <c r="R257" s="21">
        <f t="shared" si="66"/>
        <v>0</v>
      </c>
      <c r="S257" s="308">
        <f t="shared" si="67"/>
        <v>0</v>
      </c>
    </row>
    <row r="258" spans="1:19">
      <c r="A258" s="142"/>
      <c r="B258" s="52"/>
      <c r="C258" s="21">
        <f t="shared" si="58"/>
        <v>1</v>
      </c>
      <c r="D258" s="635"/>
      <c r="E258" s="21">
        <f t="shared" si="59"/>
        <v>0.02</v>
      </c>
      <c r="F258" s="635"/>
      <c r="G258" s="21">
        <f t="shared" si="60"/>
        <v>1</v>
      </c>
      <c r="H258" s="635"/>
      <c r="I258" s="21">
        <f t="shared" si="61"/>
        <v>1</v>
      </c>
      <c r="J258" s="635"/>
      <c r="K258" s="21">
        <f t="shared" si="62"/>
        <v>1</v>
      </c>
      <c r="L258" s="635"/>
      <c r="M258" s="21">
        <f t="shared" si="63"/>
        <v>1</v>
      </c>
      <c r="N258" s="635"/>
      <c r="O258" s="21">
        <f t="shared" si="64"/>
        <v>1</v>
      </c>
      <c r="P258" s="635"/>
      <c r="Q258" s="21">
        <f t="shared" si="65"/>
        <v>1</v>
      </c>
      <c r="R258" s="21">
        <f t="shared" si="66"/>
        <v>0</v>
      </c>
      <c r="S258" s="308">
        <f t="shared" si="67"/>
        <v>0</v>
      </c>
    </row>
    <row r="259" spans="1:19">
      <c r="A259" s="142"/>
      <c r="B259" s="52"/>
      <c r="C259" s="21">
        <f t="shared" si="58"/>
        <v>1</v>
      </c>
      <c r="D259" s="635"/>
      <c r="E259" s="21">
        <f t="shared" si="59"/>
        <v>0.02</v>
      </c>
      <c r="F259" s="635"/>
      <c r="G259" s="21">
        <f t="shared" si="60"/>
        <v>1</v>
      </c>
      <c r="H259" s="635"/>
      <c r="I259" s="21">
        <f t="shared" si="61"/>
        <v>1</v>
      </c>
      <c r="J259" s="635"/>
      <c r="K259" s="21">
        <f t="shared" si="62"/>
        <v>1</v>
      </c>
      <c r="L259" s="635"/>
      <c r="M259" s="21">
        <f t="shared" si="63"/>
        <v>1</v>
      </c>
      <c r="N259" s="635"/>
      <c r="O259" s="21">
        <f t="shared" si="64"/>
        <v>1</v>
      </c>
      <c r="P259" s="635"/>
      <c r="Q259" s="21">
        <f t="shared" si="65"/>
        <v>1</v>
      </c>
      <c r="R259" s="21">
        <f t="shared" si="66"/>
        <v>0</v>
      </c>
      <c r="S259" s="308">
        <f t="shared" si="67"/>
        <v>0</v>
      </c>
    </row>
    <row r="260" spans="1:19">
      <c r="A260" s="142"/>
      <c r="B260" s="52"/>
      <c r="C260" s="21">
        <f t="shared" si="58"/>
        <v>1</v>
      </c>
      <c r="D260" s="635"/>
      <c r="E260" s="21">
        <f t="shared" si="59"/>
        <v>0.02</v>
      </c>
      <c r="F260" s="635"/>
      <c r="G260" s="21">
        <f t="shared" si="60"/>
        <v>1</v>
      </c>
      <c r="H260" s="635"/>
      <c r="I260" s="21">
        <f t="shared" si="61"/>
        <v>1</v>
      </c>
      <c r="J260" s="635"/>
      <c r="K260" s="21">
        <f t="shared" si="62"/>
        <v>1</v>
      </c>
      <c r="L260" s="635"/>
      <c r="M260" s="21">
        <f t="shared" si="63"/>
        <v>1</v>
      </c>
      <c r="N260" s="635"/>
      <c r="O260" s="21">
        <f t="shared" si="64"/>
        <v>1</v>
      </c>
      <c r="P260" s="635"/>
      <c r="Q260" s="21">
        <f t="shared" si="65"/>
        <v>1</v>
      </c>
      <c r="R260" s="21">
        <f t="shared" si="66"/>
        <v>0</v>
      </c>
      <c r="S260" s="308">
        <f t="shared" si="67"/>
        <v>0</v>
      </c>
    </row>
    <row r="261" spans="1:19">
      <c r="A261" s="142"/>
      <c r="B261" s="52"/>
      <c r="C261" s="21">
        <f t="shared" si="58"/>
        <v>1</v>
      </c>
      <c r="D261" s="635"/>
      <c r="E261" s="21">
        <f t="shared" si="59"/>
        <v>0.02</v>
      </c>
      <c r="F261" s="635"/>
      <c r="G261" s="21">
        <f t="shared" si="60"/>
        <v>1</v>
      </c>
      <c r="H261" s="635"/>
      <c r="I261" s="21">
        <f t="shared" si="61"/>
        <v>1</v>
      </c>
      <c r="J261" s="635"/>
      <c r="K261" s="21">
        <f t="shared" si="62"/>
        <v>1</v>
      </c>
      <c r="L261" s="635"/>
      <c r="M261" s="21">
        <f t="shared" si="63"/>
        <v>1</v>
      </c>
      <c r="N261" s="635"/>
      <c r="O261" s="21">
        <f t="shared" si="64"/>
        <v>1</v>
      </c>
      <c r="P261" s="635"/>
      <c r="Q261" s="21">
        <f t="shared" si="65"/>
        <v>1</v>
      </c>
      <c r="R261" s="21">
        <f t="shared" si="66"/>
        <v>0</v>
      </c>
      <c r="S261" s="308">
        <f t="shared" si="67"/>
        <v>0</v>
      </c>
    </row>
    <row r="262" spans="1:19">
      <c r="A262" s="142"/>
      <c r="B262" s="52"/>
      <c r="C262" s="21">
        <f t="shared" si="58"/>
        <v>1</v>
      </c>
      <c r="D262" s="635"/>
      <c r="E262" s="21">
        <f t="shared" si="59"/>
        <v>0.02</v>
      </c>
      <c r="F262" s="635"/>
      <c r="G262" s="21">
        <f t="shared" si="60"/>
        <v>1</v>
      </c>
      <c r="H262" s="635"/>
      <c r="I262" s="21">
        <f t="shared" si="61"/>
        <v>1</v>
      </c>
      <c r="J262" s="635"/>
      <c r="K262" s="21">
        <f t="shared" si="62"/>
        <v>1</v>
      </c>
      <c r="L262" s="635"/>
      <c r="M262" s="21">
        <f t="shared" si="63"/>
        <v>1</v>
      </c>
      <c r="N262" s="635"/>
      <c r="O262" s="21">
        <f t="shared" si="64"/>
        <v>1</v>
      </c>
      <c r="P262" s="635"/>
      <c r="Q262" s="21">
        <f t="shared" si="65"/>
        <v>1</v>
      </c>
      <c r="R262" s="21">
        <f t="shared" si="66"/>
        <v>0</v>
      </c>
      <c r="S262" s="308">
        <f t="shared" si="67"/>
        <v>0</v>
      </c>
    </row>
    <row r="263" spans="1:19">
      <c r="A263" s="142"/>
      <c r="B263" s="52"/>
      <c r="C263" s="21">
        <f t="shared" si="58"/>
        <v>1</v>
      </c>
      <c r="D263" s="635"/>
      <c r="E263" s="21">
        <f t="shared" si="59"/>
        <v>0.02</v>
      </c>
      <c r="F263" s="635"/>
      <c r="G263" s="21">
        <f t="shared" si="60"/>
        <v>1</v>
      </c>
      <c r="H263" s="635"/>
      <c r="I263" s="21">
        <f t="shared" si="61"/>
        <v>1</v>
      </c>
      <c r="J263" s="635"/>
      <c r="K263" s="21">
        <f t="shared" si="62"/>
        <v>1</v>
      </c>
      <c r="L263" s="635"/>
      <c r="M263" s="21">
        <f t="shared" si="63"/>
        <v>1</v>
      </c>
      <c r="N263" s="635"/>
      <c r="O263" s="21">
        <f t="shared" si="64"/>
        <v>1</v>
      </c>
      <c r="P263" s="635"/>
      <c r="Q263" s="21">
        <f t="shared" si="65"/>
        <v>1</v>
      </c>
      <c r="R263" s="21">
        <f t="shared" si="66"/>
        <v>0</v>
      </c>
      <c r="S263" s="308">
        <f t="shared" si="67"/>
        <v>0</v>
      </c>
    </row>
    <row r="264" spans="1:19">
      <c r="A264" s="142"/>
      <c r="B264" s="52"/>
      <c r="C264" s="21">
        <f t="shared" si="58"/>
        <v>1</v>
      </c>
      <c r="D264" s="635"/>
      <c r="E264" s="21">
        <f t="shared" si="59"/>
        <v>0.02</v>
      </c>
      <c r="F264" s="635"/>
      <c r="G264" s="21">
        <f t="shared" si="60"/>
        <v>1</v>
      </c>
      <c r="H264" s="635"/>
      <c r="I264" s="21">
        <f t="shared" si="61"/>
        <v>1</v>
      </c>
      <c r="J264" s="635"/>
      <c r="K264" s="21">
        <f t="shared" si="62"/>
        <v>1</v>
      </c>
      <c r="L264" s="635"/>
      <c r="M264" s="21">
        <f t="shared" si="63"/>
        <v>1</v>
      </c>
      <c r="N264" s="635"/>
      <c r="O264" s="21">
        <f t="shared" si="64"/>
        <v>1</v>
      </c>
      <c r="P264" s="635"/>
      <c r="Q264" s="21">
        <f t="shared" si="65"/>
        <v>1</v>
      </c>
      <c r="R264" s="21">
        <f t="shared" si="66"/>
        <v>0</v>
      </c>
      <c r="S264" s="308">
        <f t="shared" si="67"/>
        <v>0</v>
      </c>
    </row>
    <row r="265" spans="1:19">
      <c r="A265" s="142"/>
      <c r="B265" s="52"/>
      <c r="C265" s="21">
        <f t="shared" si="58"/>
        <v>1</v>
      </c>
      <c r="D265" s="635"/>
      <c r="E265" s="21">
        <f t="shared" si="59"/>
        <v>0.02</v>
      </c>
      <c r="F265" s="635"/>
      <c r="G265" s="21">
        <f t="shared" si="60"/>
        <v>1</v>
      </c>
      <c r="H265" s="635"/>
      <c r="I265" s="21">
        <f t="shared" si="61"/>
        <v>1</v>
      </c>
      <c r="J265" s="635"/>
      <c r="K265" s="21">
        <f t="shared" si="62"/>
        <v>1</v>
      </c>
      <c r="L265" s="635"/>
      <c r="M265" s="21">
        <f t="shared" si="63"/>
        <v>1</v>
      </c>
      <c r="N265" s="635"/>
      <c r="O265" s="21">
        <f t="shared" si="64"/>
        <v>1</v>
      </c>
      <c r="P265" s="635"/>
      <c r="Q265" s="21">
        <f t="shared" si="65"/>
        <v>1</v>
      </c>
      <c r="R265" s="21">
        <f t="shared" si="66"/>
        <v>0</v>
      </c>
      <c r="S265" s="308">
        <f t="shared" si="67"/>
        <v>0</v>
      </c>
    </row>
    <row r="266" spans="1:19">
      <c r="A266" s="142"/>
      <c r="B266" s="52"/>
      <c r="C266" s="21">
        <f t="shared" si="58"/>
        <v>1</v>
      </c>
      <c r="D266" s="635"/>
      <c r="E266" s="21">
        <f t="shared" si="59"/>
        <v>0.02</v>
      </c>
      <c r="F266" s="635"/>
      <c r="G266" s="21">
        <f t="shared" si="60"/>
        <v>1</v>
      </c>
      <c r="H266" s="635"/>
      <c r="I266" s="21">
        <f t="shared" si="61"/>
        <v>1</v>
      </c>
      <c r="J266" s="635"/>
      <c r="K266" s="21">
        <f t="shared" si="62"/>
        <v>1</v>
      </c>
      <c r="L266" s="635"/>
      <c r="M266" s="21">
        <f t="shared" si="63"/>
        <v>1</v>
      </c>
      <c r="N266" s="635"/>
      <c r="O266" s="21">
        <f t="shared" si="64"/>
        <v>1</v>
      </c>
      <c r="P266" s="635"/>
      <c r="Q266" s="21">
        <f t="shared" si="65"/>
        <v>1</v>
      </c>
      <c r="R266" s="21">
        <f t="shared" si="66"/>
        <v>0</v>
      </c>
      <c r="S266" s="308">
        <f t="shared" si="67"/>
        <v>0</v>
      </c>
    </row>
    <row r="267" spans="1:19">
      <c r="A267" s="142"/>
      <c r="B267" s="52"/>
      <c r="C267" s="21">
        <f t="shared" si="58"/>
        <v>1</v>
      </c>
      <c r="D267" s="635"/>
      <c r="E267" s="21">
        <f t="shared" si="59"/>
        <v>0.02</v>
      </c>
      <c r="F267" s="635"/>
      <c r="G267" s="21">
        <f t="shared" si="60"/>
        <v>1</v>
      </c>
      <c r="H267" s="635"/>
      <c r="I267" s="21">
        <f t="shared" si="61"/>
        <v>1</v>
      </c>
      <c r="J267" s="635"/>
      <c r="K267" s="21">
        <f t="shared" si="62"/>
        <v>1</v>
      </c>
      <c r="L267" s="635"/>
      <c r="M267" s="21">
        <f t="shared" si="63"/>
        <v>1</v>
      </c>
      <c r="N267" s="635"/>
      <c r="O267" s="21">
        <f t="shared" si="64"/>
        <v>1</v>
      </c>
      <c r="P267" s="635"/>
      <c r="Q267" s="21">
        <f t="shared" si="65"/>
        <v>1</v>
      </c>
      <c r="R267" s="21">
        <f t="shared" si="66"/>
        <v>0</v>
      </c>
      <c r="S267" s="308">
        <f t="shared" si="67"/>
        <v>0</v>
      </c>
    </row>
    <row r="268" spans="1:19">
      <c r="A268" s="142"/>
      <c r="B268" s="52"/>
      <c r="C268" s="21">
        <f t="shared" si="58"/>
        <v>1</v>
      </c>
      <c r="D268" s="635"/>
      <c r="E268" s="21">
        <f t="shared" si="59"/>
        <v>0.02</v>
      </c>
      <c r="F268" s="635"/>
      <c r="G268" s="21">
        <f t="shared" si="60"/>
        <v>1</v>
      </c>
      <c r="H268" s="635"/>
      <c r="I268" s="21">
        <f t="shared" si="61"/>
        <v>1</v>
      </c>
      <c r="J268" s="635"/>
      <c r="K268" s="21">
        <f t="shared" si="62"/>
        <v>1</v>
      </c>
      <c r="L268" s="635"/>
      <c r="M268" s="21">
        <f t="shared" si="63"/>
        <v>1</v>
      </c>
      <c r="N268" s="635"/>
      <c r="O268" s="21">
        <f t="shared" si="64"/>
        <v>1</v>
      </c>
      <c r="P268" s="635"/>
      <c r="Q268" s="21">
        <f t="shared" si="65"/>
        <v>1</v>
      </c>
      <c r="R268" s="21">
        <f t="shared" si="66"/>
        <v>0</v>
      </c>
      <c r="S268" s="308">
        <f t="shared" si="67"/>
        <v>0</v>
      </c>
    </row>
    <row r="269" spans="1:19">
      <c r="A269" s="142"/>
      <c r="B269" s="52"/>
      <c r="C269" s="21">
        <f t="shared" si="58"/>
        <v>1</v>
      </c>
      <c r="D269" s="635"/>
      <c r="E269" s="21">
        <f t="shared" si="59"/>
        <v>0.02</v>
      </c>
      <c r="F269" s="635"/>
      <c r="G269" s="21">
        <f t="shared" si="60"/>
        <v>1</v>
      </c>
      <c r="H269" s="635"/>
      <c r="I269" s="21">
        <f t="shared" si="61"/>
        <v>1</v>
      </c>
      <c r="J269" s="635"/>
      <c r="K269" s="21">
        <f t="shared" si="62"/>
        <v>1</v>
      </c>
      <c r="L269" s="635"/>
      <c r="M269" s="21">
        <f t="shared" si="63"/>
        <v>1</v>
      </c>
      <c r="N269" s="635"/>
      <c r="O269" s="21">
        <f t="shared" si="64"/>
        <v>1</v>
      </c>
      <c r="P269" s="635"/>
      <c r="Q269" s="21">
        <f t="shared" si="65"/>
        <v>1</v>
      </c>
      <c r="R269" s="21">
        <f t="shared" si="66"/>
        <v>0</v>
      </c>
      <c r="S269" s="308">
        <f t="shared" si="67"/>
        <v>0</v>
      </c>
    </row>
    <row r="270" spans="1:19">
      <c r="A270" s="142"/>
      <c r="B270" s="52"/>
      <c r="C270" s="21">
        <f t="shared" si="58"/>
        <v>1</v>
      </c>
      <c r="D270" s="635"/>
      <c r="E270" s="21">
        <f t="shared" si="59"/>
        <v>0.02</v>
      </c>
      <c r="F270" s="635"/>
      <c r="G270" s="21">
        <f t="shared" si="60"/>
        <v>1</v>
      </c>
      <c r="H270" s="635"/>
      <c r="I270" s="21">
        <f t="shared" si="61"/>
        <v>1</v>
      </c>
      <c r="J270" s="635"/>
      <c r="K270" s="21">
        <f t="shared" si="62"/>
        <v>1</v>
      </c>
      <c r="L270" s="635"/>
      <c r="M270" s="21">
        <f t="shared" si="63"/>
        <v>1</v>
      </c>
      <c r="N270" s="635"/>
      <c r="O270" s="21">
        <f t="shared" si="64"/>
        <v>1</v>
      </c>
      <c r="P270" s="635"/>
      <c r="Q270" s="21">
        <f t="shared" si="65"/>
        <v>1</v>
      </c>
      <c r="R270" s="21">
        <f t="shared" si="66"/>
        <v>0</v>
      </c>
      <c r="S270" s="308">
        <f t="shared" si="67"/>
        <v>0</v>
      </c>
    </row>
    <row r="271" spans="1:19">
      <c r="A271" s="142"/>
      <c r="B271" s="52"/>
      <c r="C271" s="21">
        <f t="shared" si="58"/>
        <v>1</v>
      </c>
      <c r="D271" s="635"/>
      <c r="E271" s="21">
        <f t="shared" si="59"/>
        <v>0.02</v>
      </c>
      <c r="F271" s="635"/>
      <c r="G271" s="21">
        <f t="shared" si="60"/>
        <v>1</v>
      </c>
      <c r="H271" s="635"/>
      <c r="I271" s="21">
        <f t="shared" si="61"/>
        <v>1</v>
      </c>
      <c r="J271" s="635"/>
      <c r="K271" s="21">
        <f t="shared" si="62"/>
        <v>1</v>
      </c>
      <c r="L271" s="635"/>
      <c r="M271" s="21">
        <f t="shared" si="63"/>
        <v>1</v>
      </c>
      <c r="N271" s="635"/>
      <c r="O271" s="21">
        <f t="shared" si="64"/>
        <v>1</v>
      </c>
      <c r="P271" s="635"/>
      <c r="Q271" s="21">
        <f t="shared" si="65"/>
        <v>1</v>
      </c>
      <c r="R271" s="21">
        <f t="shared" si="66"/>
        <v>0</v>
      </c>
      <c r="S271" s="308">
        <f t="shared" si="67"/>
        <v>0</v>
      </c>
    </row>
    <row r="272" spans="1:19">
      <c r="A272" s="142"/>
      <c r="B272" s="52"/>
      <c r="C272" s="21">
        <f t="shared" si="58"/>
        <v>1</v>
      </c>
      <c r="D272" s="635"/>
      <c r="E272" s="21">
        <f t="shared" si="59"/>
        <v>0.02</v>
      </c>
      <c r="F272" s="635"/>
      <c r="G272" s="21">
        <f t="shared" si="60"/>
        <v>1</v>
      </c>
      <c r="H272" s="635"/>
      <c r="I272" s="21">
        <f t="shared" si="61"/>
        <v>1</v>
      </c>
      <c r="J272" s="635"/>
      <c r="K272" s="21">
        <f t="shared" si="62"/>
        <v>1</v>
      </c>
      <c r="L272" s="635"/>
      <c r="M272" s="21">
        <f t="shared" si="63"/>
        <v>1</v>
      </c>
      <c r="N272" s="635"/>
      <c r="O272" s="21">
        <f t="shared" si="64"/>
        <v>1</v>
      </c>
      <c r="P272" s="635"/>
      <c r="Q272" s="21">
        <f t="shared" si="65"/>
        <v>1</v>
      </c>
      <c r="R272" s="21">
        <f t="shared" si="66"/>
        <v>0</v>
      </c>
      <c r="S272" s="308">
        <f t="shared" si="67"/>
        <v>0</v>
      </c>
    </row>
    <row r="273" spans="1:19">
      <c r="A273" s="142"/>
      <c r="B273" s="52"/>
      <c r="C273" s="21">
        <f t="shared" si="58"/>
        <v>1</v>
      </c>
      <c r="D273" s="635"/>
      <c r="E273" s="21">
        <f t="shared" si="59"/>
        <v>0.02</v>
      </c>
      <c r="F273" s="635"/>
      <c r="G273" s="21">
        <f t="shared" si="60"/>
        <v>1</v>
      </c>
      <c r="H273" s="635"/>
      <c r="I273" s="21">
        <f t="shared" si="61"/>
        <v>1</v>
      </c>
      <c r="J273" s="635"/>
      <c r="K273" s="21">
        <f t="shared" si="62"/>
        <v>1</v>
      </c>
      <c r="L273" s="635"/>
      <c r="M273" s="21">
        <f t="shared" si="63"/>
        <v>1</v>
      </c>
      <c r="N273" s="635"/>
      <c r="O273" s="21">
        <f t="shared" si="64"/>
        <v>1</v>
      </c>
      <c r="P273" s="635"/>
      <c r="Q273" s="21">
        <f t="shared" si="65"/>
        <v>1</v>
      </c>
      <c r="R273" s="21">
        <f t="shared" si="66"/>
        <v>0</v>
      </c>
      <c r="S273" s="308">
        <f t="shared" si="67"/>
        <v>0</v>
      </c>
    </row>
    <row r="274" spans="1:19">
      <c r="A274" s="142"/>
      <c r="B274" s="52"/>
      <c r="C274" s="21">
        <f t="shared" si="58"/>
        <v>1</v>
      </c>
      <c r="D274" s="635"/>
      <c r="E274" s="21">
        <f t="shared" si="59"/>
        <v>0.02</v>
      </c>
      <c r="F274" s="635"/>
      <c r="G274" s="21">
        <f t="shared" si="60"/>
        <v>1</v>
      </c>
      <c r="H274" s="635"/>
      <c r="I274" s="21">
        <f t="shared" si="61"/>
        <v>1</v>
      </c>
      <c r="J274" s="635"/>
      <c r="K274" s="21">
        <f t="shared" si="62"/>
        <v>1</v>
      </c>
      <c r="L274" s="635"/>
      <c r="M274" s="21">
        <f t="shared" si="63"/>
        <v>1</v>
      </c>
      <c r="N274" s="635"/>
      <c r="O274" s="21">
        <f t="shared" si="64"/>
        <v>1</v>
      </c>
      <c r="P274" s="635"/>
      <c r="Q274" s="21">
        <f t="shared" si="65"/>
        <v>1</v>
      </c>
      <c r="R274" s="21">
        <f t="shared" si="66"/>
        <v>0</v>
      </c>
      <c r="S274" s="308">
        <f t="shared" si="67"/>
        <v>0</v>
      </c>
    </row>
    <row r="275" spans="1:19">
      <c r="A275" s="142"/>
      <c r="B275" s="52"/>
      <c r="C275" s="21">
        <f t="shared" si="58"/>
        <v>1</v>
      </c>
      <c r="D275" s="635"/>
      <c r="E275" s="21">
        <f t="shared" si="59"/>
        <v>0.02</v>
      </c>
      <c r="F275" s="635"/>
      <c r="G275" s="21">
        <f t="shared" si="60"/>
        <v>1</v>
      </c>
      <c r="H275" s="635"/>
      <c r="I275" s="21">
        <f t="shared" si="61"/>
        <v>1</v>
      </c>
      <c r="J275" s="635"/>
      <c r="K275" s="21">
        <f t="shared" si="62"/>
        <v>1</v>
      </c>
      <c r="L275" s="635"/>
      <c r="M275" s="21">
        <f t="shared" si="63"/>
        <v>1</v>
      </c>
      <c r="N275" s="635"/>
      <c r="O275" s="21">
        <f t="shared" si="64"/>
        <v>1</v>
      </c>
      <c r="P275" s="635"/>
      <c r="Q275" s="21">
        <f t="shared" si="65"/>
        <v>1</v>
      </c>
      <c r="R275" s="21">
        <f t="shared" si="66"/>
        <v>0</v>
      </c>
      <c r="S275" s="308">
        <f t="shared" si="67"/>
        <v>0</v>
      </c>
    </row>
    <row r="276" spans="1:19">
      <c r="A276" s="142"/>
      <c r="B276" s="52"/>
      <c r="C276" s="21">
        <f t="shared" si="58"/>
        <v>1</v>
      </c>
      <c r="D276" s="635"/>
      <c r="E276" s="21">
        <f t="shared" si="59"/>
        <v>0.02</v>
      </c>
      <c r="F276" s="635"/>
      <c r="G276" s="21">
        <f t="shared" si="60"/>
        <v>1</v>
      </c>
      <c r="H276" s="635"/>
      <c r="I276" s="21">
        <f t="shared" si="61"/>
        <v>1</v>
      </c>
      <c r="J276" s="635"/>
      <c r="K276" s="21">
        <f t="shared" si="62"/>
        <v>1</v>
      </c>
      <c r="L276" s="635"/>
      <c r="M276" s="21">
        <f t="shared" si="63"/>
        <v>1</v>
      </c>
      <c r="N276" s="635"/>
      <c r="O276" s="21">
        <f t="shared" si="64"/>
        <v>1</v>
      </c>
      <c r="P276" s="635"/>
      <c r="Q276" s="21">
        <f t="shared" si="65"/>
        <v>1</v>
      </c>
      <c r="R276" s="21">
        <f t="shared" si="66"/>
        <v>0</v>
      </c>
      <c r="S276" s="308">
        <f t="shared" si="67"/>
        <v>0</v>
      </c>
    </row>
    <row r="277" spans="1:19">
      <c r="A277" s="142"/>
      <c r="B277" s="52"/>
      <c r="C277" s="21">
        <f t="shared" si="58"/>
        <v>1</v>
      </c>
      <c r="D277" s="635"/>
      <c r="E277" s="21">
        <f t="shared" si="59"/>
        <v>0.02</v>
      </c>
      <c r="F277" s="635"/>
      <c r="G277" s="21">
        <f t="shared" si="60"/>
        <v>1</v>
      </c>
      <c r="H277" s="635"/>
      <c r="I277" s="21">
        <f t="shared" si="61"/>
        <v>1</v>
      </c>
      <c r="J277" s="635"/>
      <c r="K277" s="21">
        <f t="shared" si="62"/>
        <v>1</v>
      </c>
      <c r="L277" s="635"/>
      <c r="M277" s="21">
        <f t="shared" si="63"/>
        <v>1</v>
      </c>
      <c r="N277" s="635"/>
      <c r="O277" s="21">
        <f t="shared" si="64"/>
        <v>1</v>
      </c>
      <c r="P277" s="635"/>
      <c r="Q277" s="21">
        <f t="shared" si="65"/>
        <v>1</v>
      </c>
      <c r="R277" s="21">
        <f t="shared" si="66"/>
        <v>0</v>
      </c>
      <c r="S277" s="308">
        <f t="shared" si="67"/>
        <v>0</v>
      </c>
    </row>
    <row r="278" spans="1:19">
      <c r="A278" s="142"/>
      <c r="B278" s="52"/>
      <c r="C278" s="21">
        <f t="shared" si="58"/>
        <v>1</v>
      </c>
      <c r="D278" s="635"/>
      <c r="E278" s="21">
        <f t="shared" si="59"/>
        <v>0.02</v>
      </c>
      <c r="F278" s="635"/>
      <c r="G278" s="21">
        <f t="shared" si="60"/>
        <v>1</v>
      </c>
      <c r="H278" s="635"/>
      <c r="I278" s="21">
        <f t="shared" si="61"/>
        <v>1</v>
      </c>
      <c r="J278" s="635"/>
      <c r="K278" s="21">
        <f t="shared" si="62"/>
        <v>1</v>
      </c>
      <c r="L278" s="635"/>
      <c r="M278" s="21">
        <f t="shared" si="63"/>
        <v>1</v>
      </c>
      <c r="N278" s="635"/>
      <c r="O278" s="21">
        <f t="shared" si="64"/>
        <v>1</v>
      </c>
      <c r="P278" s="635"/>
      <c r="Q278" s="21">
        <f t="shared" si="65"/>
        <v>1</v>
      </c>
      <c r="R278" s="21">
        <f t="shared" si="66"/>
        <v>0</v>
      </c>
      <c r="S278" s="308">
        <f t="shared" si="67"/>
        <v>0</v>
      </c>
    </row>
    <row r="279" spans="1:19">
      <c r="A279" s="142"/>
      <c r="B279" s="52"/>
      <c r="C279" s="21">
        <f t="shared" si="58"/>
        <v>1</v>
      </c>
      <c r="D279" s="635"/>
      <c r="E279" s="21">
        <f t="shared" si="59"/>
        <v>0.02</v>
      </c>
      <c r="F279" s="635"/>
      <c r="G279" s="21">
        <f t="shared" si="60"/>
        <v>1</v>
      </c>
      <c r="H279" s="635"/>
      <c r="I279" s="21">
        <f t="shared" si="61"/>
        <v>1</v>
      </c>
      <c r="J279" s="635"/>
      <c r="K279" s="21">
        <f t="shared" si="62"/>
        <v>1</v>
      </c>
      <c r="L279" s="635"/>
      <c r="M279" s="21">
        <f t="shared" si="63"/>
        <v>1</v>
      </c>
      <c r="N279" s="635"/>
      <c r="O279" s="21">
        <f t="shared" si="64"/>
        <v>1</v>
      </c>
      <c r="P279" s="635"/>
      <c r="Q279" s="21">
        <f t="shared" si="65"/>
        <v>1</v>
      </c>
      <c r="R279" s="21">
        <f t="shared" si="66"/>
        <v>0</v>
      </c>
      <c r="S279" s="308">
        <f t="shared" si="67"/>
        <v>0</v>
      </c>
    </row>
    <row r="280" spans="1:19">
      <c r="A280" s="142"/>
      <c r="B280" s="52"/>
      <c r="C280" s="21">
        <f t="shared" si="58"/>
        <v>1</v>
      </c>
      <c r="D280" s="635"/>
      <c r="E280" s="21">
        <f t="shared" si="59"/>
        <v>0.02</v>
      </c>
      <c r="F280" s="635"/>
      <c r="G280" s="21">
        <f t="shared" si="60"/>
        <v>1</v>
      </c>
      <c r="H280" s="635"/>
      <c r="I280" s="21">
        <f t="shared" si="61"/>
        <v>1</v>
      </c>
      <c r="J280" s="635"/>
      <c r="K280" s="21">
        <f t="shared" si="62"/>
        <v>1</v>
      </c>
      <c r="L280" s="635"/>
      <c r="M280" s="21">
        <f t="shared" si="63"/>
        <v>1</v>
      </c>
      <c r="N280" s="635"/>
      <c r="O280" s="21">
        <f t="shared" si="64"/>
        <v>1</v>
      </c>
      <c r="P280" s="635"/>
      <c r="Q280" s="21">
        <f t="shared" si="65"/>
        <v>1</v>
      </c>
      <c r="R280" s="21">
        <f t="shared" si="66"/>
        <v>0</v>
      </c>
      <c r="S280" s="308">
        <f t="shared" si="67"/>
        <v>0</v>
      </c>
    </row>
    <row r="281" spans="1:19">
      <c r="A281" s="142"/>
      <c r="B281" s="52"/>
      <c r="C281" s="21">
        <f t="shared" si="58"/>
        <v>1</v>
      </c>
      <c r="D281" s="635"/>
      <c r="E281" s="21">
        <f t="shared" si="59"/>
        <v>0.02</v>
      </c>
      <c r="F281" s="635"/>
      <c r="G281" s="21">
        <f t="shared" si="60"/>
        <v>1</v>
      </c>
      <c r="H281" s="635"/>
      <c r="I281" s="21">
        <f t="shared" si="61"/>
        <v>1</v>
      </c>
      <c r="J281" s="635"/>
      <c r="K281" s="21">
        <f t="shared" si="62"/>
        <v>1</v>
      </c>
      <c r="L281" s="635"/>
      <c r="M281" s="21">
        <f t="shared" si="63"/>
        <v>1</v>
      </c>
      <c r="N281" s="635"/>
      <c r="O281" s="21">
        <f t="shared" si="64"/>
        <v>1</v>
      </c>
      <c r="P281" s="635"/>
      <c r="Q281" s="21">
        <f t="shared" si="65"/>
        <v>1</v>
      </c>
      <c r="R281" s="21">
        <f t="shared" si="66"/>
        <v>0</v>
      </c>
      <c r="S281" s="308">
        <f t="shared" si="67"/>
        <v>0</v>
      </c>
    </row>
    <row r="282" spans="1:19">
      <c r="A282" s="142"/>
      <c r="B282" s="52"/>
      <c r="C282" s="21">
        <f t="shared" ref="C282:C345" si="68">IF(B282="",1,(LOOKUP(B282,$3:$3,$4:$4)-LOOKUP($B$24,$3:$3,$4:$4)+100)/100)</f>
        <v>1</v>
      </c>
      <c r="D282" s="635"/>
      <c r="E282" s="21">
        <f t="shared" ref="E282:E345" si="69">(SUMIF($5:$5,D282,$6:$6)-SUMIF($5:$5,$D$24,$6:$6)+100)/100</f>
        <v>0.02</v>
      </c>
      <c r="F282" s="635"/>
      <c r="G282" s="21">
        <f t="shared" ref="G282:G345" si="70">(SUMIF($7:$7,F282,$8:$8)-SUMIF($7:$7,$F$24,$8:$8)+100)/100</f>
        <v>1</v>
      </c>
      <c r="H282" s="635"/>
      <c r="I282" s="21">
        <f t="shared" ref="I282:I345" si="71">(SUMIF($9:$9,H282,$10:$10)-SUMIF($9:$9,$H$24,$10:$10)+100)/100</f>
        <v>1</v>
      </c>
      <c r="J282" s="635"/>
      <c r="K282" s="21">
        <f t="shared" ref="K282:K345" si="72">(SUMIF($11:$11,J282,$12:$12)-SUMIF($11:$11,$J$24,$12:$12)+100)/100</f>
        <v>1</v>
      </c>
      <c r="L282" s="635"/>
      <c r="M282" s="21">
        <f t="shared" ref="M282:M345" si="73">(SUMIF($13:$13,L282,$14:$14)-SUMIF($13:$13,$L$24,$14:$14)+100)/100</f>
        <v>1</v>
      </c>
      <c r="N282" s="635"/>
      <c r="O282" s="21">
        <f t="shared" ref="O282:O345" si="74">(SUMIF($15:$15,N282,$16:$16)-SUMIF($15:$15,$N$24,$16:$16)+100)/100</f>
        <v>1</v>
      </c>
      <c r="P282" s="635"/>
      <c r="Q282" s="21">
        <f t="shared" ref="Q282:Q345" si="75">(SUMIF($17:$17,P282,$18:$18)-SUMIF($17:$17,$P$24,$18:$18)+100)/100</f>
        <v>1</v>
      </c>
      <c r="R282" s="21">
        <f t="shared" ref="R282:R345" si="76">IF(B282="",0,ROUND($R$24*C282*E282*G282*I282*K282*M282*O282*Q282,0))</f>
        <v>0</v>
      </c>
      <c r="S282" s="308">
        <f t="shared" si="67"/>
        <v>0</v>
      </c>
    </row>
    <row r="283" spans="1:19">
      <c r="A283" s="142"/>
      <c r="B283" s="52"/>
      <c r="C283" s="21">
        <f t="shared" si="68"/>
        <v>1</v>
      </c>
      <c r="D283" s="635"/>
      <c r="E283" s="21">
        <f t="shared" si="69"/>
        <v>0.02</v>
      </c>
      <c r="F283" s="635"/>
      <c r="G283" s="21">
        <f t="shared" si="70"/>
        <v>1</v>
      </c>
      <c r="H283" s="635"/>
      <c r="I283" s="21">
        <f t="shared" si="71"/>
        <v>1</v>
      </c>
      <c r="J283" s="635"/>
      <c r="K283" s="21">
        <f t="shared" si="72"/>
        <v>1</v>
      </c>
      <c r="L283" s="635"/>
      <c r="M283" s="21">
        <f t="shared" si="73"/>
        <v>1</v>
      </c>
      <c r="N283" s="635"/>
      <c r="O283" s="21">
        <f t="shared" si="74"/>
        <v>1</v>
      </c>
      <c r="P283" s="635"/>
      <c r="Q283" s="21">
        <f t="shared" si="75"/>
        <v>1</v>
      </c>
      <c r="R283" s="21">
        <f t="shared" si="76"/>
        <v>0</v>
      </c>
      <c r="S283" s="308">
        <f t="shared" si="67"/>
        <v>0</v>
      </c>
    </row>
    <row r="284" spans="1:19">
      <c r="A284" s="142"/>
      <c r="B284" s="52"/>
      <c r="C284" s="21">
        <f t="shared" si="68"/>
        <v>1</v>
      </c>
      <c r="D284" s="635"/>
      <c r="E284" s="21">
        <f t="shared" si="69"/>
        <v>0.02</v>
      </c>
      <c r="F284" s="635"/>
      <c r="G284" s="21">
        <f t="shared" si="70"/>
        <v>1</v>
      </c>
      <c r="H284" s="635"/>
      <c r="I284" s="21">
        <f t="shared" si="71"/>
        <v>1</v>
      </c>
      <c r="J284" s="635"/>
      <c r="K284" s="21">
        <f t="shared" si="72"/>
        <v>1</v>
      </c>
      <c r="L284" s="635"/>
      <c r="M284" s="21">
        <f t="shared" si="73"/>
        <v>1</v>
      </c>
      <c r="N284" s="635"/>
      <c r="O284" s="21">
        <f t="shared" si="74"/>
        <v>1</v>
      </c>
      <c r="P284" s="635"/>
      <c r="Q284" s="21">
        <f t="shared" si="75"/>
        <v>1</v>
      </c>
      <c r="R284" s="21">
        <f t="shared" si="76"/>
        <v>0</v>
      </c>
      <c r="S284" s="308">
        <f t="shared" si="67"/>
        <v>0</v>
      </c>
    </row>
    <row r="285" spans="1:19">
      <c r="A285" s="142"/>
      <c r="B285" s="52"/>
      <c r="C285" s="21">
        <f t="shared" si="68"/>
        <v>1</v>
      </c>
      <c r="D285" s="635"/>
      <c r="E285" s="21">
        <f t="shared" si="69"/>
        <v>0.02</v>
      </c>
      <c r="F285" s="635"/>
      <c r="G285" s="21">
        <f t="shared" si="70"/>
        <v>1</v>
      </c>
      <c r="H285" s="635"/>
      <c r="I285" s="21">
        <f t="shared" si="71"/>
        <v>1</v>
      </c>
      <c r="J285" s="635"/>
      <c r="K285" s="21">
        <f t="shared" si="72"/>
        <v>1</v>
      </c>
      <c r="L285" s="635"/>
      <c r="M285" s="21">
        <f t="shared" si="73"/>
        <v>1</v>
      </c>
      <c r="N285" s="635"/>
      <c r="O285" s="21">
        <f t="shared" si="74"/>
        <v>1</v>
      </c>
      <c r="P285" s="635"/>
      <c r="Q285" s="21">
        <f t="shared" si="75"/>
        <v>1</v>
      </c>
      <c r="R285" s="21">
        <f t="shared" si="76"/>
        <v>0</v>
      </c>
      <c r="S285" s="308">
        <f t="shared" si="67"/>
        <v>0</v>
      </c>
    </row>
    <row r="286" spans="1:19">
      <c r="A286" s="142"/>
      <c r="B286" s="52"/>
      <c r="C286" s="21">
        <f t="shared" si="68"/>
        <v>1</v>
      </c>
      <c r="D286" s="635"/>
      <c r="E286" s="21">
        <f t="shared" si="69"/>
        <v>0.02</v>
      </c>
      <c r="F286" s="635"/>
      <c r="G286" s="21">
        <f t="shared" si="70"/>
        <v>1</v>
      </c>
      <c r="H286" s="635"/>
      <c r="I286" s="21">
        <f t="shared" si="71"/>
        <v>1</v>
      </c>
      <c r="J286" s="635"/>
      <c r="K286" s="21">
        <f t="shared" si="72"/>
        <v>1</v>
      </c>
      <c r="L286" s="635"/>
      <c r="M286" s="21">
        <f t="shared" si="73"/>
        <v>1</v>
      </c>
      <c r="N286" s="635"/>
      <c r="O286" s="21">
        <f t="shared" si="74"/>
        <v>1</v>
      </c>
      <c r="P286" s="635"/>
      <c r="Q286" s="21">
        <f t="shared" si="75"/>
        <v>1</v>
      </c>
      <c r="R286" s="21">
        <f t="shared" si="76"/>
        <v>0</v>
      </c>
      <c r="S286" s="308">
        <f t="shared" si="67"/>
        <v>0</v>
      </c>
    </row>
    <row r="287" spans="1:19">
      <c r="A287" s="142"/>
      <c r="B287" s="52"/>
      <c r="C287" s="21">
        <f t="shared" si="68"/>
        <v>1</v>
      </c>
      <c r="D287" s="635"/>
      <c r="E287" s="21">
        <f t="shared" si="69"/>
        <v>0.02</v>
      </c>
      <c r="F287" s="635"/>
      <c r="G287" s="21">
        <f t="shared" si="70"/>
        <v>1</v>
      </c>
      <c r="H287" s="635"/>
      <c r="I287" s="21">
        <f t="shared" si="71"/>
        <v>1</v>
      </c>
      <c r="J287" s="635"/>
      <c r="K287" s="21">
        <f t="shared" si="72"/>
        <v>1</v>
      </c>
      <c r="L287" s="635"/>
      <c r="M287" s="21">
        <f t="shared" si="73"/>
        <v>1</v>
      </c>
      <c r="N287" s="635"/>
      <c r="O287" s="21">
        <f t="shared" si="74"/>
        <v>1</v>
      </c>
      <c r="P287" s="635"/>
      <c r="Q287" s="21">
        <f t="shared" si="75"/>
        <v>1</v>
      </c>
      <c r="R287" s="21">
        <f t="shared" si="76"/>
        <v>0</v>
      </c>
      <c r="S287" s="308">
        <f t="shared" ref="S287:S320" si="77">ROUND(R287*B287/10000,0)</f>
        <v>0</v>
      </c>
    </row>
    <row r="288" spans="1:19">
      <c r="A288" s="142"/>
      <c r="B288" s="52"/>
      <c r="C288" s="21">
        <f t="shared" si="68"/>
        <v>1</v>
      </c>
      <c r="D288" s="635"/>
      <c r="E288" s="21">
        <f t="shared" si="69"/>
        <v>0.02</v>
      </c>
      <c r="F288" s="635"/>
      <c r="G288" s="21">
        <f t="shared" si="70"/>
        <v>1</v>
      </c>
      <c r="H288" s="635"/>
      <c r="I288" s="21">
        <f t="shared" si="71"/>
        <v>1</v>
      </c>
      <c r="J288" s="635"/>
      <c r="K288" s="21">
        <f t="shared" si="72"/>
        <v>1</v>
      </c>
      <c r="L288" s="635"/>
      <c r="M288" s="21">
        <f t="shared" si="73"/>
        <v>1</v>
      </c>
      <c r="N288" s="635"/>
      <c r="O288" s="21">
        <f t="shared" si="74"/>
        <v>1</v>
      </c>
      <c r="P288" s="635"/>
      <c r="Q288" s="21">
        <f t="shared" si="75"/>
        <v>1</v>
      </c>
      <c r="R288" s="21">
        <f t="shared" si="76"/>
        <v>0</v>
      </c>
      <c r="S288" s="308">
        <f t="shared" si="77"/>
        <v>0</v>
      </c>
    </row>
    <row r="289" spans="1:19">
      <c r="A289" s="142"/>
      <c r="B289" s="52"/>
      <c r="C289" s="21">
        <f t="shared" si="68"/>
        <v>1</v>
      </c>
      <c r="D289" s="635"/>
      <c r="E289" s="21">
        <f t="shared" si="69"/>
        <v>0.02</v>
      </c>
      <c r="F289" s="635"/>
      <c r="G289" s="21">
        <f t="shared" si="70"/>
        <v>1</v>
      </c>
      <c r="H289" s="635"/>
      <c r="I289" s="21">
        <f t="shared" si="71"/>
        <v>1</v>
      </c>
      <c r="J289" s="635"/>
      <c r="K289" s="21">
        <f t="shared" si="72"/>
        <v>1</v>
      </c>
      <c r="L289" s="635"/>
      <c r="M289" s="21">
        <f t="shared" si="73"/>
        <v>1</v>
      </c>
      <c r="N289" s="635"/>
      <c r="O289" s="21">
        <f t="shared" si="74"/>
        <v>1</v>
      </c>
      <c r="P289" s="635"/>
      <c r="Q289" s="21">
        <f t="shared" si="75"/>
        <v>1</v>
      </c>
      <c r="R289" s="21">
        <f t="shared" si="76"/>
        <v>0</v>
      </c>
      <c r="S289" s="308">
        <f t="shared" si="77"/>
        <v>0</v>
      </c>
    </row>
    <row r="290" spans="1:19">
      <c r="A290" s="142"/>
      <c r="B290" s="52"/>
      <c r="C290" s="21">
        <f t="shared" si="68"/>
        <v>1</v>
      </c>
      <c r="D290" s="635"/>
      <c r="E290" s="21">
        <f t="shared" si="69"/>
        <v>0.02</v>
      </c>
      <c r="F290" s="635"/>
      <c r="G290" s="21">
        <f t="shared" si="70"/>
        <v>1</v>
      </c>
      <c r="H290" s="635"/>
      <c r="I290" s="21">
        <f t="shared" si="71"/>
        <v>1</v>
      </c>
      <c r="J290" s="635"/>
      <c r="K290" s="21">
        <f t="shared" si="72"/>
        <v>1</v>
      </c>
      <c r="L290" s="635"/>
      <c r="M290" s="21">
        <f t="shared" si="73"/>
        <v>1</v>
      </c>
      <c r="N290" s="635"/>
      <c r="O290" s="21">
        <f t="shared" si="74"/>
        <v>1</v>
      </c>
      <c r="P290" s="635"/>
      <c r="Q290" s="21">
        <f t="shared" si="75"/>
        <v>1</v>
      </c>
      <c r="R290" s="21">
        <f t="shared" si="76"/>
        <v>0</v>
      </c>
      <c r="S290" s="308">
        <f t="shared" si="77"/>
        <v>0</v>
      </c>
    </row>
    <row r="291" spans="1:19">
      <c r="A291" s="142"/>
      <c r="B291" s="52"/>
      <c r="C291" s="21">
        <f t="shared" si="68"/>
        <v>1</v>
      </c>
      <c r="D291" s="635"/>
      <c r="E291" s="21">
        <f t="shared" si="69"/>
        <v>0.02</v>
      </c>
      <c r="F291" s="635"/>
      <c r="G291" s="21">
        <f t="shared" si="70"/>
        <v>1</v>
      </c>
      <c r="H291" s="635"/>
      <c r="I291" s="21">
        <f t="shared" si="71"/>
        <v>1</v>
      </c>
      <c r="J291" s="635"/>
      <c r="K291" s="21">
        <f t="shared" si="72"/>
        <v>1</v>
      </c>
      <c r="L291" s="635"/>
      <c r="M291" s="21">
        <f t="shared" si="73"/>
        <v>1</v>
      </c>
      <c r="N291" s="635"/>
      <c r="O291" s="21">
        <f t="shared" si="74"/>
        <v>1</v>
      </c>
      <c r="P291" s="635"/>
      <c r="Q291" s="21">
        <f t="shared" si="75"/>
        <v>1</v>
      </c>
      <c r="R291" s="21">
        <f t="shared" si="76"/>
        <v>0</v>
      </c>
      <c r="S291" s="308">
        <f t="shared" si="77"/>
        <v>0</v>
      </c>
    </row>
    <row r="292" spans="1:19">
      <c r="A292" s="142"/>
      <c r="B292" s="52"/>
      <c r="C292" s="21">
        <f t="shared" si="68"/>
        <v>1</v>
      </c>
      <c r="D292" s="635"/>
      <c r="E292" s="21">
        <f t="shared" si="69"/>
        <v>0.02</v>
      </c>
      <c r="F292" s="635"/>
      <c r="G292" s="21">
        <f t="shared" si="70"/>
        <v>1</v>
      </c>
      <c r="H292" s="635"/>
      <c r="I292" s="21">
        <f t="shared" si="71"/>
        <v>1</v>
      </c>
      <c r="J292" s="635"/>
      <c r="K292" s="21">
        <f t="shared" si="72"/>
        <v>1</v>
      </c>
      <c r="L292" s="635"/>
      <c r="M292" s="21">
        <f t="shared" si="73"/>
        <v>1</v>
      </c>
      <c r="N292" s="635"/>
      <c r="O292" s="21">
        <f t="shared" si="74"/>
        <v>1</v>
      </c>
      <c r="P292" s="635"/>
      <c r="Q292" s="21">
        <f t="shared" si="75"/>
        <v>1</v>
      </c>
      <c r="R292" s="21">
        <f t="shared" si="76"/>
        <v>0</v>
      </c>
      <c r="S292" s="308">
        <f t="shared" si="77"/>
        <v>0</v>
      </c>
    </row>
    <row r="293" spans="1:19">
      <c r="A293" s="142"/>
      <c r="B293" s="52"/>
      <c r="C293" s="21">
        <f t="shared" si="68"/>
        <v>1</v>
      </c>
      <c r="D293" s="635"/>
      <c r="E293" s="21">
        <f t="shared" si="69"/>
        <v>0.02</v>
      </c>
      <c r="F293" s="635"/>
      <c r="G293" s="21">
        <f t="shared" si="70"/>
        <v>1</v>
      </c>
      <c r="H293" s="635"/>
      <c r="I293" s="21">
        <f t="shared" si="71"/>
        <v>1</v>
      </c>
      <c r="J293" s="635"/>
      <c r="K293" s="21">
        <f t="shared" si="72"/>
        <v>1</v>
      </c>
      <c r="L293" s="635"/>
      <c r="M293" s="21">
        <f t="shared" si="73"/>
        <v>1</v>
      </c>
      <c r="N293" s="635"/>
      <c r="O293" s="21">
        <f t="shared" si="74"/>
        <v>1</v>
      </c>
      <c r="P293" s="635"/>
      <c r="Q293" s="21">
        <f t="shared" si="75"/>
        <v>1</v>
      </c>
      <c r="R293" s="21">
        <f t="shared" si="76"/>
        <v>0</v>
      </c>
      <c r="S293" s="308">
        <f t="shared" si="77"/>
        <v>0</v>
      </c>
    </row>
    <row r="294" spans="1:19">
      <c r="A294" s="142"/>
      <c r="B294" s="52"/>
      <c r="C294" s="21">
        <f t="shared" si="68"/>
        <v>1</v>
      </c>
      <c r="D294" s="635"/>
      <c r="E294" s="21">
        <f t="shared" si="69"/>
        <v>0.02</v>
      </c>
      <c r="F294" s="635"/>
      <c r="G294" s="21">
        <f t="shared" si="70"/>
        <v>1</v>
      </c>
      <c r="H294" s="635"/>
      <c r="I294" s="21">
        <f t="shared" si="71"/>
        <v>1</v>
      </c>
      <c r="J294" s="635"/>
      <c r="K294" s="21">
        <f t="shared" si="72"/>
        <v>1</v>
      </c>
      <c r="L294" s="635"/>
      <c r="M294" s="21">
        <f t="shared" si="73"/>
        <v>1</v>
      </c>
      <c r="N294" s="635"/>
      <c r="O294" s="21">
        <f t="shared" si="74"/>
        <v>1</v>
      </c>
      <c r="P294" s="635"/>
      <c r="Q294" s="21">
        <f t="shared" si="75"/>
        <v>1</v>
      </c>
      <c r="R294" s="21">
        <f t="shared" si="76"/>
        <v>0</v>
      </c>
      <c r="S294" s="308">
        <f t="shared" si="77"/>
        <v>0</v>
      </c>
    </row>
    <row r="295" spans="1:19">
      <c r="A295" s="142"/>
      <c r="B295" s="52"/>
      <c r="C295" s="21">
        <f t="shared" si="68"/>
        <v>1</v>
      </c>
      <c r="D295" s="635"/>
      <c r="E295" s="21">
        <f t="shared" si="69"/>
        <v>0.02</v>
      </c>
      <c r="F295" s="635"/>
      <c r="G295" s="21">
        <f t="shared" si="70"/>
        <v>1</v>
      </c>
      <c r="H295" s="635"/>
      <c r="I295" s="21">
        <f t="shared" si="71"/>
        <v>1</v>
      </c>
      <c r="J295" s="635"/>
      <c r="K295" s="21">
        <f t="shared" si="72"/>
        <v>1</v>
      </c>
      <c r="L295" s="635"/>
      <c r="M295" s="21">
        <f t="shared" si="73"/>
        <v>1</v>
      </c>
      <c r="N295" s="635"/>
      <c r="O295" s="21">
        <f t="shared" si="74"/>
        <v>1</v>
      </c>
      <c r="P295" s="635"/>
      <c r="Q295" s="21">
        <f t="shared" si="75"/>
        <v>1</v>
      </c>
      <c r="R295" s="21">
        <f t="shared" si="76"/>
        <v>0</v>
      </c>
      <c r="S295" s="308">
        <f t="shared" si="77"/>
        <v>0</v>
      </c>
    </row>
    <row r="296" spans="1:19">
      <c r="A296" s="142"/>
      <c r="B296" s="52"/>
      <c r="C296" s="21">
        <f t="shared" si="68"/>
        <v>1</v>
      </c>
      <c r="D296" s="635"/>
      <c r="E296" s="21">
        <f t="shared" si="69"/>
        <v>0.02</v>
      </c>
      <c r="F296" s="635"/>
      <c r="G296" s="21">
        <f t="shared" si="70"/>
        <v>1</v>
      </c>
      <c r="H296" s="635"/>
      <c r="I296" s="21">
        <f t="shared" si="71"/>
        <v>1</v>
      </c>
      <c r="J296" s="635"/>
      <c r="K296" s="21">
        <f t="shared" si="72"/>
        <v>1</v>
      </c>
      <c r="L296" s="635"/>
      <c r="M296" s="21">
        <f t="shared" si="73"/>
        <v>1</v>
      </c>
      <c r="N296" s="635"/>
      <c r="O296" s="21">
        <f t="shared" si="74"/>
        <v>1</v>
      </c>
      <c r="P296" s="635"/>
      <c r="Q296" s="21">
        <f t="shared" si="75"/>
        <v>1</v>
      </c>
      <c r="R296" s="21">
        <f t="shared" si="76"/>
        <v>0</v>
      </c>
      <c r="S296" s="308">
        <f t="shared" si="77"/>
        <v>0</v>
      </c>
    </row>
    <row r="297" spans="1:19">
      <c r="A297" s="142"/>
      <c r="B297" s="52"/>
      <c r="C297" s="21">
        <f t="shared" si="68"/>
        <v>1</v>
      </c>
      <c r="D297" s="635"/>
      <c r="E297" s="21">
        <f t="shared" si="69"/>
        <v>0.02</v>
      </c>
      <c r="F297" s="635"/>
      <c r="G297" s="21">
        <f t="shared" si="70"/>
        <v>1</v>
      </c>
      <c r="H297" s="635"/>
      <c r="I297" s="21">
        <f t="shared" si="71"/>
        <v>1</v>
      </c>
      <c r="J297" s="635"/>
      <c r="K297" s="21">
        <f t="shared" si="72"/>
        <v>1</v>
      </c>
      <c r="L297" s="635"/>
      <c r="M297" s="21">
        <f t="shared" si="73"/>
        <v>1</v>
      </c>
      <c r="N297" s="635"/>
      <c r="O297" s="21">
        <f t="shared" si="74"/>
        <v>1</v>
      </c>
      <c r="P297" s="635"/>
      <c r="Q297" s="21">
        <f t="shared" si="75"/>
        <v>1</v>
      </c>
      <c r="R297" s="21">
        <f t="shared" si="76"/>
        <v>0</v>
      </c>
      <c r="S297" s="308">
        <f t="shared" si="77"/>
        <v>0</v>
      </c>
    </row>
    <row r="298" spans="1:19">
      <c r="A298" s="142"/>
      <c r="B298" s="52"/>
      <c r="C298" s="21">
        <f t="shared" si="68"/>
        <v>1</v>
      </c>
      <c r="D298" s="635"/>
      <c r="E298" s="21">
        <f t="shared" si="69"/>
        <v>0.02</v>
      </c>
      <c r="F298" s="635"/>
      <c r="G298" s="21">
        <f t="shared" si="70"/>
        <v>1</v>
      </c>
      <c r="H298" s="635"/>
      <c r="I298" s="21">
        <f t="shared" si="71"/>
        <v>1</v>
      </c>
      <c r="J298" s="635"/>
      <c r="K298" s="21">
        <f t="shared" si="72"/>
        <v>1</v>
      </c>
      <c r="L298" s="635"/>
      <c r="M298" s="21">
        <f t="shared" si="73"/>
        <v>1</v>
      </c>
      <c r="N298" s="635"/>
      <c r="O298" s="21">
        <f t="shared" si="74"/>
        <v>1</v>
      </c>
      <c r="P298" s="635"/>
      <c r="Q298" s="21">
        <f t="shared" si="75"/>
        <v>1</v>
      </c>
      <c r="R298" s="21">
        <f t="shared" si="76"/>
        <v>0</v>
      </c>
      <c r="S298" s="308">
        <f t="shared" si="77"/>
        <v>0</v>
      </c>
    </row>
    <row r="299" spans="1:19">
      <c r="A299" s="142"/>
      <c r="B299" s="52"/>
      <c r="C299" s="21">
        <f t="shared" si="68"/>
        <v>1</v>
      </c>
      <c r="D299" s="635"/>
      <c r="E299" s="21">
        <f t="shared" si="69"/>
        <v>0.02</v>
      </c>
      <c r="F299" s="635"/>
      <c r="G299" s="21">
        <f t="shared" si="70"/>
        <v>1</v>
      </c>
      <c r="H299" s="635"/>
      <c r="I299" s="21">
        <f t="shared" si="71"/>
        <v>1</v>
      </c>
      <c r="J299" s="635"/>
      <c r="K299" s="21">
        <f t="shared" si="72"/>
        <v>1</v>
      </c>
      <c r="L299" s="635"/>
      <c r="M299" s="21">
        <f t="shared" si="73"/>
        <v>1</v>
      </c>
      <c r="N299" s="635"/>
      <c r="O299" s="21">
        <f t="shared" si="74"/>
        <v>1</v>
      </c>
      <c r="P299" s="635"/>
      <c r="Q299" s="21">
        <f t="shared" si="75"/>
        <v>1</v>
      </c>
      <c r="R299" s="21">
        <f t="shared" si="76"/>
        <v>0</v>
      </c>
      <c r="S299" s="308">
        <f t="shared" si="77"/>
        <v>0</v>
      </c>
    </row>
    <row r="300" spans="1:19">
      <c r="A300" s="142"/>
      <c r="B300" s="52"/>
      <c r="C300" s="21">
        <f t="shared" si="68"/>
        <v>1</v>
      </c>
      <c r="D300" s="635"/>
      <c r="E300" s="21">
        <f t="shared" si="69"/>
        <v>0.02</v>
      </c>
      <c r="F300" s="635"/>
      <c r="G300" s="21">
        <f t="shared" si="70"/>
        <v>1</v>
      </c>
      <c r="H300" s="635"/>
      <c r="I300" s="21">
        <f t="shared" si="71"/>
        <v>1</v>
      </c>
      <c r="J300" s="635"/>
      <c r="K300" s="21">
        <f t="shared" si="72"/>
        <v>1</v>
      </c>
      <c r="L300" s="635"/>
      <c r="M300" s="21">
        <f t="shared" si="73"/>
        <v>1</v>
      </c>
      <c r="N300" s="635"/>
      <c r="O300" s="21">
        <f t="shared" si="74"/>
        <v>1</v>
      </c>
      <c r="P300" s="635"/>
      <c r="Q300" s="21">
        <f t="shared" si="75"/>
        <v>1</v>
      </c>
      <c r="R300" s="21">
        <f t="shared" si="76"/>
        <v>0</v>
      </c>
      <c r="S300" s="308">
        <f t="shared" si="77"/>
        <v>0</v>
      </c>
    </row>
    <row r="301" spans="1:19">
      <c r="A301" s="142"/>
      <c r="B301" s="52"/>
      <c r="C301" s="21">
        <f t="shared" si="68"/>
        <v>1</v>
      </c>
      <c r="D301" s="635"/>
      <c r="E301" s="21">
        <f t="shared" si="69"/>
        <v>0.02</v>
      </c>
      <c r="F301" s="635"/>
      <c r="G301" s="21">
        <f t="shared" si="70"/>
        <v>1</v>
      </c>
      <c r="H301" s="635"/>
      <c r="I301" s="21">
        <f t="shared" si="71"/>
        <v>1</v>
      </c>
      <c r="J301" s="635"/>
      <c r="K301" s="21">
        <f t="shared" si="72"/>
        <v>1</v>
      </c>
      <c r="L301" s="635"/>
      <c r="M301" s="21">
        <f t="shared" si="73"/>
        <v>1</v>
      </c>
      <c r="N301" s="635"/>
      <c r="O301" s="21">
        <f t="shared" si="74"/>
        <v>1</v>
      </c>
      <c r="P301" s="635"/>
      <c r="Q301" s="21">
        <f t="shared" si="75"/>
        <v>1</v>
      </c>
      <c r="R301" s="21">
        <f t="shared" si="76"/>
        <v>0</v>
      </c>
      <c r="S301" s="308">
        <f t="shared" si="77"/>
        <v>0</v>
      </c>
    </row>
    <row r="302" spans="1:19">
      <c r="A302" s="142"/>
      <c r="B302" s="52"/>
      <c r="C302" s="21">
        <f t="shared" si="68"/>
        <v>1</v>
      </c>
      <c r="D302" s="635"/>
      <c r="E302" s="21">
        <f t="shared" si="69"/>
        <v>0.02</v>
      </c>
      <c r="F302" s="635"/>
      <c r="G302" s="21">
        <f t="shared" si="70"/>
        <v>1</v>
      </c>
      <c r="H302" s="635"/>
      <c r="I302" s="21">
        <f t="shared" si="71"/>
        <v>1</v>
      </c>
      <c r="J302" s="635"/>
      <c r="K302" s="21">
        <f t="shared" si="72"/>
        <v>1</v>
      </c>
      <c r="L302" s="635"/>
      <c r="M302" s="21">
        <f t="shared" si="73"/>
        <v>1</v>
      </c>
      <c r="N302" s="635"/>
      <c r="O302" s="21">
        <f t="shared" si="74"/>
        <v>1</v>
      </c>
      <c r="P302" s="635"/>
      <c r="Q302" s="21">
        <f t="shared" si="75"/>
        <v>1</v>
      </c>
      <c r="R302" s="21">
        <f t="shared" si="76"/>
        <v>0</v>
      </c>
      <c r="S302" s="308">
        <f t="shared" si="77"/>
        <v>0</v>
      </c>
    </row>
    <row r="303" spans="1:19">
      <c r="A303" s="142"/>
      <c r="B303" s="52"/>
      <c r="C303" s="21">
        <f t="shared" si="68"/>
        <v>1</v>
      </c>
      <c r="D303" s="635"/>
      <c r="E303" s="21">
        <f t="shared" si="69"/>
        <v>0.02</v>
      </c>
      <c r="F303" s="635"/>
      <c r="G303" s="21">
        <f t="shared" si="70"/>
        <v>1</v>
      </c>
      <c r="H303" s="635"/>
      <c r="I303" s="21">
        <f t="shared" si="71"/>
        <v>1</v>
      </c>
      <c r="J303" s="635"/>
      <c r="K303" s="21">
        <f t="shared" si="72"/>
        <v>1</v>
      </c>
      <c r="L303" s="635"/>
      <c r="M303" s="21">
        <f t="shared" si="73"/>
        <v>1</v>
      </c>
      <c r="N303" s="635"/>
      <c r="O303" s="21">
        <f t="shared" si="74"/>
        <v>1</v>
      </c>
      <c r="P303" s="635"/>
      <c r="Q303" s="21">
        <f t="shared" si="75"/>
        <v>1</v>
      </c>
      <c r="R303" s="21">
        <f t="shared" si="76"/>
        <v>0</v>
      </c>
      <c r="S303" s="308">
        <f t="shared" si="77"/>
        <v>0</v>
      </c>
    </row>
    <row r="304" spans="1:19">
      <c r="A304" s="142"/>
      <c r="B304" s="52"/>
      <c r="C304" s="21">
        <f t="shared" si="68"/>
        <v>1</v>
      </c>
      <c r="D304" s="635"/>
      <c r="E304" s="21">
        <f t="shared" si="69"/>
        <v>0.02</v>
      </c>
      <c r="F304" s="635"/>
      <c r="G304" s="21">
        <f t="shared" si="70"/>
        <v>1</v>
      </c>
      <c r="H304" s="635"/>
      <c r="I304" s="21">
        <f t="shared" si="71"/>
        <v>1</v>
      </c>
      <c r="J304" s="635"/>
      <c r="K304" s="21">
        <f t="shared" si="72"/>
        <v>1</v>
      </c>
      <c r="L304" s="635"/>
      <c r="M304" s="21">
        <f t="shared" si="73"/>
        <v>1</v>
      </c>
      <c r="N304" s="635"/>
      <c r="O304" s="21">
        <f t="shared" si="74"/>
        <v>1</v>
      </c>
      <c r="P304" s="635"/>
      <c r="Q304" s="21">
        <f t="shared" si="75"/>
        <v>1</v>
      </c>
      <c r="R304" s="21">
        <f t="shared" si="76"/>
        <v>0</v>
      </c>
      <c r="S304" s="308">
        <f t="shared" si="77"/>
        <v>0</v>
      </c>
    </row>
    <row r="305" spans="1:19">
      <c r="A305" s="142"/>
      <c r="B305" s="52"/>
      <c r="C305" s="21">
        <f t="shared" si="68"/>
        <v>1</v>
      </c>
      <c r="D305" s="635"/>
      <c r="E305" s="21">
        <f t="shared" si="69"/>
        <v>0.02</v>
      </c>
      <c r="F305" s="635"/>
      <c r="G305" s="21">
        <f t="shared" si="70"/>
        <v>1</v>
      </c>
      <c r="H305" s="635"/>
      <c r="I305" s="21">
        <f t="shared" si="71"/>
        <v>1</v>
      </c>
      <c r="J305" s="635"/>
      <c r="K305" s="21">
        <f t="shared" si="72"/>
        <v>1</v>
      </c>
      <c r="L305" s="635"/>
      <c r="M305" s="21">
        <f t="shared" si="73"/>
        <v>1</v>
      </c>
      <c r="N305" s="635"/>
      <c r="O305" s="21">
        <f t="shared" si="74"/>
        <v>1</v>
      </c>
      <c r="P305" s="635"/>
      <c r="Q305" s="21">
        <f t="shared" si="75"/>
        <v>1</v>
      </c>
      <c r="R305" s="21">
        <f t="shared" si="76"/>
        <v>0</v>
      </c>
      <c r="S305" s="308">
        <f t="shared" si="77"/>
        <v>0</v>
      </c>
    </row>
    <row r="306" spans="1:19">
      <c r="A306" s="142"/>
      <c r="B306" s="52"/>
      <c r="C306" s="21">
        <f t="shared" si="68"/>
        <v>1</v>
      </c>
      <c r="D306" s="635"/>
      <c r="E306" s="21">
        <f t="shared" si="69"/>
        <v>0.02</v>
      </c>
      <c r="F306" s="635"/>
      <c r="G306" s="21">
        <f t="shared" si="70"/>
        <v>1</v>
      </c>
      <c r="H306" s="635"/>
      <c r="I306" s="21">
        <f t="shared" si="71"/>
        <v>1</v>
      </c>
      <c r="J306" s="635"/>
      <c r="K306" s="21">
        <f t="shared" si="72"/>
        <v>1</v>
      </c>
      <c r="L306" s="635"/>
      <c r="M306" s="21">
        <f t="shared" si="73"/>
        <v>1</v>
      </c>
      <c r="N306" s="635"/>
      <c r="O306" s="21">
        <f t="shared" si="74"/>
        <v>1</v>
      </c>
      <c r="P306" s="635"/>
      <c r="Q306" s="21">
        <f t="shared" si="75"/>
        <v>1</v>
      </c>
      <c r="R306" s="21">
        <f t="shared" si="76"/>
        <v>0</v>
      </c>
      <c r="S306" s="308">
        <f t="shared" si="77"/>
        <v>0</v>
      </c>
    </row>
    <row r="307" spans="1:19">
      <c r="A307" s="142"/>
      <c r="B307" s="52"/>
      <c r="C307" s="21">
        <f t="shared" si="68"/>
        <v>1</v>
      </c>
      <c r="D307" s="635"/>
      <c r="E307" s="21">
        <f t="shared" si="69"/>
        <v>0.02</v>
      </c>
      <c r="F307" s="635"/>
      <c r="G307" s="21">
        <f t="shared" si="70"/>
        <v>1</v>
      </c>
      <c r="H307" s="635"/>
      <c r="I307" s="21">
        <f t="shared" si="71"/>
        <v>1</v>
      </c>
      <c r="J307" s="635"/>
      <c r="K307" s="21">
        <f t="shared" si="72"/>
        <v>1</v>
      </c>
      <c r="L307" s="635"/>
      <c r="M307" s="21">
        <f t="shared" si="73"/>
        <v>1</v>
      </c>
      <c r="N307" s="635"/>
      <c r="O307" s="21">
        <f t="shared" si="74"/>
        <v>1</v>
      </c>
      <c r="P307" s="635"/>
      <c r="Q307" s="21">
        <f t="shared" si="75"/>
        <v>1</v>
      </c>
      <c r="R307" s="21">
        <f t="shared" si="76"/>
        <v>0</v>
      </c>
      <c r="S307" s="308">
        <f t="shared" si="77"/>
        <v>0</v>
      </c>
    </row>
    <row r="308" spans="1:19">
      <c r="A308" s="142"/>
      <c r="B308" s="52"/>
      <c r="C308" s="21">
        <f t="shared" si="68"/>
        <v>1</v>
      </c>
      <c r="D308" s="635"/>
      <c r="E308" s="21">
        <f t="shared" si="69"/>
        <v>0.02</v>
      </c>
      <c r="F308" s="635"/>
      <c r="G308" s="21">
        <f t="shared" si="70"/>
        <v>1</v>
      </c>
      <c r="H308" s="635"/>
      <c r="I308" s="21">
        <f t="shared" si="71"/>
        <v>1</v>
      </c>
      <c r="J308" s="635"/>
      <c r="K308" s="21">
        <f t="shared" si="72"/>
        <v>1</v>
      </c>
      <c r="L308" s="635"/>
      <c r="M308" s="21">
        <f t="shared" si="73"/>
        <v>1</v>
      </c>
      <c r="N308" s="635"/>
      <c r="O308" s="21">
        <f t="shared" si="74"/>
        <v>1</v>
      </c>
      <c r="P308" s="635"/>
      <c r="Q308" s="21">
        <f t="shared" si="75"/>
        <v>1</v>
      </c>
      <c r="R308" s="21">
        <f t="shared" si="76"/>
        <v>0</v>
      </c>
      <c r="S308" s="308">
        <f t="shared" si="77"/>
        <v>0</v>
      </c>
    </row>
    <row r="309" spans="1:19">
      <c r="A309" s="142"/>
      <c r="B309" s="52"/>
      <c r="C309" s="21">
        <f t="shared" si="68"/>
        <v>1</v>
      </c>
      <c r="D309" s="635"/>
      <c r="E309" s="21">
        <f t="shared" si="69"/>
        <v>0.02</v>
      </c>
      <c r="F309" s="635"/>
      <c r="G309" s="21">
        <f t="shared" si="70"/>
        <v>1</v>
      </c>
      <c r="H309" s="635"/>
      <c r="I309" s="21">
        <f t="shared" si="71"/>
        <v>1</v>
      </c>
      <c r="J309" s="635"/>
      <c r="K309" s="21">
        <f t="shared" si="72"/>
        <v>1</v>
      </c>
      <c r="L309" s="635"/>
      <c r="M309" s="21">
        <f t="shared" si="73"/>
        <v>1</v>
      </c>
      <c r="N309" s="635"/>
      <c r="O309" s="21">
        <f t="shared" si="74"/>
        <v>1</v>
      </c>
      <c r="P309" s="635"/>
      <c r="Q309" s="21">
        <f t="shared" si="75"/>
        <v>1</v>
      </c>
      <c r="R309" s="21">
        <f t="shared" si="76"/>
        <v>0</v>
      </c>
      <c r="S309" s="308">
        <f t="shared" si="77"/>
        <v>0</v>
      </c>
    </row>
    <row r="310" spans="1:19">
      <c r="A310" s="142"/>
      <c r="B310" s="52"/>
      <c r="C310" s="21">
        <f t="shared" si="68"/>
        <v>1</v>
      </c>
      <c r="D310" s="635"/>
      <c r="E310" s="21">
        <f t="shared" si="69"/>
        <v>0.02</v>
      </c>
      <c r="F310" s="635"/>
      <c r="G310" s="21">
        <f t="shared" si="70"/>
        <v>1</v>
      </c>
      <c r="H310" s="635"/>
      <c r="I310" s="21">
        <f t="shared" si="71"/>
        <v>1</v>
      </c>
      <c r="J310" s="635"/>
      <c r="K310" s="21">
        <f t="shared" si="72"/>
        <v>1</v>
      </c>
      <c r="L310" s="635"/>
      <c r="M310" s="21">
        <f t="shared" si="73"/>
        <v>1</v>
      </c>
      <c r="N310" s="635"/>
      <c r="O310" s="21">
        <f t="shared" si="74"/>
        <v>1</v>
      </c>
      <c r="P310" s="635"/>
      <c r="Q310" s="21">
        <f t="shared" si="75"/>
        <v>1</v>
      </c>
      <c r="R310" s="21">
        <f t="shared" si="76"/>
        <v>0</v>
      </c>
      <c r="S310" s="308">
        <f t="shared" si="77"/>
        <v>0</v>
      </c>
    </row>
    <row r="311" spans="1:19">
      <c r="A311" s="142"/>
      <c r="B311" s="52"/>
      <c r="C311" s="21">
        <f t="shared" si="68"/>
        <v>1</v>
      </c>
      <c r="D311" s="635"/>
      <c r="E311" s="21">
        <f t="shared" si="69"/>
        <v>0.02</v>
      </c>
      <c r="F311" s="635"/>
      <c r="G311" s="21">
        <f t="shared" si="70"/>
        <v>1</v>
      </c>
      <c r="H311" s="635"/>
      <c r="I311" s="21">
        <f t="shared" si="71"/>
        <v>1</v>
      </c>
      <c r="J311" s="635"/>
      <c r="K311" s="21">
        <f t="shared" si="72"/>
        <v>1</v>
      </c>
      <c r="L311" s="635"/>
      <c r="M311" s="21">
        <f t="shared" si="73"/>
        <v>1</v>
      </c>
      <c r="N311" s="635"/>
      <c r="O311" s="21">
        <f t="shared" si="74"/>
        <v>1</v>
      </c>
      <c r="P311" s="635"/>
      <c r="Q311" s="21">
        <f t="shared" si="75"/>
        <v>1</v>
      </c>
      <c r="R311" s="21">
        <f t="shared" si="76"/>
        <v>0</v>
      </c>
      <c r="S311" s="308">
        <f t="shared" si="77"/>
        <v>0</v>
      </c>
    </row>
    <row r="312" spans="1:19">
      <c r="A312" s="142"/>
      <c r="B312" s="52"/>
      <c r="C312" s="21">
        <f t="shared" si="68"/>
        <v>1</v>
      </c>
      <c r="D312" s="635"/>
      <c r="E312" s="21">
        <f t="shared" si="69"/>
        <v>0.02</v>
      </c>
      <c r="F312" s="635"/>
      <c r="G312" s="21">
        <f t="shared" si="70"/>
        <v>1</v>
      </c>
      <c r="H312" s="635"/>
      <c r="I312" s="21">
        <f t="shared" si="71"/>
        <v>1</v>
      </c>
      <c r="J312" s="635"/>
      <c r="K312" s="21">
        <f t="shared" si="72"/>
        <v>1</v>
      </c>
      <c r="L312" s="635"/>
      <c r="M312" s="21">
        <f t="shared" si="73"/>
        <v>1</v>
      </c>
      <c r="N312" s="635"/>
      <c r="O312" s="21">
        <f t="shared" si="74"/>
        <v>1</v>
      </c>
      <c r="P312" s="635"/>
      <c r="Q312" s="21">
        <f t="shared" si="75"/>
        <v>1</v>
      </c>
      <c r="R312" s="21">
        <f t="shared" si="76"/>
        <v>0</v>
      </c>
      <c r="S312" s="308">
        <f t="shared" si="77"/>
        <v>0</v>
      </c>
    </row>
    <row r="313" spans="1:19">
      <c r="A313" s="142"/>
      <c r="B313" s="52"/>
      <c r="C313" s="21">
        <f t="shared" si="68"/>
        <v>1</v>
      </c>
      <c r="D313" s="635"/>
      <c r="E313" s="21">
        <f t="shared" si="69"/>
        <v>0.02</v>
      </c>
      <c r="F313" s="635"/>
      <c r="G313" s="21">
        <f t="shared" si="70"/>
        <v>1</v>
      </c>
      <c r="H313" s="635"/>
      <c r="I313" s="21">
        <f t="shared" si="71"/>
        <v>1</v>
      </c>
      <c r="J313" s="635"/>
      <c r="K313" s="21">
        <f t="shared" si="72"/>
        <v>1</v>
      </c>
      <c r="L313" s="635"/>
      <c r="M313" s="21">
        <f t="shared" si="73"/>
        <v>1</v>
      </c>
      <c r="N313" s="635"/>
      <c r="O313" s="21">
        <f t="shared" si="74"/>
        <v>1</v>
      </c>
      <c r="P313" s="635"/>
      <c r="Q313" s="21">
        <f t="shared" si="75"/>
        <v>1</v>
      </c>
      <c r="R313" s="21">
        <f t="shared" si="76"/>
        <v>0</v>
      </c>
      <c r="S313" s="308">
        <f t="shared" si="77"/>
        <v>0</v>
      </c>
    </row>
    <row r="314" spans="1:19">
      <c r="A314" s="142"/>
      <c r="B314" s="52"/>
      <c r="C314" s="21">
        <f t="shared" si="68"/>
        <v>1</v>
      </c>
      <c r="D314" s="635"/>
      <c r="E314" s="21">
        <f t="shared" si="69"/>
        <v>0.02</v>
      </c>
      <c r="F314" s="635"/>
      <c r="G314" s="21">
        <f t="shared" si="70"/>
        <v>1</v>
      </c>
      <c r="H314" s="635"/>
      <c r="I314" s="21">
        <f t="shared" si="71"/>
        <v>1</v>
      </c>
      <c r="J314" s="635"/>
      <c r="K314" s="21">
        <f t="shared" si="72"/>
        <v>1</v>
      </c>
      <c r="L314" s="635"/>
      <c r="M314" s="21">
        <f t="shared" si="73"/>
        <v>1</v>
      </c>
      <c r="N314" s="635"/>
      <c r="O314" s="21">
        <f t="shared" si="74"/>
        <v>1</v>
      </c>
      <c r="P314" s="635"/>
      <c r="Q314" s="21">
        <f t="shared" si="75"/>
        <v>1</v>
      </c>
      <c r="R314" s="21">
        <f t="shared" si="76"/>
        <v>0</v>
      </c>
      <c r="S314" s="308">
        <f t="shared" si="77"/>
        <v>0</v>
      </c>
    </row>
    <row r="315" spans="1:19">
      <c r="A315" s="142"/>
      <c r="B315" s="52"/>
      <c r="C315" s="21">
        <f t="shared" si="68"/>
        <v>1</v>
      </c>
      <c r="D315" s="635"/>
      <c r="E315" s="21">
        <f t="shared" si="69"/>
        <v>0.02</v>
      </c>
      <c r="F315" s="635"/>
      <c r="G315" s="21">
        <f t="shared" si="70"/>
        <v>1</v>
      </c>
      <c r="H315" s="635"/>
      <c r="I315" s="21">
        <f t="shared" si="71"/>
        <v>1</v>
      </c>
      <c r="J315" s="635"/>
      <c r="K315" s="21">
        <f t="shared" si="72"/>
        <v>1</v>
      </c>
      <c r="L315" s="635"/>
      <c r="M315" s="21">
        <f t="shared" si="73"/>
        <v>1</v>
      </c>
      <c r="N315" s="635"/>
      <c r="O315" s="21">
        <f t="shared" si="74"/>
        <v>1</v>
      </c>
      <c r="P315" s="635"/>
      <c r="Q315" s="21">
        <f t="shared" si="75"/>
        <v>1</v>
      </c>
      <c r="R315" s="21">
        <f t="shared" si="76"/>
        <v>0</v>
      </c>
      <c r="S315" s="308">
        <f t="shared" si="77"/>
        <v>0</v>
      </c>
    </row>
    <row r="316" spans="1:19">
      <c r="A316" s="142"/>
      <c r="B316" s="52"/>
      <c r="C316" s="21">
        <f t="shared" si="68"/>
        <v>1</v>
      </c>
      <c r="D316" s="635"/>
      <c r="E316" s="21">
        <f t="shared" si="69"/>
        <v>0.02</v>
      </c>
      <c r="F316" s="635"/>
      <c r="G316" s="21">
        <f t="shared" si="70"/>
        <v>1</v>
      </c>
      <c r="H316" s="635"/>
      <c r="I316" s="21">
        <f t="shared" si="71"/>
        <v>1</v>
      </c>
      <c r="J316" s="635"/>
      <c r="K316" s="21">
        <f t="shared" si="72"/>
        <v>1</v>
      </c>
      <c r="L316" s="635"/>
      <c r="M316" s="21">
        <f t="shared" si="73"/>
        <v>1</v>
      </c>
      <c r="N316" s="635"/>
      <c r="O316" s="21">
        <f t="shared" si="74"/>
        <v>1</v>
      </c>
      <c r="P316" s="635"/>
      <c r="Q316" s="21">
        <f t="shared" si="75"/>
        <v>1</v>
      </c>
      <c r="R316" s="21">
        <f t="shared" si="76"/>
        <v>0</v>
      </c>
      <c r="S316" s="308">
        <f t="shared" si="77"/>
        <v>0</v>
      </c>
    </row>
    <row r="317" spans="1:19">
      <c r="A317" s="142"/>
      <c r="B317" s="52"/>
      <c r="C317" s="21">
        <f t="shared" si="68"/>
        <v>1</v>
      </c>
      <c r="D317" s="635"/>
      <c r="E317" s="21">
        <f t="shared" si="69"/>
        <v>0.02</v>
      </c>
      <c r="F317" s="635"/>
      <c r="G317" s="21">
        <f t="shared" si="70"/>
        <v>1</v>
      </c>
      <c r="H317" s="635"/>
      <c r="I317" s="21">
        <f t="shared" si="71"/>
        <v>1</v>
      </c>
      <c r="J317" s="635"/>
      <c r="K317" s="21">
        <f t="shared" si="72"/>
        <v>1</v>
      </c>
      <c r="L317" s="635"/>
      <c r="M317" s="21">
        <f t="shared" si="73"/>
        <v>1</v>
      </c>
      <c r="N317" s="635"/>
      <c r="O317" s="21">
        <f t="shared" si="74"/>
        <v>1</v>
      </c>
      <c r="P317" s="635"/>
      <c r="Q317" s="21">
        <f t="shared" si="75"/>
        <v>1</v>
      </c>
      <c r="R317" s="21">
        <f t="shared" si="76"/>
        <v>0</v>
      </c>
      <c r="S317" s="308">
        <f t="shared" si="77"/>
        <v>0</v>
      </c>
    </row>
    <row r="318" spans="1:19">
      <c r="A318" s="142"/>
      <c r="B318" s="52"/>
      <c r="C318" s="21">
        <f t="shared" si="68"/>
        <v>1</v>
      </c>
      <c r="D318" s="635"/>
      <c r="E318" s="21">
        <f t="shared" si="69"/>
        <v>0.02</v>
      </c>
      <c r="F318" s="635"/>
      <c r="G318" s="21">
        <f t="shared" si="70"/>
        <v>1</v>
      </c>
      <c r="H318" s="635"/>
      <c r="I318" s="21">
        <f t="shared" si="71"/>
        <v>1</v>
      </c>
      <c r="J318" s="635"/>
      <c r="K318" s="21">
        <f t="shared" si="72"/>
        <v>1</v>
      </c>
      <c r="L318" s="635"/>
      <c r="M318" s="21">
        <f t="shared" si="73"/>
        <v>1</v>
      </c>
      <c r="N318" s="635"/>
      <c r="O318" s="21">
        <f t="shared" si="74"/>
        <v>1</v>
      </c>
      <c r="P318" s="635"/>
      <c r="Q318" s="21">
        <f t="shared" si="75"/>
        <v>1</v>
      </c>
      <c r="R318" s="21">
        <f t="shared" si="76"/>
        <v>0</v>
      </c>
      <c r="S318" s="308">
        <f t="shared" si="77"/>
        <v>0</v>
      </c>
    </row>
    <row r="319" spans="1:19">
      <c r="A319" s="142"/>
      <c r="B319" s="52"/>
      <c r="C319" s="21">
        <f t="shared" si="68"/>
        <v>1</v>
      </c>
      <c r="D319" s="635"/>
      <c r="E319" s="21">
        <f t="shared" si="69"/>
        <v>0.02</v>
      </c>
      <c r="F319" s="635"/>
      <c r="G319" s="21">
        <f t="shared" si="70"/>
        <v>1</v>
      </c>
      <c r="H319" s="635"/>
      <c r="I319" s="21">
        <f t="shared" si="71"/>
        <v>1</v>
      </c>
      <c r="J319" s="635"/>
      <c r="K319" s="21">
        <f t="shared" si="72"/>
        <v>1</v>
      </c>
      <c r="L319" s="635"/>
      <c r="M319" s="21">
        <f t="shared" si="73"/>
        <v>1</v>
      </c>
      <c r="N319" s="635"/>
      <c r="O319" s="21">
        <f t="shared" si="74"/>
        <v>1</v>
      </c>
      <c r="P319" s="635"/>
      <c r="Q319" s="21">
        <f t="shared" si="75"/>
        <v>1</v>
      </c>
      <c r="R319" s="21">
        <f t="shared" si="76"/>
        <v>0</v>
      </c>
      <c r="S319" s="308">
        <f t="shared" si="77"/>
        <v>0</v>
      </c>
    </row>
    <row r="320" spans="1:19">
      <c r="A320" s="142"/>
      <c r="B320" s="52"/>
      <c r="C320" s="21">
        <f t="shared" si="68"/>
        <v>1</v>
      </c>
      <c r="D320" s="635"/>
      <c r="E320" s="21">
        <f t="shared" si="69"/>
        <v>0.02</v>
      </c>
      <c r="F320" s="635"/>
      <c r="G320" s="21">
        <f t="shared" si="70"/>
        <v>1</v>
      </c>
      <c r="H320" s="635"/>
      <c r="I320" s="21">
        <f t="shared" si="71"/>
        <v>1</v>
      </c>
      <c r="J320" s="635"/>
      <c r="K320" s="21">
        <f t="shared" si="72"/>
        <v>1</v>
      </c>
      <c r="L320" s="635"/>
      <c r="M320" s="21">
        <f t="shared" si="73"/>
        <v>1</v>
      </c>
      <c r="N320" s="635"/>
      <c r="O320" s="21">
        <f t="shared" si="74"/>
        <v>1</v>
      </c>
      <c r="P320" s="635"/>
      <c r="Q320" s="21">
        <f t="shared" si="75"/>
        <v>1</v>
      </c>
      <c r="R320" s="21">
        <f t="shared" si="76"/>
        <v>0</v>
      </c>
      <c r="S320" s="308">
        <f t="shared" si="77"/>
        <v>0</v>
      </c>
    </row>
    <row r="321" spans="1:19">
      <c r="A321" s="142"/>
      <c r="B321" s="52"/>
      <c r="C321" s="21">
        <f t="shared" si="68"/>
        <v>1</v>
      </c>
      <c r="D321" s="635"/>
      <c r="E321" s="21">
        <f t="shared" si="69"/>
        <v>0.02</v>
      </c>
      <c r="F321" s="635"/>
      <c r="G321" s="21">
        <f t="shared" si="70"/>
        <v>1</v>
      </c>
      <c r="H321" s="635"/>
      <c r="I321" s="21">
        <f t="shared" si="71"/>
        <v>1</v>
      </c>
      <c r="J321" s="635"/>
      <c r="K321" s="21">
        <f t="shared" si="72"/>
        <v>1</v>
      </c>
      <c r="L321" s="635"/>
      <c r="M321" s="21">
        <f t="shared" si="73"/>
        <v>1</v>
      </c>
      <c r="N321" s="635"/>
      <c r="O321" s="21">
        <f t="shared" si="74"/>
        <v>1</v>
      </c>
      <c r="P321" s="635"/>
      <c r="Q321" s="21">
        <f t="shared" si="75"/>
        <v>1</v>
      </c>
      <c r="R321" s="21">
        <f t="shared" si="76"/>
        <v>0</v>
      </c>
      <c r="S321" s="308">
        <f t="shared" ref="S321:S384" si="78">ROUND(R321*B321/10000,0)</f>
        <v>0</v>
      </c>
    </row>
    <row r="322" spans="1:19">
      <c r="A322" s="142"/>
      <c r="B322" s="52"/>
      <c r="C322" s="21">
        <f t="shared" si="68"/>
        <v>1</v>
      </c>
      <c r="D322" s="635"/>
      <c r="E322" s="21">
        <f t="shared" si="69"/>
        <v>0.02</v>
      </c>
      <c r="F322" s="635"/>
      <c r="G322" s="21">
        <f t="shared" si="70"/>
        <v>1</v>
      </c>
      <c r="H322" s="635"/>
      <c r="I322" s="21">
        <f t="shared" si="71"/>
        <v>1</v>
      </c>
      <c r="J322" s="635"/>
      <c r="K322" s="21">
        <f t="shared" si="72"/>
        <v>1</v>
      </c>
      <c r="L322" s="635"/>
      <c r="M322" s="21">
        <f t="shared" si="73"/>
        <v>1</v>
      </c>
      <c r="N322" s="635"/>
      <c r="O322" s="21">
        <f t="shared" si="74"/>
        <v>1</v>
      </c>
      <c r="P322" s="635"/>
      <c r="Q322" s="21">
        <f t="shared" si="75"/>
        <v>1</v>
      </c>
      <c r="R322" s="21">
        <f t="shared" si="76"/>
        <v>0</v>
      </c>
      <c r="S322" s="308">
        <f t="shared" si="78"/>
        <v>0</v>
      </c>
    </row>
    <row r="323" spans="1:19">
      <c r="A323" s="142"/>
      <c r="B323" s="52"/>
      <c r="C323" s="21">
        <f t="shared" si="68"/>
        <v>1</v>
      </c>
      <c r="D323" s="635"/>
      <c r="E323" s="21">
        <f t="shared" si="69"/>
        <v>0.02</v>
      </c>
      <c r="F323" s="635"/>
      <c r="G323" s="21">
        <f t="shared" si="70"/>
        <v>1</v>
      </c>
      <c r="H323" s="635"/>
      <c r="I323" s="21">
        <f t="shared" si="71"/>
        <v>1</v>
      </c>
      <c r="J323" s="635"/>
      <c r="K323" s="21">
        <f t="shared" si="72"/>
        <v>1</v>
      </c>
      <c r="L323" s="635"/>
      <c r="M323" s="21">
        <f t="shared" si="73"/>
        <v>1</v>
      </c>
      <c r="N323" s="635"/>
      <c r="O323" s="21">
        <f t="shared" si="74"/>
        <v>1</v>
      </c>
      <c r="P323" s="635"/>
      <c r="Q323" s="21">
        <f t="shared" si="75"/>
        <v>1</v>
      </c>
      <c r="R323" s="21">
        <f t="shared" si="76"/>
        <v>0</v>
      </c>
      <c r="S323" s="308">
        <f t="shared" si="78"/>
        <v>0</v>
      </c>
    </row>
    <row r="324" spans="1:19">
      <c r="A324" s="142"/>
      <c r="B324" s="52"/>
      <c r="C324" s="21">
        <f t="shared" si="68"/>
        <v>1</v>
      </c>
      <c r="D324" s="635"/>
      <c r="E324" s="21">
        <f t="shared" si="69"/>
        <v>0.02</v>
      </c>
      <c r="F324" s="635"/>
      <c r="G324" s="21">
        <f t="shared" si="70"/>
        <v>1</v>
      </c>
      <c r="H324" s="635"/>
      <c r="I324" s="21">
        <f t="shared" si="71"/>
        <v>1</v>
      </c>
      <c r="J324" s="635"/>
      <c r="K324" s="21">
        <f t="shared" si="72"/>
        <v>1</v>
      </c>
      <c r="L324" s="635"/>
      <c r="M324" s="21">
        <f t="shared" si="73"/>
        <v>1</v>
      </c>
      <c r="N324" s="635"/>
      <c r="O324" s="21">
        <f t="shared" si="74"/>
        <v>1</v>
      </c>
      <c r="P324" s="635"/>
      <c r="Q324" s="21">
        <f t="shared" si="75"/>
        <v>1</v>
      </c>
      <c r="R324" s="21">
        <f t="shared" si="76"/>
        <v>0</v>
      </c>
      <c r="S324" s="308">
        <f t="shared" si="78"/>
        <v>0</v>
      </c>
    </row>
    <row r="325" spans="1:19">
      <c r="A325" s="142"/>
      <c r="B325" s="52"/>
      <c r="C325" s="21">
        <f t="shared" si="68"/>
        <v>1</v>
      </c>
      <c r="D325" s="635"/>
      <c r="E325" s="21">
        <f t="shared" si="69"/>
        <v>0.02</v>
      </c>
      <c r="F325" s="635"/>
      <c r="G325" s="21">
        <f t="shared" si="70"/>
        <v>1</v>
      </c>
      <c r="H325" s="635"/>
      <c r="I325" s="21">
        <f t="shared" si="71"/>
        <v>1</v>
      </c>
      <c r="J325" s="635"/>
      <c r="K325" s="21">
        <f t="shared" si="72"/>
        <v>1</v>
      </c>
      <c r="L325" s="635"/>
      <c r="M325" s="21">
        <f t="shared" si="73"/>
        <v>1</v>
      </c>
      <c r="N325" s="635"/>
      <c r="O325" s="21">
        <f t="shared" si="74"/>
        <v>1</v>
      </c>
      <c r="P325" s="635"/>
      <c r="Q325" s="21">
        <f t="shared" si="75"/>
        <v>1</v>
      </c>
      <c r="R325" s="21">
        <f t="shared" si="76"/>
        <v>0</v>
      </c>
      <c r="S325" s="308">
        <f t="shared" si="78"/>
        <v>0</v>
      </c>
    </row>
    <row r="326" spans="1:19">
      <c r="A326" s="142"/>
      <c r="B326" s="52"/>
      <c r="C326" s="21">
        <f t="shared" si="68"/>
        <v>1</v>
      </c>
      <c r="D326" s="635"/>
      <c r="E326" s="21">
        <f t="shared" si="69"/>
        <v>0.02</v>
      </c>
      <c r="F326" s="635"/>
      <c r="G326" s="21">
        <f t="shared" si="70"/>
        <v>1</v>
      </c>
      <c r="H326" s="635"/>
      <c r="I326" s="21">
        <f t="shared" si="71"/>
        <v>1</v>
      </c>
      <c r="J326" s="635"/>
      <c r="K326" s="21">
        <f t="shared" si="72"/>
        <v>1</v>
      </c>
      <c r="L326" s="635"/>
      <c r="M326" s="21">
        <f t="shared" si="73"/>
        <v>1</v>
      </c>
      <c r="N326" s="635"/>
      <c r="O326" s="21">
        <f t="shared" si="74"/>
        <v>1</v>
      </c>
      <c r="P326" s="635"/>
      <c r="Q326" s="21">
        <f t="shared" si="75"/>
        <v>1</v>
      </c>
      <c r="R326" s="21">
        <f t="shared" si="76"/>
        <v>0</v>
      </c>
      <c r="S326" s="308">
        <f t="shared" si="78"/>
        <v>0</v>
      </c>
    </row>
    <row r="327" spans="1:19">
      <c r="A327" s="142"/>
      <c r="B327" s="52"/>
      <c r="C327" s="21">
        <f t="shared" si="68"/>
        <v>1</v>
      </c>
      <c r="D327" s="635"/>
      <c r="E327" s="21">
        <f t="shared" si="69"/>
        <v>0.02</v>
      </c>
      <c r="F327" s="635"/>
      <c r="G327" s="21">
        <f t="shared" si="70"/>
        <v>1</v>
      </c>
      <c r="H327" s="635"/>
      <c r="I327" s="21">
        <f t="shared" si="71"/>
        <v>1</v>
      </c>
      <c r="J327" s="635"/>
      <c r="K327" s="21">
        <f t="shared" si="72"/>
        <v>1</v>
      </c>
      <c r="L327" s="635"/>
      <c r="M327" s="21">
        <f t="shared" si="73"/>
        <v>1</v>
      </c>
      <c r="N327" s="635"/>
      <c r="O327" s="21">
        <f t="shared" si="74"/>
        <v>1</v>
      </c>
      <c r="P327" s="635"/>
      <c r="Q327" s="21">
        <f t="shared" si="75"/>
        <v>1</v>
      </c>
      <c r="R327" s="21">
        <f t="shared" si="76"/>
        <v>0</v>
      </c>
      <c r="S327" s="308">
        <f t="shared" si="78"/>
        <v>0</v>
      </c>
    </row>
    <row r="328" spans="1:19">
      <c r="A328" s="142"/>
      <c r="B328" s="52"/>
      <c r="C328" s="21">
        <f t="shared" si="68"/>
        <v>1</v>
      </c>
      <c r="D328" s="635"/>
      <c r="E328" s="21">
        <f t="shared" si="69"/>
        <v>0.02</v>
      </c>
      <c r="F328" s="635"/>
      <c r="G328" s="21">
        <f t="shared" si="70"/>
        <v>1</v>
      </c>
      <c r="H328" s="635"/>
      <c r="I328" s="21">
        <f t="shared" si="71"/>
        <v>1</v>
      </c>
      <c r="J328" s="635"/>
      <c r="K328" s="21">
        <f t="shared" si="72"/>
        <v>1</v>
      </c>
      <c r="L328" s="635"/>
      <c r="M328" s="21">
        <f t="shared" si="73"/>
        <v>1</v>
      </c>
      <c r="N328" s="635"/>
      <c r="O328" s="21">
        <f t="shared" si="74"/>
        <v>1</v>
      </c>
      <c r="P328" s="635"/>
      <c r="Q328" s="21">
        <f t="shared" si="75"/>
        <v>1</v>
      </c>
      <c r="R328" s="21">
        <f t="shared" si="76"/>
        <v>0</v>
      </c>
      <c r="S328" s="308">
        <f t="shared" si="78"/>
        <v>0</v>
      </c>
    </row>
    <row r="329" spans="1:19">
      <c r="A329" s="142"/>
      <c r="B329" s="52"/>
      <c r="C329" s="21">
        <f t="shared" si="68"/>
        <v>1</v>
      </c>
      <c r="D329" s="635"/>
      <c r="E329" s="21">
        <f t="shared" si="69"/>
        <v>0.02</v>
      </c>
      <c r="F329" s="635"/>
      <c r="G329" s="21">
        <f t="shared" si="70"/>
        <v>1</v>
      </c>
      <c r="H329" s="635"/>
      <c r="I329" s="21">
        <f t="shared" si="71"/>
        <v>1</v>
      </c>
      <c r="J329" s="635"/>
      <c r="K329" s="21">
        <f t="shared" si="72"/>
        <v>1</v>
      </c>
      <c r="L329" s="635"/>
      <c r="M329" s="21">
        <f t="shared" si="73"/>
        <v>1</v>
      </c>
      <c r="N329" s="635"/>
      <c r="O329" s="21">
        <f t="shared" si="74"/>
        <v>1</v>
      </c>
      <c r="P329" s="635"/>
      <c r="Q329" s="21">
        <f t="shared" si="75"/>
        <v>1</v>
      </c>
      <c r="R329" s="21">
        <f t="shared" si="76"/>
        <v>0</v>
      </c>
      <c r="S329" s="308">
        <f t="shared" si="78"/>
        <v>0</v>
      </c>
    </row>
    <row r="330" spans="1:19">
      <c r="A330" s="142"/>
      <c r="B330" s="52"/>
      <c r="C330" s="21">
        <f t="shared" si="68"/>
        <v>1</v>
      </c>
      <c r="D330" s="635"/>
      <c r="E330" s="21">
        <f t="shared" si="69"/>
        <v>0.02</v>
      </c>
      <c r="F330" s="635"/>
      <c r="G330" s="21">
        <f t="shared" si="70"/>
        <v>1</v>
      </c>
      <c r="H330" s="635"/>
      <c r="I330" s="21">
        <f t="shared" si="71"/>
        <v>1</v>
      </c>
      <c r="J330" s="635"/>
      <c r="K330" s="21">
        <f t="shared" si="72"/>
        <v>1</v>
      </c>
      <c r="L330" s="635"/>
      <c r="M330" s="21">
        <f t="shared" si="73"/>
        <v>1</v>
      </c>
      <c r="N330" s="635"/>
      <c r="O330" s="21">
        <f t="shared" si="74"/>
        <v>1</v>
      </c>
      <c r="P330" s="635"/>
      <c r="Q330" s="21">
        <f t="shared" si="75"/>
        <v>1</v>
      </c>
      <c r="R330" s="21">
        <f t="shared" si="76"/>
        <v>0</v>
      </c>
      <c r="S330" s="308">
        <f t="shared" si="78"/>
        <v>0</v>
      </c>
    </row>
    <row r="331" spans="1:19">
      <c r="A331" s="142"/>
      <c r="B331" s="52"/>
      <c r="C331" s="21">
        <f t="shared" si="68"/>
        <v>1</v>
      </c>
      <c r="D331" s="635"/>
      <c r="E331" s="21">
        <f t="shared" si="69"/>
        <v>0.02</v>
      </c>
      <c r="F331" s="635"/>
      <c r="G331" s="21">
        <f t="shared" si="70"/>
        <v>1</v>
      </c>
      <c r="H331" s="635"/>
      <c r="I331" s="21">
        <f t="shared" si="71"/>
        <v>1</v>
      </c>
      <c r="J331" s="635"/>
      <c r="K331" s="21">
        <f t="shared" si="72"/>
        <v>1</v>
      </c>
      <c r="L331" s="635"/>
      <c r="M331" s="21">
        <f t="shared" si="73"/>
        <v>1</v>
      </c>
      <c r="N331" s="635"/>
      <c r="O331" s="21">
        <f t="shared" si="74"/>
        <v>1</v>
      </c>
      <c r="P331" s="635"/>
      <c r="Q331" s="21">
        <f t="shared" si="75"/>
        <v>1</v>
      </c>
      <c r="R331" s="21">
        <f t="shared" si="76"/>
        <v>0</v>
      </c>
      <c r="S331" s="308">
        <f t="shared" si="78"/>
        <v>0</v>
      </c>
    </row>
    <row r="332" spans="1:19">
      <c r="A332" s="142"/>
      <c r="B332" s="52"/>
      <c r="C332" s="21">
        <f t="shared" si="68"/>
        <v>1</v>
      </c>
      <c r="D332" s="635"/>
      <c r="E332" s="21">
        <f t="shared" si="69"/>
        <v>0.02</v>
      </c>
      <c r="F332" s="635"/>
      <c r="G332" s="21">
        <f t="shared" si="70"/>
        <v>1</v>
      </c>
      <c r="H332" s="635"/>
      <c r="I332" s="21">
        <f t="shared" si="71"/>
        <v>1</v>
      </c>
      <c r="J332" s="635"/>
      <c r="K332" s="21">
        <f t="shared" si="72"/>
        <v>1</v>
      </c>
      <c r="L332" s="635"/>
      <c r="M332" s="21">
        <f t="shared" si="73"/>
        <v>1</v>
      </c>
      <c r="N332" s="635"/>
      <c r="O332" s="21">
        <f t="shared" si="74"/>
        <v>1</v>
      </c>
      <c r="P332" s="635"/>
      <c r="Q332" s="21">
        <f t="shared" si="75"/>
        <v>1</v>
      </c>
      <c r="R332" s="21">
        <f t="shared" si="76"/>
        <v>0</v>
      </c>
      <c r="S332" s="308">
        <f t="shared" si="78"/>
        <v>0</v>
      </c>
    </row>
    <row r="333" spans="1:19">
      <c r="A333" s="142"/>
      <c r="B333" s="52"/>
      <c r="C333" s="21">
        <f t="shared" si="68"/>
        <v>1</v>
      </c>
      <c r="D333" s="635"/>
      <c r="E333" s="21">
        <f t="shared" si="69"/>
        <v>0.02</v>
      </c>
      <c r="F333" s="635"/>
      <c r="G333" s="21">
        <f t="shared" si="70"/>
        <v>1</v>
      </c>
      <c r="H333" s="635"/>
      <c r="I333" s="21">
        <f t="shared" si="71"/>
        <v>1</v>
      </c>
      <c r="J333" s="635"/>
      <c r="K333" s="21">
        <f t="shared" si="72"/>
        <v>1</v>
      </c>
      <c r="L333" s="635"/>
      <c r="M333" s="21">
        <f t="shared" si="73"/>
        <v>1</v>
      </c>
      <c r="N333" s="635"/>
      <c r="O333" s="21">
        <f t="shared" si="74"/>
        <v>1</v>
      </c>
      <c r="P333" s="635"/>
      <c r="Q333" s="21">
        <f t="shared" si="75"/>
        <v>1</v>
      </c>
      <c r="R333" s="21">
        <f t="shared" si="76"/>
        <v>0</v>
      </c>
      <c r="S333" s="308">
        <f t="shared" si="78"/>
        <v>0</v>
      </c>
    </row>
    <row r="334" spans="1:19">
      <c r="A334" s="142"/>
      <c r="B334" s="52"/>
      <c r="C334" s="21">
        <f t="shared" si="68"/>
        <v>1</v>
      </c>
      <c r="D334" s="635"/>
      <c r="E334" s="21">
        <f t="shared" si="69"/>
        <v>0.02</v>
      </c>
      <c r="F334" s="635"/>
      <c r="G334" s="21">
        <f t="shared" si="70"/>
        <v>1</v>
      </c>
      <c r="H334" s="635"/>
      <c r="I334" s="21">
        <f t="shared" si="71"/>
        <v>1</v>
      </c>
      <c r="J334" s="635"/>
      <c r="K334" s="21">
        <f t="shared" si="72"/>
        <v>1</v>
      </c>
      <c r="L334" s="635"/>
      <c r="M334" s="21">
        <f t="shared" si="73"/>
        <v>1</v>
      </c>
      <c r="N334" s="635"/>
      <c r="O334" s="21">
        <f t="shared" si="74"/>
        <v>1</v>
      </c>
      <c r="P334" s="635"/>
      <c r="Q334" s="21">
        <f t="shared" si="75"/>
        <v>1</v>
      </c>
      <c r="R334" s="21">
        <f t="shared" si="76"/>
        <v>0</v>
      </c>
      <c r="S334" s="308">
        <f t="shared" si="78"/>
        <v>0</v>
      </c>
    </row>
    <row r="335" spans="1:19">
      <c r="A335" s="142"/>
      <c r="B335" s="52"/>
      <c r="C335" s="21">
        <f t="shared" si="68"/>
        <v>1</v>
      </c>
      <c r="D335" s="635"/>
      <c r="E335" s="21">
        <f t="shared" si="69"/>
        <v>0.02</v>
      </c>
      <c r="F335" s="635"/>
      <c r="G335" s="21">
        <f t="shared" si="70"/>
        <v>1</v>
      </c>
      <c r="H335" s="635"/>
      <c r="I335" s="21">
        <f t="shared" si="71"/>
        <v>1</v>
      </c>
      <c r="J335" s="635"/>
      <c r="K335" s="21">
        <f t="shared" si="72"/>
        <v>1</v>
      </c>
      <c r="L335" s="635"/>
      <c r="M335" s="21">
        <f t="shared" si="73"/>
        <v>1</v>
      </c>
      <c r="N335" s="635"/>
      <c r="O335" s="21">
        <f t="shared" si="74"/>
        <v>1</v>
      </c>
      <c r="P335" s="635"/>
      <c r="Q335" s="21">
        <f t="shared" si="75"/>
        <v>1</v>
      </c>
      <c r="R335" s="21">
        <f t="shared" si="76"/>
        <v>0</v>
      </c>
      <c r="S335" s="308">
        <f t="shared" si="78"/>
        <v>0</v>
      </c>
    </row>
    <row r="336" spans="1:19">
      <c r="A336" s="142"/>
      <c r="B336" s="52"/>
      <c r="C336" s="21">
        <f t="shared" si="68"/>
        <v>1</v>
      </c>
      <c r="D336" s="635"/>
      <c r="E336" s="21">
        <f t="shared" si="69"/>
        <v>0.02</v>
      </c>
      <c r="F336" s="635"/>
      <c r="G336" s="21">
        <f t="shared" si="70"/>
        <v>1</v>
      </c>
      <c r="H336" s="635"/>
      <c r="I336" s="21">
        <f t="shared" si="71"/>
        <v>1</v>
      </c>
      <c r="J336" s="635"/>
      <c r="K336" s="21">
        <f t="shared" si="72"/>
        <v>1</v>
      </c>
      <c r="L336" s="635"/>
      <c r="M336" s="21">
        <f t="shared" si="73"/>
        <v>1</v>
      </c>
      <c r="N336" s="635"/>
      <c r="O336" s="21">
        <f t="shared" si="74"/>
        <v>1</v>
      </c>
      <c r="P336" s="635"/>
      <c r="Q336" s="21">
        <f t="shared" si="75"/>
        <v>1</v>
      </c>
      <c r="R336" s="21">
        <f t="shared" si="76"/>
        <v>0</v>
      </c>
      <c r="S336" s="308">
        <f t="shared" si="78"/>
        <v>0</v>
      </c>
    </row>
    <row r="337" spans="1:19">
      <c r="A337" s="142"/>
      <c r="B337" s="52"/>
      <c r="C337" s="21">
        <f t="shared" si="68"/>
        <v>1</v>
      </c>
      <c r="D337" s="635"/>
      <c r="E337" s="21">
        <f t="shared" si="69"/>
        <v>0.02</v>
      </c>
      <c r="F337" s="635"/>
      <c r="G337" s="21">
        <f t="shared" si="70"/>
        <v>1</v>
      </c>
      <c r="H337" s="635"/>
      <c r="I337" s="21">
        <f t="shared" si="71"/>
        <v>1</v>
      </c>
      <c r="J337" s="635"/>
      <c r="K337" s="21">
        <f t="shared" si="72"/>
        <v>1</v>
      </c>
      <c r="L337" s="635"/>
      <c r="M337" s="21">
        <f t="shared" si="73"/>
        <v>1</v>
      </c>
      <c r="N337" s="635"/>
      <c r="O337" s="21">
        <f t="shared" si="74"/>
        <v>1</v>
      </c>
      <c r="P337" s="635"/>
      <c r="Q337" s="21">
        <f t="shared" si="75"/>
        <v>1</v>
      </c>
      <c r="R337" s="21">
        <f t="shared" si="76"/>
        <v>0</v>
      </c>
      <c r="S337" s="308">
        <f t="shared" si="78"/>
        <v>0</v>
      </c>
    </row>
    <row r="338" spans="1:19">
      <c r="A338" s="142"/>
      <c r="B338" s="52"/>
      <c r="C338" s="21">
        <f t="shared" si="68"/>
        <v>1</v>
      </c>
      <c r="D338" s="635"/>
      <c r="E338" s="21">
        <f t="shared" si="69"/>
        <v>0.02</v>
      </c>
      <c r="F338" s="635"/>
      <c r="G338" s="21">
        <f t="shared" si="70"/>
        <v>1</v>
      </c>
      <c r="H338" s="635"/>
      <c r="I338" s="21">
        <f t="shared" si="71"/>
        <v>1</v>
      </c>
      <c r="J338" s="635"/>
      <c r="K338" s="21">
        <f t="shared" si="72"/>
        <v>1</v>
      </c>
      <c r="L338" s="635"/>
      <c r="M338" s="21">
        <f t="shared" si="73"/>
        <v>1</v>
      </c>
      <c r="N338" s="635"/>
      <c r="O338" s="21">
        <f t="shared" si="74"/>
        <v>1</v>
      </c>
      <c r="P338" s="635"/>
      <c r="Q338" s="21">
        <f t="shared" si="75"/>
        <v>1</v>
      </c>
      <c r="R338" s="21">
        <f t="shared" si="76"/>
        <v>0</v>
      </c>
      <c r="S338" s="308">
        <f t="shared" si="78"/>
        <v>0</v>
      </c>
    </row>
    <row r="339" spans="1:19">
      <c r="A339" s="142"/>
      <c r="B339" s="52"/>
      <c r="C339" s="21">
        <f t="shared" si="68"/>
        <v>1</v>
      </c>
      <c r="D339" s="635"/>
      <c r="E339" s="21">
        <f t="shared" si="69"/>
        <v>0.02</v>
      </c>
      <c r="F339" s="635"/>
      <c r="G339" s="21">
        <f t="shared" si="70"/>
        <v>1</v>
      </c>
      <c r="H339" s="635"/>
      <c r="I339" s="21">
        <f t="shared" si="71"/>
        <v>1</v>
      </c>
      <c r="J339" s="635"/>
      <c r="K339" s="21">
        <f t="shared" si="72"/>
        <v>1</v>
      </c>
      <c r="L339" s="635"/>
      <c r="M339" s="21">
        <f t="shared" si="73"/>
        <v>1</v>
      </c>
      <c r="N339" s="635"/>
      <c r="O339" s="21">
        <f t="shared" si="74"/>
        <v>1</v>
      </c>
      <c r="P339" s="635"/>
      <c r="Q339" s="21">
        <f t="shared" si="75"/>
        <v>1</v>
      </c>
      <c r="R339" s="21">
        <f t="shared" si="76"/>
        <v>0</v>
      </c>
      <c r="S339" s="308">
        <f t="shared" si="78"/>
        <v>0</v>
      </c>
    </row>
    <row r="340" spans="1:19">
      <c r="A340" s="142"/>
      <c r="B340" s="52"/>
      <c r="C340" s="21">
        <f t="shared" si="68"/>
        <v>1</v>
      </c>
      <c r="D340" s="635"/>
      <c r="E340" s="21">
        <f t="shared" si="69"/>
        <v>0.02</v>
      </c>
      <c r="F340" s="635"/>
      <c r="G340" s="21">
        <f t="shared" si="70"/>
        <v>1</v>
      </c>
      <c r="H340" s="635"/>
      <c r="I340" s="21">
        <f t="shared" si="71"/>
        <v>1</v>
      </c>
      <c r="J340" s="635"/>
      <c r="K340" s="21">
        <f t="shared" si="72"/>
        <v>1</v>
      </c>
      <c r="L340" s="635"/>
      <c r="M340" s="21">
        <f t="shared" si="73"/>
        <v>1</v>
      </c>
      <c r="N340" s="635"/>
      <c r="O340" s="21">
        <f t="shared" si="74"/>
        <v>1</v>
      </c>
      <c r="P340" s="635"/>
      <c r="Q340" s="21">
        <f t="shared" si="75"/>
        <v>1</v>
      </c>
      <c r="R340" s="21">
        <f t="shared" si="76"/>
        <v>0</v>
      </c>
      <c r="S340" s="308">
        <f t="shared" si="78"/>
        <v>0</v>
      </c>
    </row>
    <row r="341" spans="1:19">
      <c r="A341" s="142"/>
      <c r="B341" s="52"/>
      <c r="C341" s="21">
        <f t="shared" si="68"/>
        <v>1</v>
      </c>
      <c r="D341" s="635"/>
      <c r="E341" s="21">
        <f t="shared" si="69"/>
        <v>0.02</v>
      </c>
      <c r="F341" s="635"/>
      <c r="G341" s="21">
        <f t="shared" si="70"/>
        <v>1</v>
      </c>
      <c r="H341" s="635"/>
      <c r="I341" s="21">
        <f t="shared" si="71"/>
        <v>1</v>
      </c>
      <c r="J341" s="635"/>
      <c r="K341" s="21">
        <f t="shared" si="72"/>
        <v>1</v>
      </c>
      <c r="L341" s="635"/>
      <c r="M341" s="21">
        <f t="shared" si="73"/>
        <v>1</v>
      </c>
      <c r="N341" s="635"/>
      <c r="O341" s="21">
        <f t="shared" si="74"/>
        <v>1</v>
      </c>
      <c r="P341" s="635"/>
      <c r="Q341" s="21">
        <f t="shared" si="75"/>
        <v>1</v>
      </c>
      <c r="R341" s="21">
        <f t="shared" si="76"/>
        <v>0</v>
      </c>
      <c r="S341" s="308">
        <f t="shared" si="78"/>
        <v>0</v>
      </c>
    </row>
    <row r="342" spans="1:19">
      <c r="A342" s="142"/>
      <c r="B342" s="52"/>
      <c r="C342" s="21">
        <f t="shared" si="68"/>
        <v>1</v>
      </c>
      <c r="D342" s="635"/>
      <c r="E342" s="21">
        <f t="shared" si="69"/>
        <v>0.02</v>
      </c>
      <c r="F342" s="635"/>
      <c r="G342" s="21">
        <f t="shared" si="70"/>
        <v>1</v>
      </c>
      <c r="H342" s="635"/>
      <c r="I342" s="21">
        <f t="shared" si="71"/>
        <v>1</v>
      </c>
      <c r="J342" s="635"/>
      <c r="K342" s="21">
        <f t="shared" si="72"/>
        <v>1</v>
      </c>
      <c r="L342" s="635"/>
      <c r="M342" s="21">
        <f t="shared" si="73"/>
        <v>1</v>
      </c>
      <c r="N342" s="635"/>
      <c r="O342" s="21">
        <f t="shared" si="74"/>
        <v>1</v>
      </c>
      <c r="P342" s="635"/>
      <c r="Q342" s="21">
        <f t="shared" si="75"/>
        <v>1</v>
      </c>
      <c r="R342" s="21">
        <f t="shared" si="76"/>
        <v>0</v>
      </c>
      <c r="S342" s="308">
        <f t="shared" si="78"/>
        <v>0</v>
      </c>
    </row>
    <row r="343" spans="1:19">
      <c r="A343" s="142"/>
      <c r="B343" s="52"/>
      <c r="C343" s="21">
        <f t="shared" si="68"/>
        <v>1</v>
      </c>
      <c r="D343" s="635"/>
      <c r="E343" s="21">
        <f t="shared" si="69"/>
        <v>0.02</v>
      </c>
      <c r="F343" s="635"/>
      <c r="G343" s="21">
        <f t="shared" si="70"/>
        <v>1</v>
      </c>
      <c r="H343" s="635"/>
      <c r="I343" s="21">
        <f t="shared" si="71"/>
        <v>1</v>
      </c>
      <c r="J343" s="635"/>
      <c r="K343" s="21">
        <f t="shared" si="72"/>
        <v>1</v>
      </c>
      <c r="L343" s="635"/>
      <c r="M343" s="21">
        <f t="shared" si="73"/>
        <v>1</v>
      </c>
      <c r="N343" s="635"/>
      <c r="O343" s="21">
        <f t="shared" si="74"/>
        <v>1</v>
      </c>
      <c r="P343" s="635"/>
      <c r="Q343" s="21">
        <f t="shared" si="75"/>
        <v>1</v>
      </c>
      <c r="R343" s="21">
        <f t="shared" si="76"/>
        <v>0</v>
      </c>
      <c r="S343" s="308">
        <f t="shared" si="78"/>
        <v>0</v>
      </c>
    </row>
    <row r="344" spans="1:19">
      <c r="A344" s="142"/>
      <c r="B344" s="52"/>
      <c r="C344" s="21">
        <f t="shared" si="68"/>
        <v>1</v>
      </c>
      <c r="D344" s="635"/>
      <c r="E344" s="21">
        <f t="shared" si="69"/>
        <v>0.02</v>
      </c>
      <c r="F344" s="635"/>
      <c r="G344" s="21">
        <f t="shared" si="70"/>
        <v>1</v>
      </c>
      <c r="H344" s="635"/>
      <c r="I344" s="21">
        <f t="shared" si="71"/>
        <v>1</v>
      </c>
      <c r="J344" s="635"/>
      <c r="K344" s="21">
        <f t="shared" si="72"/>
        <v>1</v>
      </c>
      <c r="L344" s="635"/>
      <c r="M344" s="21">
        <f t="shared" si="73"/>
        <v>1</v>
      </c>
      <c r="N344" s="635"/>
      <c r="O344" s="21">
        <f t="shared" si="74"/>
        <v>1</v>
      </c>
      <c r="P344" s="635"/>
      <c r="Q344" s="21">
        <f t="shared" si="75"/>
        <v>1</v>
      </c>
      <c r="R344" s="21">
        <f t="shared" si="76"/>
        <v>0</v>
      </c>
      <c r="S344" s="308">
        <f t="shared" si="78"/>
        <v>0</v>
      </c>
    </row>
    <row r="345" spans="1:19">
      <c r="A345" s="142"/>
      <c r="B345" s="52"/>
      <c r="C345" s="21">
        <f t="shared" si="68"/>
        <v>1</v>
      </c>
      <c r="D345" s="635"/>
      <c r="E345" s="21">
        <f t="shared" si="69"/>
        <v>0.02</v>
      </c>
      <c r="F345" s="635"/>
      <c r="G345" s="21">
        <f t="shared" si="70"/>
        <v>1</v>
      </c>
      <c r="H345" s="635"/>
      <c r="I345" s="21">
        <f t="shared" si="71"/>
        <v>1</v>
      </c>
      <c r="J345" s="635"/>
      <c r="K345" s="21">
        <f t="shared" si="72"/>
        <v>1</v>
      </c>
      <c r="L345" s="635"/>
      <c r="M345" s="21">
        <f t="shared" si="73"/>
        <v>1</v>
      </c>
      <c r="N345" s="635"/>
      <c r="O345" s="21">
        <f t="shared" si="74"/>
        <v>1</v>
      </c>
      <c r="P345" s="635"/>
      <c r="Q345" s="21">
        <f t="shared" si="75"/>
        <v>1</v>
      </c>
      <c r="R345" s="21">
        <f t="shared" si="76"/>
        <v>0</v>
      </c>
      <c r="S345" s="308">
        <f t="shared" si="78"/>
        <v>0</v>
      </c>
    </row>
    <row r="346" spans="1:19">
      <c r="A346" s="142"/>
      <c r="B346" s="52"/>
      <c r="C346" s="21">
        <f t="shared" ref="C346:C409" si="79">IF(B346="",1,(LOOKUP(B346,$3:$3,$4:$4)-LOOKUP($B$24,$3:$3,$4:$4)+100)/100)</f>
        <v>1</v>
      </c>
      <c r="D346" s="635"/>
      <c r="E346" s="21">
        <f t="shared" ref="E346:E409" si="80">(SUMIF($5:$5,D346,$6:$6)-SUMIF($5:$5,$D$24,$6:$6)+100)/100</f>
        <v>0.02</v>
      </c>
      <c r="F346" s="635"/>
      <c r="G346" s="21">
        <f t="shared" ref="G346:G409" si="81">(SUMIF($7:$7,F346,$8:$8)-SUMIF($7:$7,$F$24,$8:$8)+100)/100</f>
        <v>1</v>
      </c>
      <c r="H346" s="635"/>
      <c r="I346" s="21">
        <f t="shared" ref="I346:I409" si="82">(SUMIF($9:$9,H346,$10:$10)-SUMIF($9:$9,$H$24,$10:$10)+100)/100</f>
        <v>1</v>
      </c>
      <c r="J346" s="635"/>
      <c r="K346" s="21">
        <f t="shared" ref="K346:K409" si="83">(SUMIF($11:$11,J346,$12:$12)-SUMIF($11:$11,$J$24,$12:$12)+100)/100</f>
        <v>1</v>
      </c>
      <c r="L346" s="635"/>
      <c r="M346" s="21">
        <f t="shared" ref="M346:M409" si="84">(SUMIF($13:$13,L346,$14:$14)-SUMIF($13:$13,$L$24,$14:$14)+100)/100</f>
        <v>1</v>
      </c>
      <c r="N346" s="635"/>
      <c r="O346" s="21">
        <f t="shared" ref="O346:O409" si="85">(SUMIF($15:$15,N346,$16:$16)-SUMIF($15:$15,$N$24,$16:$16)+100)/100</f>
        <v>1</v>
      </c>
      <c r="P346" s="635"/>
      <c r="Q346" s="21">
        <f t="shared" ref="Q346:Q409" si="86">(SUMIF($17:$17,P346,$18:$18)-SUMIF($17:$17,$P$24,$18:$18)+100)/100</f>
        <v>1</v>
      </c>
      <c r="R346" s="21">
        <f t="shared" ref="R346:R409" si="87">IF(B346="",0,ROUND($R$24*C346*E346*G346*I346*K346*M346*O346*Q346,0))</f>
        <v>0</v>
      </c>
      <c r="S346" s="308">
        <f t="shared" si="78"/>
        <v>0</v>
      </c>
    </row>
    <row r="347" spans="1:19">
      <c r="A347" s="142"/>
      <c r="B347" s="52"/>
      <c r="C347" s="21">
        <f t="shared" si="79"/>
        <v>1</v>
      </c>
      <c r="D347" s="635"/>
      <c r="E347" s="21">
        <f t="shared" si="80"/>
        <v>0.02</v>
      </c>
      <c r="F347" s="635"/>
      <c r="G347" s="21">
        <f t="shared" si="81"/>
        <v>1</v>
      </c>
      <c r="H347" s="635"/>
      <c r="I347" s="21">
        <f t="shared" si="82"/>
        <v>1</v>
      </c>
      <c r="J347" s="635"/>
      <c r="K347" s="21">
        <f t="shared" si="83"/>
        <v>1</v>
      </c>
      <c r="L347" s="635"/>
      <c r="M347" s="21">
        <f t="shared" si="84"/>
        <v>1</v>
      </c>
      <c r="N347" s="635"/>
      <c r="O347" s="21">
        <f t="shared" si="85"/>
        <v>1</v>
      </c>
      <c r="P347" s="635"/>
      <c r="Q347" s="21">
        <f t="shared" si="86"/>
        <v>1</v>
      </c>
      <c r="R347" s="21">
        <f t="shared" si="87"/>
        <v>0</v>
      </c>
      <c r="S347" s="308">
        <f t="shared" si="78"/>
        <v>0</v>
      </c>
    </row>
    <row r="348" spans="1:19">
      <c r="A348" s="142"/>
      <c r="B348" s="52"/>
      <c r="C348" s="21">
        <f t="shared" si="79"/>
        <v>1</v>
      </c>
      <c r="D348" s="635"/>
      <c r="E348" s="21">
        <f t="shared" si="80"/>
        <v>0.02</v>
      </c>
      <c r="F348" s="635"/>
      <c r="G348" s="21">
        <f t="shared" si="81"/>
        <v>1</v>
      </c>
      <c r="H348" s="635"/>
      <c r="I348" s="21">
        <f t="shared" si="82"/>
        <v>1</v>
      </c>
      <c r="J348" s="635"/>
      <c r="K348" s="21">
        <f t="shared" si="83"/>
        <v>1</v>
      </c>
      <c r="L348" s="635"/>
      <c r="M348" s="21">
        <f t="shared" si="84"/>
        <v>1</v>
      </c>
      <c r="N348" s="635"/>
      <c r="O348" s="21">
        <f t="shared" si="85"/>
        <v>1</v>
      </c>
      <c r="P348" s="635"/>
      <c r="Q348" s="21">
        <f t="shared" si="86"/>
        <v>1</v>
      </c>
      <c r="R348" s="21">
        <f t="shared" si="87"/>
        <v>0</v>
      </c>
      <c r="S348" s="308">
        <f t="shared" si="78"/>
        <v>0</v>
      </c>
    </row>
    <row r="349" spans="1:19">
      <c r="A349" s="142"/>
      <c r="B349" s="52"/>
      <c r="C349" s="21">
        <f t="shared" si="79"/>
        <v>1</v>
      </c>
      <c r="D349" s="635"/>
      <c r="E349" s="21">
        <f t="shared" si="80"/>
        <v>0.02</v>
      </c>
      <c r="F349" s="635"/>
      <c r="G349" s="21">
        <f t="shared" si="81"/>
        <v>1</v>
      </c>
      <c r="H349" s="635"/>
      <c r="I349" s="21">
        <f t="shared" si="82"/>
        <v>1</v>
      </c>
      <c r="J349" s="635"/>
      <c r="K349" s="21">
        <f t="shared" si="83"/>
        <v>1</v>
      </c>
      <c r="L349" s="635"/>
      <c r="M349" s="21">
        <f t="shared" si="84"/>
        <v>1</v>
      </c>
      <c r="N349" s="635"/>
      <c r="O349" s="21">
        <f t="shared" si="85"/>
        <v>1</v>
      </c>
      <c r="P349" s="635"/>
      <c r="Q349" s="21">
        <f t="shared" si="86"/>
        <v>1</v>
      </c>
      <c r="R349" s="21">
        <f t="shared" si="87"/>
        <v>0</v>
      </c>
      <c r="S349" s="308">
        <f t="shared" si="78"/>
        <v>0</v>
      </c>
    </row>
    <row r="350" spans="1:19">
      <c r="A350" s="142"/>
      <c r="B350" s="52"/>
      <c r="C350" s="21">
        <f t="shared" si="79"/>
        <v>1</v>
      </c>
      <c r="D350" s="635"/>
      <c r="E350" s="21">
        <f t="shared" si="80"/>
        <v>0.02</v>
      </c>
      <c r="F350" s="635"/>
      <c r="G350" s="21">
        <f t="shared" si="81"/>
        <v>1</v>
      </c>
      <c r="H350" s="635"/>
      <c r="I350" s="21">
        <f t="shared" si="82"/>
        <v>1</v>
      </c>
      <c r="J350" s="635"/>
      <c r="K350" s="21">
        <f t="shared" si="83"/>
        <v>1</v>
      </c>
      <c r="L350" s="635"/>
      <c r="M350" s="21">
        <f t="shared" si="84"/>
        <v>1</v>
      </c>
      <c r="N350" s="635"/>
      <c r="O350" s="21">
        <f t="shared" si="85"/>
        <v>1</v>
      </c>
      <c r="P350" s="635"/>
      <c r="Q350" s="21">
        <f t="shared" si="86"/>
        <v>1</v>
      </c>
      <c r="R350" s="21">
        <f t="shared" si="87"/>
        <v>0</v>
      </c>
      <c r="S350" s="308">
        <f t="shared" si="78"/>
        <v>0</v>
      </c>
    </row>
    <row r="351" spans="1:19">
      <c r="A351" s="142"/>
      <c r="B351" s="52"/>
      <c r="C351" s="21">
        <f t="shared" si="79"/>
        <v>1</v>
      </c>
      <c r="D351" s="635"/>
      <c r="E351" s="21">
        <f t="shared" si="80"/>
        <v>0.02</v>
      </c>
      <c r="F351" s="635"/>
      <c r="G351" s="21">
        <f t="shared" si="81"/>
        <v>1</v>
      </c>
      <c r="H351" s="635"/>
      <c r="I351" s="21">
        <f t="shared" si="82"/>
        <v>1</v>
      </c>
      <c r="J351" s="635"/>
      <c r="K351" s="21">
        <f t="shared" si="83"/>
        <v>1</v>
      </c>
      <c r="L351" s="635"/>
      <c r="M351" s="21">
        <f t="shared" si="84"/>
        <v>1</v>
      </c>
      <c r="N351" s="635"/>
      <c r="O351" s="21">
        <f t="shared" si="85"/>
        <v>1</v>
      </c>
      <c r="P351" s="635"/>
      <c r="Q351" s="21">
        <f t="shared" si="86"/>
        <v>1</v>
      </c>
      <c r="R351" s="21">
        <f t="shared" si="87"/>
        <v>0</v>
      </c>
      <c r="S351" s="308">
        <f t="shared" si="78"/>
        <v>0</v>
      </c>
    </row>
    <row r="352" spans="1:19">
      <c r="A352" s="142"/>
      <c r="B352" s="52"/>
      <c r="C352" s="21">
        <f t="shared" si="79"/>
        <v>1</v>
      </c>
      <c r="D352" s="635"/>
      <c r="E352" s="21">
        <f t="shared" si="80"/>
        <v>0.02</v>
      </c>
      <c r="F352" s="635"/>
      <c r="G352" s="21">
        <f t="shared" si="81"/>
        <v>1</v>
      </c>
      <c r="H352" s="635"/>
      <c r="I352" s="21">
        <f t="shared" si="82"/>
        <v>1</v>
      </c>
      <c r="J352" s="635"/>
      <c r="K352" s="21">
        <f t="shared" si="83"/>
        <v>1</v>
      </c>
      <c r="L352" s="635"/>
      <c r="M352" s="21">
        <f t="shared" si="84"/>
        <v>1</v>
      </c>
      <c r="N352" s="635"/>
      <c r="O352" s="21">
        <f t="shared" si="85"/>
        <v>1</v>
      </c>
      <c r="P352" s="635"/>
      <c r="Q352" s="21">
        <f t="shared" si="86"/>
        <v>1</v>
      </c>
      <c r="R352" s="21">
        <f t="shared" si="87"/>
        <v>0</v>
      </c>
      <c r="S352" s="308">
        <f t="shared" si="78"/>
        <v>0</v>
      </c>
    </row>
    <row r="353" spans="1:19">
      <c r="A353" s="142"/>
      <c r="B353" s="52"/>
      <c r="C353" s="21">
        <f t="shared" si="79"/>
        <v>1</v>
      </c>
      <c r="D353" s="635"/>
      <c r="E353" s="21">
        <f t="shared" si="80"/>
        <v>0.02</v>
      </c>
      <c r="F353" s="635"/>
      <c r="G353" s="21">
        <f t="shared" si="81"/>
        <v>1</v>
      </c>
      <c r="H353" s="635"/>
      <c r="I353" s="21">
        <f t="shared" si="82"/>
        <v>1</v>
      </c>
      <c r="J353" s="635"/>
      <c r="K353" s="21">
        <f t="shared" si="83"/>
        <v>1</v>
      </c>
      <c r="L353" s="635"/>
      <c r="M353" s="21">
        <f t="shared" si="84"/>
        <v>1</v>
      </c>
      <c r="N353" s="635"/>
      <c r="O353" s="21">
        <f t="shared" si="85"/>
        <v>1</v>
      </c>
      <c r="P353" s="635"/>
      <c r="Q353" s="21">
        <f t="shared" si="86"/>
        <v>1</v>
      </c>
      <c r="R353" s="21">
        <f t="shared" si="87"/>
        <v>0</v>
      </c>
      <c r="S353" s="308">
        <f t="shared" si="78"/>
        <v>0</v>
      </c>
    </row>
    <row r="354" spans="1:19">
      <c r="A354" s="142"/>
      <c r="B354" s="52"/>
      <c r="C354" s="21">
        <f t="shared" si="79"/>
        <v>1</v>
      </c>
      <c r="D354" s="635"/>
      <c r="E354" s="21">
        <f t="shared" si="80"/>
        <v>0.02</v>
      </c>
      <c r="F354" s="635"/>
      <c r="G354" s="21">
        <f t="shared" si="81"/>
        <v>1</v>
      </c>
      <c r="H354" s="635"/>
      <c r="I354" s="21">
        <f t="shared" si="82"/>
        <v>1</v>
      </c>
      <c r="J354" s="635"/>
      <c r="K354" s="21">
        <f t="shared" si="83"/>
        <v>1</v>
      </c>
      <c r="L354" s="635"/>
      <c r="M354" s="21">
        <f t="shared" si="84"/>
        <v>1</v>
      </c>
      <c r="N354" s="635"/>
      <c r="O354" s="21">
        <f t="shared" si="85"/>
        <v>1</v>
      </c>
      <c r="P354" s="635"/>
      <c r="Q354" s="21">
        <f t="shared" si="86"/>
        <v>1</v>
      </c>
      <c r="R354" s="21">
        <f t="shared" si="87"/>
        <v>0</v>
      </c>
      <c r="S354" s="308">
        <f t="shared" si="78"/>
        <v>0</v>
      </c>
    </row>
    <row r="355" spans="1:19">
      <c r="A355" s="142"/>
      <c r="B355" s="52"/>
      <c r="C355" s="21">
        <f t="shared" si="79"/>
        <v>1</v>
      </c>
      <c r="D355" s="635"/>
      <c r="E355" s="21">
        <f t="shared" si="80"/>
        <v>0.02</v>
      </c>
      <c r="F355" s="635"/>
      <c r="G355" s="21">
        <f t="shared" si="81"/>
        <v>1</v>
      </c>
      <c r="H355" s="635"/>
      <c r="I355" s="21">
        <f t="shared" si="82"/>
        <v>1</v>
      </c>
      <c r="J355" s="635"/>
      <c r="K355" s="21">
        <f t="shared" si="83"/>
        <v>1</v>
      </c>
      <c r="L355" s="635"/>
      <c r="M355" s="21">
        <f t="shared" si="84"/>
        <v>1</v>
      </c>
      <c r="N355" s="635"/>
      <c r="O355" s="21">
        <f t="shared" si="85"/>
        <v>1</v>
      </c>
      <c r="P355" s="635"/>
      <c r="Q355" s="21">
        <f t="shared" si="86"/>
        <v>1</v>
      </c>
      <c r="R355" s="21">
        <f t="shared" si="87"/>
        <v>0</v>
      </c>
      <c r="S355" s="308">
        <f t="shared" si="78"/>
        <v>0</v>
      </c>
    </row>
    <row r="356" spans="1:19">
      <c r="A356" s="142"/>
      <c r="B356" s="52"/>
      <c r="C356" s="21">
        <f t="shared" si="79"/>
        <v>1</v>
      </c>
      <c r="D356" s="635"/>
      <c r="E356" s="21">
        <f t="shared" si="80"/>
        <v>0.02</v>
      </c>
      <c r="F356" s="635"/>
      <c r="G356" s="21">
        <f t="shared" si="81"/>
        <v>1</v>
      </c>
      <c r="H356" s="635"/>
      <c r="I356" s="21">
        <f t="shared" si="82"/>
        <v>1</v>
      </c>
      <c r="J356" s="635"/>
      <c r="K356" s="21">
        <f t="shared" si="83"/>
        <v>1</v>
      </c>
      <c r="L356" s="635"/>
      <c r="M356" s="21">
        <f t="shared" si="84"/>
        <v>1</v>
      </c>
      <c r="N356" s="635"/>
      <c r="O356" s="21">
        <f t="shared" si="85"/>
        <v>1</v>
      </c>
      <c r="P356" s="635"/>
      <c r="Q356" s="21">
        <f t="shared" si="86"/>
        <v>1</v>
      </c>
      <c r="R356" s="21">
        <f t="shared" si="87"/>
        <v>0</v>
      </c>
      <c r="S356" s="308">
        <f t="shared" si="78"/>
        <v>0</v>
      </c>
    </row>
    <row r="357" spans="1:19">
      <c r="A357" s="142"/>
      <c r="B357" s="52"/>
      <c r="C357" s="21">
        <f t="shared" si="79"/>
        <v>1</v>
      </c>
      <c r="D357" s="635"/>
      <c r="E357" s="21">
        <f t="shared" si="80"/>
        <v>0.02</v>
      </c>
      <c r="F357" s="635"/>
      <c r="G357" s="21">
        <f t="shared" si="81"/>
        <v>1</v>
      </c>
      <c r="H357" s="635"/>
      <c r="I357" s="21">
        <f t="shared" si="82"/>
        <v>1</v>
      </c>
      <c r="J357" s="635"/>
      <c r="K357" s="21">
        <f t="shared" si="83"/>
        <v>1</v>
      </c>
      <c r="L357" s="635"/>
      <c r="M357" s="21">
        <f t="shared" si="84"/>
        <v>1</v>
      </c>
      <c r="N357" s="635"/>
      <c r="O357" s="21">
        <f t="shared" si="85"/>
        <v>1</v>
      </c>
      <c r="P357" s="635"/>
      <c r="Q357" s="21">
        <f t="shared" si="86"/>
        <v>1</v>
      </c>
      <c r="R357" s="21">
        <f t="shared" si="87"/>
        <v>0</v>
      </c>
      <c r="S357" s="308">
        <f t="shared" si="78"/>
        <v>0</v>
      </c>
    </row>
    <row r="358" spans="1:19">
      <c r="A358" s="142"/>
      <c r="B358" s="52"/>
      <c r="C358" s="21">
        <f t="shared" si="79"/>
        <v>1</v>
      </c>
      <c r="D358" s="635"/>
      <c r="E358" s="21">
        <f t="shared" si="80"/>
        <v>0.02</v>
      </c>
      <c r="F358" s="635"/>
      <c r="G358" s="21">
        <f t="shared" si="81"/>
        <v>1</v>
      </c>
      <c r="H358" s="635"/>
      <c r="I358" s="21">
        <f t="shared" si="82"/>
        <v>1</v>
      </c>
      <c r="J358" s="635"/>
      <c r="K358" s="21">
        <f t="shared" si="83"/>
        <v>1</v>
      </c>
      <c r="L358" s="635"/>
      <c r="M358" s="21">
        <f t="shared" si="84"/>
        <v>1</v>
      </c>
      <c r="N358" s="635"/>
      <c r="O358" s="21">
        <f t="shared" si="85"/>
        <v>1</v>
      </c>
      <c r="P358" s="635"/>
      <c r="Q358" s="21">
        <f t="shared" si="86"/>
        <v>1</v>
      </c>
      <c r="R358" s="21">
        <f t="shared" si="87"/>
        <v>0</v>
      </c>
      <c r="S358" s="308">
        <f t="shared" si="78"/>
        <v>0</v>
      </c>
    </row>
    <row r="359" spans="1:19">
      <c r="A359" s="142"/>
      <c r="B359" s="52"/>
      <c r="C359" s="21">
        <f t="shared" si="79"/>
        <v>1</v>
      </c>
      <c r="D359" s="635"/>
      <c r="E359" s="21">
        <f t="shared" si="80"/>
        <v>0.02</v>
      </c>
      <c r="F359" s="635"/>
      <c r="G359" s="21">
        <f t="shared" si="81"/>
        <v>1</v>
      </c>
      <c r="H359" s="635"/>
      <c r="I359" s="21">
        <f t="shared" si="82"/>
        <v>1</v>
      </c>
      <c r="J359" s="635"/>
      <c r="K359" s="21">
        <f t="shared" si="83"/>
        <v>1</v>
      </c>
      <c r="L359" s="635"/>
      <c r="M359" s="21">
        <f t="shared" si="84"/>
        <v>1</v>
      </c>
      <c r="N359" s="635"/>
      <c r="O359" s="21">
        <f t="shared" si="85"/>
        <v>1</v>
      </c>
      <c r="P359" s="635"/>
      <c r="Q359" s="21">
        <f t="shared" si="86"/>
        <v>1</v>
      </c>
      <c r="R359" s="21">
        <f t="shared" si="87"/>
        <v>0</v>
      </c>
      <c r="S359" s="308">
        <f t="shared" si="78"/>
        <v>0</v>
      </c>
    </row>
    <row r="360" spans="1:19">
      <c r="A360" s="142"/>
      <c r="B360" s="52"/>
      <c r="C360" s="21">
        <f t="shared" si="79"/>
        <v>1</v>
      </c>
      <c r="D360" s="635"/>
      <c r="E360" s="21">
        <f t="shared" si="80"/>
        <v>0.02</v>
      </c>
      <c r="F360" s="635"/>
      <c r="G360" s="21">
        <f t="shared" si="81"/>
        <v>1</v>
      </c>
      <c r="H360" s="635"/>
      <c r="I360" s="21">
        <f t="shared" si="82"/>
        <v>1</v>
      </c>
      <c r="J360" s="635"/>
      <c r="K360" s="21">
        <f t="shared" si="83"/>
        <v>1</v>
      </c>
      <c r="L360" s="635"/>
      <c r="M360" s="21">
        <f t="shared" si="84"/>
        <v>1</v>
      </c>
      <c r="N360" s="635"/>
      <c r="O360" s="21">
        <f t="shared" si="85"/>
        <v>1</v>
      </c>
      <c r="P360" s="635"/>
      <c r="Q360" s="21">
        <f t="shared" si="86"/>
        <v>1</v>
      </c>
      <c r="R360" s="21">
        <f t="shared" si="87"/>
        <v>0</v>
      </c>
      <c r="S360" s="308">
        <f t="shared" si="78"/>
        <v>0</v>
      </c>
    </row>
    <row r="361" spans="1:19">
      <c r="A361" s="142"/>
      <c r="B361" s="52"/>
      <c r="C361" s="21">
        <f t="shared" si="79"/>
        <v>1</v>
      </c>
      <c r="D361" s="635"/>
      <c r="E361" s="21">
        <f t="shared" si="80"/>
        <v>0.02</v>
      </c>
      <c r="F361" s="635"/>
      <c r="G361" s="21">
        <f t="shared" si="81"/>
        <v>1</v>
      </c>
      <c r="H361" s="635"/>
      <c r="I361" s="21">
        <f t="shared" si="82"/>
        <v>1</v>
      </c>
      <c r="J361" s="635"/>
      <c r="K361" s="21">
        <f t="shared" si="83"/>
        <v>1</v>
      </c>
      <c r="L361" s="635"/>
      <c r="M361" s="21">
        <f t="shared" si="84"/>
        <v>1</v>
      </c>
      <c r="N361" s="635"/>
      <c r="O361" s="21">
        <f t="shared" si="85"/>
        <v>1</v>
      </c>
      <c r="P361" s="635"/>
      <c r="Q361" s="21">
        <f t="shared" si="86"/>
        <v>1</v>
      </c>
      <c r="R361" s="21">
        <f t="shared" si="87"/>
        <v>0</v>
      </c>
      <c r="S361" s="308">
        <f t="shared" si="78"/>
        <v>0</v>
      </c>
    </row>
    <row r="362" spans="1:19">
      <c r="A362" s="142"/>
      <c r="B362" s="52"/>
      <c r="C362" s="21">
        <f t="shared" si="79"/>
        <v>1</v>
      </c>
      <c r="D362" s="635"/>
      <c r="E362" s="21">
        <f t="shared" si="80"/>
        <v>0.02</v>
      </c>
      <c r="F362" s="635"/>
      <c r="G362" s="21">
        <f t="shared" si="81"/>
        <v>1</v>
      </c>
      <c r="H362" s="635"/>
      <c r="I362" s="21">
        <f t="shared" si="82"/>
        <v>1</v>
      </c>
      <c r="J362" s="635"/>
      <c r="K362" s="21">
        <f t="shared" si="83"/>
        <v>1</v>
      </c>
      <c r="L362" s="635"/>
      <c r="M362" s="21">
        <f t="shared" si="84"/>
        <v>1</v>
      </c>
      <c r="N362" s="635"/>
      <c r="O362" s="21">
        <f t="shared" si="85"/>
        <v>1</v>
      </c>
      <c r="P362" s="635"/>
      <c r="Q362" s="21">
        <f t="shared" si="86"/>
        <v>1</v>
      </c>
      <c r="R362" s="21">
        <f t="shared" si="87"/>
        <v>0</v>
      </c>
      <c r="S362" s="308">
        <f t="shared" si="78"/>
        <v>0</v>
      </c>
    </row>
    <row r="363" spans="1:19">
      <c r="A363" s="142"/>
      <c r="B363" s="52"/>
      <c r="C363" s="21">
        <f t="shared" si="79"/>
        <v>1</v>
      </c>
      <c r="D363" s="635"/>
      <c r="E363" s="21">
        <f t="shared" si="80"/>
        <v>0.02</v>
      </c>
      <c r="F363" s="635"/>
      <c r="G363" s="21">
        <f t="shared" si="81"/>
        <v>1</v>
      </c>
      <c r="H363" s="635"/>
      <c r="I363" s="21">
        <f t="shared" si="82"/>
        <v>1</v>
      </c>
      <c r="J363" s="635"/>
      <c r="K363" s="21">
        <f t="shared" si="83"/>
        <v>1</v>
      </c>
      <c r="L363" s="635"/>
      <c r="M363" s="21">
        <f t="shared" si="84"/>
        <v>1</v>
      </c>
      <c r="N363" s="635"/>
      <c r="O363" s="21">
        <f t="shared" si="85"/>
        <v>1</v>
      </c>
      <c r="P363" s="635"/>
      <c r="Q363" s="21">
        <f t="shared" si="86"/>
        <v>1</v>
      </c>
      <c r="R363" s="21">
        <f t="shared" si="87"/>
        <v>0</v>
      </c>
      <c r="S363" s="308">
        <f t="shared" si="78"/>
        <v>0</v>
      </c>
    </row>
    <row r="364" spans="1:19">
      <c r="A364" s="142"/>
      <c r="B364" s="52"/>
      <c r="C364" s="21">
        <f t="shared" si="79"/>
        <v>1</v>
      </c>
      <c r="D364" s="635"/>
      <c r="E364" s="21">
        <f t="shared" si="80"/>
        <v>0.02</v>
      </c>
      <c r="F364" s="635"/>
      <c r="G364" s="21">
        <f t="shared" si="81"/>
        <v>1</v>
      </c>
      <c r="H364" s="635"/>
      <c r="I364" s="21">
        <f t="shared" si="82"/>
        <v>1</v>
      </c>
      <c r="J364" s="635"/>
      <c r="K364" s="21">
        <f t="shared" si="83"/>
        <v>1</v>
      </c>
      <c r="L364" s="635"/>
      <c r="M364" s="21">
        <f t="shared" si="84"/>
        <v>1</v>
      </c>
      <c r="N364" s="635"/>
      <c r="O364" s="21">
        <f t="shared" si="85"/>
        <v>1</v>
      </c>
      <c r="P364" s="635"/>
      <c r="Q364" s="21">
        <f t="shared" si="86"/>
        <v>1</v>
      </c>
      <c r="R364" s="21">
        <f t="shared" si="87"/>
        <v>0</v>
      </c>
      <c r="S364" s="308">
        <f t="shared" si="78"/>
        <v>0</v>
      </c>
    </row>
    <row r="365" spans="1:19">
      <c r="A365" s="142"/>
      <c r="B365" s="52"/>
      <c r="C365" s="21">
        <f t="shared" si="79"/>
        <v>1</v>
      </c>
      <c r="D365" s="635"/>
      <c r="E365" s="21">
        <f t="shared" si="80"/>
        <v>0.02</v>
      </c>
      <c r="F365" s="635"/>
      <c r="G365" s="21">
        <f t="shared" si="81"/>
        <v>1</v>
      </c>
      <c r="H365" s="635"/>
      <c r="I365" s="21">
        <f t="shared" si="82"/>
        <v>1</v>
      </c>
      <c r="J365" s="635"/>
      <c r="K365" s="21">
        <f t="shared" si="83"/>
        <v>1</v>
      </c>
      <c r="L365" s="635"/>
      <c r="M365" s="21">
        <f t="shared" si="84"/>
        <v>1</v>
      </c>
      <c r="N365" s="635"/>
      <c r="O365" s="21">
        <f t="shared" si="85"/>
        <v>1</v>
      </c>
      <c r="P365" s="635"/>
      <c r="Q365" s="21">
        <f t="shared" si="86"/>
        <v>1</v>
      </c>
      <c r="R365" s="21">
        <f t="shared" si="87"/>
        <v>0</v>
      </c>
      <c r="S365" s="308">
        <f t="shared" si="78"/>
        <v>0</v>
      </c>
    </row>
    <row r="366" spans="1:19">
      <c r="A366" s="142"/>
      <c r="B366" s="52"/>
      <c r="C366" s="21">
        <f t="shared" si="79"/>
        <v>1</v>
      </c>
      <c r="D366" s="635"/>
      <c r="E366" s="21">
        <f t="shared" si="80"/>
        <v>0.02</v>
      </c>
      <c r="F366" s="635"/>
      <c r="G366" s="21">
        <f t="shared" si="81"/>
        <v>1</v>
      </c>
      <c r="H366" s="635"/>
      <c r="I366" s="21">
        <f t="shared" si="82"/>
        <v>1</v>
      </c>
      <c r="J366" s="635"/>
      <c r="K366" s="21">
        <f t="shared" si="83"/>
        <v>1</v>
      </c>
      <c r="L366" s="635"/>
      <c r="M366" s="21">
        <f t="shared" si="84"/>
        <v>1</v>
      </c>
      <c r="N366" s="635"/>
      <c r="O366" s="21">
        <f t="shared" si="85"/>
        <v>1</v>
      </c>
      <c r="P366" s="635"/>
      <c r="Q366" s="21">
        <f t="shared" si="86"/>
        <v>1</v>
      </c>
      <c r="R366" s="21">
        <f t="shared" si="87"/>
        <v>0</v>
      </c>
      <c r="S366" s="308">
        <f t="shared" si="78"/>
        <v>0</v>
      </c>
    </row>
    <row r="367" spans="1:19">
      <c r="A367" s="142"/>
      <c r="B367" s="52"/>
      <c r="C367" s="21">
        <f t="shared" si="79"/>
        <v>1</v>
      </c>
      <c r="D367" s="635"/>
      <c r="E367" s="21">
        <f t="shared" si="80"/>
        <v>0.02</v>
      </c>
      <c r="F367" s="635"/>
      <c r="G367" s="21">
        <f t="shared" si="81"/>
        <v>1</v>
      </c>
      <c r="H367" s="635"/>
      <c r="I367" s="21">
        <f t="shared" si="82"/>
        <v>1</v>
      </c>
      <c r="J367" s="635"/>
      <c r="K367" s="21">
        <f t="shared" si="83"/>
        <v>1</v>
      </c>
      <c r="L367" s="635"/>
      <c r="M367" s="21">
        <f t="shared" si="84"/>
        <v>1</v>
      </c>
      <c r="N367" s="635"/>
      <c r="O367" s="21">
        <f t="shared" si="85"/>
        <v>1</v>
      </c>
      <c r="P367" s="635"/>
      <c r="Q367" s="21">
        <f t="shared" si="86"/>
        <v>1</v>
      </c>
      <c r="R367" s="21">
        <f t="shared" si="87"/>
        <v>0</v>
      </c>
      <c r="S367" s="308">
        <f t="shared" si="78"/>
        <v>0</v>
      </c>
    </row>
    <row r="368" spans="1:19">
      <c r="A368" s="142"/>
      <c r="B368" s="52"/>
      <c r="C368" s="21">
        <f t="shared" si="79"/>
        <v>1</v>
      </c>
      <c r="D368" s="635"/>
      <c r="E368" s="21">
        <f t="shared" si="80"/>
        <v>0.02</v>
      </c>
      <c r="F368" s="635"/>
      <c r="G368" s="21">
        <f t="shared" si="81"/>
        <v>1</v>
      </c>
      <c r="H368" s="635"/>
      <c r="I368" s="21">
        <f t="shared" si="82"/>
        <v>1</v>
      </c>
      <c r="J368" s="635"/>
      <c r="K368" s="21">
        <f t="shared" si="83"/>
        <v>1</v>
      </c>
      <c r="L368" s="635"/>
      <c r="M368" s="21">
        <f t="shared" si="84"/>
        <v>1</v>
      </c>
      <c r="N368" s="635"/>
      <c r="O368" s="21">
        <f t="shared" si="85"/>
        <v>1</v>
      </c>
      <c r="P368" s="635"/>
      <c r="Q368" s="21">
        <f t="shared" si="86"/>
        <v>1</v>
      </c>
      <c r="R368" s="21">
        <f t="shared" si="87"/>
        <v>0</v>
      </c>
      <c r="S368" s="308">
        <f t="shared" si="78"/>
        <v>0</v>
      </c>
    </row>
    <row r="369" spans="1:19">
      <c r="A369" s="142"/>
      <c r="B369" s="52"/>
      <c r="C369" s="21">
        <f t="shared" si="79"/>
        <v>1</v>
      </c>
      <c r="D369" s="635"/>
      <c r="E369" s="21">
        <f t="shared" si="80"/>
        <v>0.02</v>
      </c>
      <c r="F369" s="635"/>
      <c r="G369" s="21">
        <f t="shared" si="81"/>
        <v>1</v>
      </c>
      <c r="H369" s="635"/>
      <c r="I369" s="21">
        <f t="shared" si="82"/>
        <v>1</v>
      </c>
      <c r="J369" s="635"/>
      <c r="K369" s="21">
        <f t="shared" si="83"/>
        <v>1</v>
      </c>
      <c r="L369" s="635"/>
      <c r="M369" s="21">
        <f t="shared" si="84"/>
        <v>1</v>
      </c>
      <c r="N369" s="635"/>
      <c r="O369" s="21">
        <f t="shared" si="85"/>
        <v>1</v>
      </c>
      <c r="P369" s="635"/>
      <c r="Q369" s="21">
        <f t="shared" si="86"/>
        <v>1</v>
      </c>
      <c r="R369" s="21">
        <f t="shared" si="87"/>
        <v>0</v>
      </c>
      <c r="S369" s="308">
        <f t="shared" si="78"/>
        <v>0</v>
      </c>
    </row>
    <row r="370" spans="1:19">
      <c r="A370" s="142"/>
      <c r="B370" s="52"/>
      <c r="C370" s="21">
        <f t="shared" si="79"/>
        <v>1</v>
      </c>
      <c r="D370" s="635"/>
      <c r="E370" s="21">
        <f t="shared" si="80"/>
        <v>0.02</v>
      </c>
      <c r="F370" s="635"/>
      <c r="G370" s="21">
        <f t="shared" si="81"/>
        <v>1</v>
      </c>
      <c r="H370" s="635"/>
      <c r="I370" s="21">
        <f t="shared" si="82"/>
        <v>1</v>
      </c>
      <c r="J370" s="635"/>
      <c r="K370" s="21">
        <f t="shared" si="83"/>
        <v>1</v>
      </c>
      <c r="L370" s="635"/>
      <c r="M370" s="21">
        <f t="shared" si="84"/>
        <v>1</v>
      </c>
      <c r="N370" s="635"/>
      <c r="O370" s="21">
        <f t="shared" si="85"/>
        <v>1</v>
      </c>
      <c r="P370" s="635"/>
      <c r="Q370" s="21">
        <f t="shared" si="86"/>
        <v>1</v>
      </c>
      <c r="R370" s="21">
        <f t="shared" si="87"/>
        <v>0</v>
      </c>
      <c r="S370" s="308">
        <f t="shared" si="78"/>
        <v>0</v>
      </c>
    </row>
    <row r="371" spans="1:19">
      <c r="A371" s="142"/>
      <c r="B371" s="52"/>
      <c r="C371" s="21">
        <f t="shared" si="79"/>
        <v>1</v>
      </c>
      <c r="D371" s="635"/>
      <c r="E371" s="21">
        <f t="shared" si="80"/>
        <v>0.02</v>
      </c>
      <c r="F371" s="635"/>
      <c r="G371" s="21">
        <f t="shared" si="81"/>
        <v>1</v>
      </c>
      <c r="H371" s="635"/>
      <c r="I371" s="21">
        <f t="shared" si="82"/>
        <v>1</v>
      </c>
      <c r="J371" s="635"/>
      <c r="K371" s="21">
        <f t="shared" si="83"/>
        <v>1</v>
      </c>
      <c r="L371" s="635"/>
      <c r="M371" s="21">
        <f t="shared" si="84"/>
        <v>1</v>
      </c>
      <c r="N371" s="635"/>
      <c r="O371" s="21">
        <f t="shared" si="85"/>
        <v>1</v>
      </c>
      <c r="P371" s="635"/>
      <c r="Q371" s="21">
        <f t="shared" si="86"/>
        <v>1</v>
      </c>
      <c r="R371" s="21">
        <f t="shared" si="87"/>
        <v>0</v>
      </c>
      <c r="S371" s="308">
        <f t="shared" si="78"/>
        <v>0</v>
      </c>
    </row>
    <row r="372" spans="1:19">
      <c r="A372" s="142"/>
      <c r="B372" s="52"/>
      <c r="C372" s="21">
        <f t="shared" si="79"/>
        <v>1</v>
      </c>
      <c r="D372" s="635"/>
      <c r="E372" s="21">
        <f t="shared" si="80"/>
        <v>0.02</v>
      </c>
      <c r="F372" s="635"/>
      <c r="G372" s="21">
        <f t="shared" si="81"/>
        <v>1</v>
      </c>
      <c r="H372" s="635"/>
      <c r="I372" s="21">
        <f t="shared" si="82"/>
        <v>1</v>
      </c>
      <c r="J372" s="635"/>
      <c r="K372" s="21">
        <f t="shared" si="83"/>
        <v>1</v>
      </c>
      <c r="L372" s="635"/>
      <c r="M372" s="21">
        <f t="shared" si="84"/>
        <v>1</v>
      </c>
      <c r="N372" s="635"/>
      <c r="O372" s="21">
        <f t="shared" si="85"/>
        <v>1</v>
      </c>
      <c r="P372" s="635"/>
      <c r="Q372" s="21">
        <f t="shared" si="86"/>
        <v>1</v>
      </c>
      <c r="R372" s="21">
        <f t="shared" si="87"/>
        <v>0</v>
      </c>
      <c r="S372" s="308">
        <f t="shared" si="78"/>
        <v>0</v>
      </c>
    </row>
    <row r="373" spans="1:19">
      <c r="A373" s="142"/>
      <c r="B373" s="52"/>
      <c r="C373" s="21">
        <f t="shared" si="79"/>
        <v>1</v>
      </c>
      <c r="D373" s="635"/>
      <c r="E373" s="21">
        <f t="shared" si="80"/>
        <v>0.02</v>
      </c>
      <c r="F373" s="635"/>
      <c r="G373" s="21">
        <f t="shared" si="81"/>
        <v>1</v>
      </c>
      <c r="H373" s="635"/>
      <c r="I373" s="21">
        <f t="shared" si="82"/>
        <v>1</v>
      </c>
      <c r="J373" s="635"/>
      <c r="K373" s="21">
        <f t="shared" si="83"/>
        <v>1</v>
      </c>
      <c r="L373" s="635"/>
      <c r="M373" s="21">
        <f t="shared" si="84"/>
        <v>1</v>
      </c>
      <c r="N373" s="635"/>
      <c r="O373" s="21">
        <f t="shared" si="85"/>
        <v>1</v>
      </c>
      <c r="P373" s="635"/>
      <c r="Q373" s="21">
        <f t="shared" si="86"/>
        <v>1</v>
      </c>
      <c r="R373" s="21">
        <f t="shared" si="87"/>
        <v>0</v>
      </c>
      <c r="S373" s="308">
        <f t="shared" si="78"/>
        <v>0</v>
      </c>
    </row>
    <row r="374" spans="1:19">
      <c r="A374" s="142"/>
      <c r="B374" s="52"/>
      <c r="C374" s="21">
        <f t="shared" si="79"/>
        <v>1</v>
      </c>
      <c r="D374" s="635"/>
      <c r="E374" s="21">
        <f t="shared" si="80"/>
        <v>0.02</v>
      </c>
      <c r="F374" s="635"/>
      <c r="G374" s="21">
        <f t="shared" si="81"/>
        <v>1</v>
      </c>
      <c r="H374" s="635"/>
      <c r="I374" s="21">
        <f t="shared" si="82"/>
        <v>1</v>
      </c>
      <c r="J374" s="635"/>
      <c r="K374" s="21">
        <f t="shared" si="83"/>
        <v>1</v>
      </c>
      <c r="L374" s="635"/>
      <c r="M374" s="21">
        <f t="shared" si="84"/>
        <v>1</v>
      </c>
      <c r="N374" s="635"/>
      <c r="O374" s="21">
        <f t="shared" si="85"/>
        <v>1</v>
      </c>
      <c r="P374" s="635"/>
      <c r="Q374" s="21">
        <f t="shared" si="86"/>
        <v>1</v>
      </c>
      <c r="R374" s="21">
        <f t="shared" si="87"/>
        <v>0</v>
      </c>
      <c r="S374" s="308">
        <f t="shared" si="78"/>
        <v>0</v>
      </c>
    </row>
    <row r="375" spans="1:19">
      <c r="A375" s="142"/>
      <c r="B375" s="52"/>
      <c r="C375" s="21">
        <f t="shared" si="79"/>
        <v>1</v>
      </c>
      <c r="D375" s="635"/>
      <c r="E375" s="21">
        <f t="shared" si="80"/>
        <v>0.02</v>
      </c>
      <c r="F375" s="635"/>
      <c r="G375" s="21">
        <f t="shared" si="81"/>
        <v>1</v>
      </c>
      <c r="H375" s="635"/>
      <c r="I375" s="21">
        <f t="shared" si="82"/>
        <v>1</v>
      </c>
      <c r="J375" s="635"/>
      <c r="K375" s="21">
        <f t="shared" si="83"/>
        <v>1</v>
      </c>
      <c r="L375" s="635"/>
      <c r="M375" s="21">
        <f t="shared" si="84"/>
        <v>1</v>
      </c>
      <c r="N375" s="635"/>
      <c r="O375" s="21">
        <f t="shared" si="85"/>
        <v>1</v>
      </c>
      <c r="P375" s="635"/>
      <c r="Q375" s="21">
        <f t="shared" si="86"/>
        <v>1</v>
      </c>
      <c r="R375" s="21">
        <f t="shared" si="87"/>
        <v>0</v>
      </c>
      <c r="S375" s="308">
        <f t="shared" si="78"/>
        <v>0</v>
      </c>
    </row>
    <row r="376" spans="1:19">
      <c r="A376" s="142"/>
      <c r="B376" s="52"/>
      <c r="C376" s="21">
        <f t="shared" si="79"/>
        <v>1</v>
      </c>
      <c r="D376" s="635"/>
      <c r="E376" s="21">
        <f t="shared" si="80"/>
        <v>0.02</v>
      </c>
      <c r="F376" s="635"/>
      <c r="G376" s="21">
        <f t="shared" si="81"/>
        <v>1</v>
      </c>
      <c r="H376" s="635"/>
      <c r="I376" s="21">
        <f t="shared" si="82"/>
        <v>1</v>
      </c>
      <c r="J376" s="635"/>
      <c r="K376" s="21">
        <f t="shared" si="83"/>
        <v>1</v>
      </c>
      <c r="L376" s="635"/>
      <c r="M376" s="21">
        <f t="shared" si="84"/>
        <v>1</v>
      </c>
      <c r="N376" s="635"/>
      <c r="O376" s="21">
        <f t="shared" si="85"/>
        <v>1</v>
      </c>
      <c r="P376" s="635"/>
      <c r="Q376" s="21">
        <f t="shared" si="86"/>
        <v>1</v>
      </c>
      <c r="R376" s="21">
        <f t="shared" si="87"/>
        <v>0</v>
      </c>
      <c r="S376" s="308">
        <f t="shared" si="78"/>
        <v>0</v>
      </c>
    </row>
    <row r="377" spans="1:19">
      <c r="A377" s="142"/>
      <c r="B377" s="52"/>
      <c r="C377" s="21">
        <f t="shared" si="79"/>
        <v>1</v>
      </c>
      <c r="D377" s="635"/>
      <c r="E377" s="21">
        <f t="shared" si="80"/>
        <v>0.02</v>
      </c>
      <c r="F377" s="635"/>
      <c r="G377" s="21">
        <f t="shared" si="81"/>
        <v>1</v>
      </c>
      <c r="H377" s="635"/>
      <c r="I377" s="21">
        <f t="shared" si="82"/>
        <v>1</v>
      </c>
      <c r="J377" s="635"/>
      <c r="K377" s="21">
        <f t="shared" si="83"/>
        <v>1</v>
      </c>
      <c r="L377" s="635"/>
      <c r="M377" s="21">
        <f t="shared" si="84"/>
        <v>1</v>
      </c>
      <c r="N377" s="635"/>
      <c r="O377" s="21">
        <f t="shared" si="85"/>
        <v>1</v>
      </c>
      <c r="P377" s="635"/>
      <c r="Q377" s="21">
        <f t="shared" si="86"/>
        <v>1</v>
      </c>
      <c r="R377" s="21">
        <f t="shared" si="87"/>
        <v>0</v>
      </c>
      <c r="S377" s="308">
        <f t="shared" si="78"/>
        <v>0</v>
      </c>
    </row>
    <row r="378" spans="1:19">
      <c r="A378" s="142"/>
      <c r="B378" s="52"/>
      <c r="C378" s="21">
        <f t="shared" si="79"/>
        <v>1</v>
      </c>
      <c r="D378" s="635"/>
      <c r="E378" s="21">
        <f t="shared" si="80"/>
        <v>0.02</v>
      </c>
      <c r="F378" s="635"/>
      <c r="G378" s="21">
        <f t="shared" si="81"/>
        <v>1</v>
      </c>
      <c r="H378" s="635"/>
      <c r="I378" s="21">
        <f t="shared" si="82"/>
        <v>1</v>
      </c>
      <c r="J378" s="635"/>
      <c r="K378" s="21">
        <f t="shared" si="83"/>
        <v>1</v>
      </c>
      <c r="L378" s="635"/>
      <c r="M378" s="21">
        <f t="shared" si="84"/>
        <v>1</v>
      </c>
      <c r="N378" s="635"/>
      <c r="O378" s="21">
        <f t="shared" si="85"/>
        <v>1</v>
      </c>
      <c r="P378" s="635"/>
      <c r="Q378" s="21">
        <f t="shared" si="86"/>
        <v>1</v>
      </c>
      <c r="R378" s="21">
        <f t="shared" si="87"/>
        <v>0</v>
      </c>
      <c r="S378" s="308">
        <f t="shared" si="78"/>
        <v>0</v>
      </c>
    </row>
    <row r="379" spans="1:19">
      <c r="A379" s="142"/>
      <c r="B379" s="52"/>
      <c r="C379" s="21">
        <f t="shared" si="79"/>
        <v>1</v>
      </c>
      <c r="D379" s="635"/>
      <c r="E379" s="21">
        <f t="shared" si="80"/>
        <v>0.02</v>
      </c>
      <c r="F379" s="635"/>
      <c r="G379" s="21">
        <f t="shared" si="81"/>
        <v>1</v>
      </c>
      <c r="H379" s="635"/>
      <c r="I379" s="21">
        <f t="shared" si="82"/>
        <v>1</v>
      </c>
      <c r="J379" s="635"/>
      <c r="K379" s="21">
        <f t="shared" si="83"/>
        <v>1</v>
      </c>
      <c r="L379" s="635"/>
      <c r="M379" s="21">
        <f t="shared" si="84"/>
        <v>1</v>
      </c>
      <c r="N379" s="635"/>
      <c r="O379" s="21">
        <f t="shared" si="85"/>
        <v>1</v>
      </c>
      <c r="P379" s="635"/>
      <c r="Q379" s="21">
        <f t="shared" si="86"/>
        <v>1</v>
      </c>
      <c r="R379" s="21">
        <f t="shared" si="87"/>
        <v>0</v>
      </c>
      <c r="S379" s="308">
        <f t="shared" si="78"/>
        <v>0</v>
      </c>
    </row>
    <row r="380" spans="1:19">
      <c r="A380" s="142"/>
      <c r="B380" s="52"/>
      <c r="C380" s="21">
        <f t="shared" si="79"/>
        <v>1</v>
      </c>
      <c r="D380" s="635"/>
      <c r="E380" s="21">
        <f t="shared" si="80"/>
        <v>0.02</v>
      </c>
      <c r="F380" s="635"/>
      <c r="G380" s="21">
        <f t="shared" si="81"/>
        <v>1</v>
      </c>
      <c r="H380" s="635"/>
      <c r="I380" s="21">
        <f t="shared" si="82"/>
        <v>1</v>
      </c>
      <c r="J380" s="635"/>
      <c r="K380" s="21">
        <f t="shared" si="83"/>
        <v>1</v>
      </c>
      <c r="L380" s="635"/>
      <c r="M380" s="21">
        <f t="shared" si="84"/>
        <v>1</v>
      </c>
      <c r="N380" s="635"/>
      <c r="O380" s="21">
        <f t="shared" si="85"/>
        <v>1</v>
      </c>
      <c r="P380" s="635"/>
      <c r="Q380" s="21">
        <f t="shared" si="86"/>
        <v>1</v>
      </c>
      <c r="R380" s="21">
        <f t="shared" si="87"/>
        <v>0</v>
      </c>
      <c r="S380" s="308">
        <f t="shared" si="78"/>
        <v>0</v>
      </c>
    </row>
    <row r="381" spans="1:19">
      <c r="A381" s="142"/>
      <c r="B381" s="52"/>
      <c r="C381" s="21">
        <f t="shared" si="79"/>
        <v>1</v>
      </c>
      <c r="D381" s="635"/>
      <c r="E381" s="21">
        <f t="shared" si="80"/>
        <v>0.02</v>
      </c>
      <c r="F381" s="635"/>
      <c r="G381" s="21">
        <f t="shared" si="81"/>
        <v>1</v>
      </c>
      <c r="H381" s="635"/>
      <c r="I381" s="21">
        <f t="shared" si="82"/>
        <v>1</v>
      </c>
      <c r="J381" s="635"/>
      <c r="K381" s="21">
        <f t="shared" si="83"/>
        <v>1</v>
      </c>
      <c r="L381" s="635"/>
      <c r="M381" s="21">
        <f t="shared" si="84"/>
        <v>1</v>
      </c>
      <c r="N381" s="635"/>
      <c r="O381" s="21">
        <f t="shared" si="85"/>
        <v>1</v>
      </c>
      <c r="P381" s="635"/>
      <c r="Q381" s="21">
        <f t="shared" si="86"/>
        <v>1</v>
      </c>
      <c r="R381" s="21">
        <f t="shared" si="87"/>
        <v>0</v>
      </c>
      <c r="S381" s="308">
        <f t="shared" si="78"/>
        <v>0</v>
      </c>
    </row>
    <row r="382" spans="1:19">
      <c r="A382" s="142"/>
      <c r="B382" s="52"/>
      <c r="C382" s="21">
        <f t="shared" si="79"/>
        <v>1</v>
      </c>
      <c r="D382" s="635"/>
      <c r="E382" s="21">
        <f t="shared" si="80"/>
        <v>0.02</v>
      </c>
      <c r="F382" s="635"/>
      <c r="G382" s="21">
        <f t="shared" si="81"/>
        <v>1</v>
      </c>
      <c r="H382" s="635"/>
      <c r="I382" s="21">
        <f t="shared" si="82"/>
        <v>1</v>
      </c>
      <c r="J382" s="635"/>
      <c r="K382" s="21">
        <f t="shared" si="83"/>
        <v>1</v>
      </c>
      <c r="L382" s="635"/>
      <c r="M382" s="21">
        <f t="shared" si="84"/>
        <v>1</v>
      </c>
      <c r="N382" s="635"/>
      <c r="O382" s="21">
        <f t="shared" si="85"/>
        <v>1</v>
      </c>
      <c r="P382" s="635"/>
      <c r="Q382" s="21">
        <f t="shared" si="86"/>
        <v>1</v>
      </c>
      <c r="R382" s="21">
        <f t="shared" si="87"/>
        <v>0</v>
      </c>
      <c r="S382" s="308">
        <f t="shared" si="78"/>
        <v>0</v>
      </c>
    </row>
    <row r="383" spans="1:19">
      <c r="A383" s="142"/>
      <c r="B383" s="52"/>
      <c r="C383" s="21">
        <f t="shared" si="79"/>
        <v>1</v>
      </c>
      <c r="D383" s="635"/>
      <c r="E383" s="21">
        <f t="shared" si="80"/>
        <v>0.02</v>
      </c>
      <c r="F383" s="635"/>
      <c r="G383" s="21">
        <f t="shared" si="81"/>
        <v>1</v>
      </c>
      <c r="H383" s="635"/>
      <c r="I383" s="21">
        <f t="shared" si="82"/>
        <v>1</v>
      </c>
      <c r="J383" s="635"/>
      <c r="K383" s="21">
        <f t="shared" si="83"/>
        <v>1</v>
      </c>
      <c r="L383" s="635"/>
      <c r="M383" s="21">
        <f t="shared" si="84"/>
        <v>1</v>
      </c>
      <c r="N383" s="635"/>
      <c r="O383" s="21">
        <f t="shared" si="85"/>
        <v>1</v>
      </c>
      <c r="P383" s="635"/>
      <c r="Q383" s="21">
        <f t="shared" si="86"/>
        <v>1</v>
      </c>
      <c r="R383" s="21">
        <f t="shared" si="87"/>
        <v>0</v>
      </c>
      <c r="S383" s="308">
        <f t="shared" si="78"/>
        <v>0</v>
      </c>
    </row>
    <row r="384" spans="1:19">
      <c r="A384" s="142"/>
      <c r="B384" s="52"/>
      <c r="C384" s="21">
        <f t="shared" si="79"/>
        <v>1</v>
      </c>
      <c r="D384" s="635"/>
      <c r="E384" s="21">
        <f t="shared" si="80"/>
        <v>0.02</v>
      </c>
      <c r="F384" s="635"/>
      <c r="G384" s="21">
        <f t="shared" si="81"/>
        <v>1</v>
      </c>
      <c r="H384" s="635"/>
      <c r="I384" s="21">
        <f t="shared" si="82"/>
        <v>1</v>
      </c>
      <c r="J384" s="635"/>
      <c r="K384" s="21">
        <f t="shared" si="83"/>
        <v>1</v>
      </c>
      <c r="L384" s="635"/>
      <c r="M384" s="21">
        <f t="shared" si="84"/>
        <v>1</v>
      </c>
      <c r="N384" s="635"/>
      <c r="O384" s="21">
        <f t="shared" si="85"/>
        <v>1</v>
      </c>
      <c r="P384" s="635"/>
      <c r="Q384" s="21">
        <f t="shared" si="86"/>
        <v>1</v>
      </c>
      <c r="R384" s="21">
        <f t="shared" si="87"/>
        <v>0</v>
      </c>
      <c r="S384" s="308">
        <f t="shared" si="78"/>
        <v>0</v>
      </c>
    </row>
    <row r="385" spans="1:19">
      <c r="A385" s="142"/>
      <c r="B385" s="52"/>
      <c r="C385" s="21">
        <f t="shared" si="79"/>
        <v>1</v>
      </c>
      <c r="D385" s="635"/>
      <c r="E385" s="21">
        <f t="shared" si="80"/>
        <v>0.02</v>
      </c>
      <c r="F385" s="635"/>
      <c r="G385" s="21">
        <f t="shared" si="81"/>
        <v>1</v>
      </c>
      <c r="H385" s="635"/>
      <c r="I385" s="21">
        <f t="shared" si="82"/>
        <v>1</v>
      </c>
      <c r="J385" s="635"/>
      <c r="K385" s="21">
        <f t="shared" si="83"/>
        <v>1</v>
      </c>
      <c r="L385" s="635"/>
      <c r="M385" s="21">
        <f t="shared" si="84"/>
        <v>1</v>
      </c>
      <c r="N385" s="635"/>
      <c r="O385" s="21">
        <f t="shared" si="85"/>
        <v>1</v>
      </c>
      <c r="P385" s="635"/>
      <c r="Q385" s="21">
        <f t="shared" si="86"/>
        <v>1</v>
      </c>
      <c r="R385" s="21">
        <f t="shared" si="87"/>
        <v>0</v>
      </c>
      <c r="S385" s="308">
        <f t="shared" ref="S385:S422" si="88">ROUND(R385*B385/10000,0)</f>
        <v>0</v>
      </c>
    </row>
    <row r="386" spans="1:19">
      <c r="A386" s="142"/>
      <c r="B386" s="52"/>
      <c r="C386" s="21">
        <f t="shared" si="79"/>
        <v>1</v>
      </c>
      <c r="D386" s="635"/>
      <c r="E386" s="21">
        <f t="shared" si="80"/>
        <v>0.02</v>
      </c>
      <c r="F386" s="635"/>
      <c r="G386" s="21">
        <f t="shared" si="81"/>
        <v>1</v>
      </c>
      <c r="H386" s="635"/>
      <c r="I386" s="21">
        <f t="shared" si="82"/>
        <v>1</v>
      </c>
      <c r="J386" s="635"/>
      <c r="K386" s="21">
        <f t="shared" si="83"/>
        <v>1</v>
      </c>
      <c r="L386" s="635"/>
      <c r="M386" s="21">
        <f t="shared" si="84"/>
        <v>1</v>
      </c>
      <c r="N386" s="635"/>
      <c r="O386" s="21">
        <f t="shared" si="85"/>
        <v>1</v>
      </c>
      <c r="P386" s="635"/>
      <c r="Q386" s="21">
        <f t="shared" si="86"/>
        <v>1</v>
      </c>
      <c r="R386" s="21">
        <f t="shared" si="87"/>
        <v>0</v>
      </c>
      <c r="S386" s="308">
        <f t="shared" si="88"/>
        <v>0</v>
      </c>
    </row>
    <row r="387" spans="1:19">
      <c r="A387" s="142"/>
      <c r="B387" s="52"/>
      <c r="C387" s="21">
        <f t="shared" si="79"/>
        <v>1</v>
      </c>
      <c r="D387" s="635"/>
      <c r="E387" s="21">
        <f t="shared" si="80"/>
        <v>0.02</v>
      </c>
      <c r="F387" s="635"/>
      <c r="G387" s="21">
        <f t="shared" si="81"/>
        <v>1</v>
      </c>
      <c r="H387" s="635"/>
      <c r="I387" s="21">
        <f t="shared" si="82"/>
        <v>1</v>
      </c>
      <c r="J387" s="635"/>
      <c r="K387" s="21">
        <f t="shared" si="83"/>
        <v>1</v>
      </c>
      <c r="L387" s="635"/>
      <c r="M387" s="21">
        <f t="shared" si="84"/>
        <v>1</v>
      </c>
      <c r="N387" s="635"/>
      <c r="O387" s="21">
        <f t="shared" si="85"/>
        <v>1</v>
      </c>
      <c r="P387" s="635"/>
      <c r="Q387" s="21">
        <f t="shared" si="86"/>
        <v>1</v>
      </c>
      <c r="R387" s="21">
        <f t="shared" si="87"/>
        <v>0</v>
      </c>
      <c r="S387" s="308">
        <f t="shared" si="88"/>
        <v>0</v>
      </c>
    </row>
    <row r="388" spans="1:19">
      <c r="A388" s="142"/>
      <c r="B388" s="52"/>
      <c r="C388" s="21">
        <f t="shared" si="79"/>
        <v>1</v>
      </c>
      <c r="D388" s="635"/>
      <c r="E388" s="21">
        <f t="shared" si="80"/>
        <v>0.02</v>
      </c>
      <c r="F388" s="635"/>
      <c r="G388" s="21">
        <f t="shared" si="81"/>
        <v>1</v>
      </c>
      <c r="H388" s="635"/>
      <c r="I388" s="21">
        <f t="shared" si="82"/>
        <v>1</v>
      </c>
      <c r="J388" s="635"/>
      <c r="K388" s="21">
        <f t="shared" si="83"/>
        <v>1</v>
      </c>
      <c r="L388" s="635"/>
      <c r="M388" s="21">
        <f t="shared" si="84"/>
        <v>1</v>
      </c>
      <c r="N388" s="635"/>
      <c r="O388" s="21">
        <f t="shared" si="85"/>
        <v>1</v>
      </c>
      <c r="P388" s="635"/>
      <c r="Q388" s="21">
        <f t="shared" si="86"/>
        <v>1</v>
      </c>
      <c r="R388" s="21">
        <f t="shared" si="87"/>
        <v>0</v>
      </c>
      <c r="S388" s="308">
        <f t="shared" si="88"/>
        <v>0</v>
      </c>
    </row>
    <row r="389" spans="1:19">
      <c r="A389" s="142"/>
      <c r="B389" s="52"/>
      <c r="C389" s="21">
        <f t="shared" si="79"/>
        <v>1</v>
      </c>
      <c r="D389" s="635"/>
      <c r="E389" s="21">
        <f t="shared" si="80"/>
        <v>0.02</v>
      </c>
      <c r="F389" s="635"/>
      <c r="G389" s="21">
        <f t="shared" si="81"/>
        <v>1</v>
      </c>
      <c r="H389" s="635"/>
      <c r="I389" s="21">
        <f t="shared" si="82"/>
        <v>1</v>
      </c>
      <c r="J389" s="635"/>
      <c r="K389" s="21">
        <f t="shared" si="83"/>
        <v>1</v>
      </c>
      <c r="L389" s="635"/>
      <c r="M389" s="21">
        <f t="shared" si="84"/>
        <v>1</v>
      </c>
      <c r="N389" s="635"/>
      <c r="O389" s="21">
        <f t="shared" si="85"/>
        <v>1</v>
      </c>
      <c r="P389" s="635"/>
      <c r="Q389" s="21">
        <f t="shared" si="86"/>
        <v>1</v>
      </c>
      <c r="R389" s="21">
        <f t="shared" si="87"/>
        <v>0</v>
      </c>
      <c r="S389" s="308">
        <f t="shared" si="88"/>
        <v>0</v>
      </c>
    </row>
    <row r="390" spans="1:19">
      <c r="A390" s="142"/>
      <c r="B390" s="52"/>
      <c r="C390" s="21">
        <f t="shared" si="79"/>
        <v>1</v>
      </c>
      <c r="D390" s="635"/>
      <c r="E390" s="21">
        <f t="shared" si="80"/>
        <v>0.02</v>
      </c>
      <c r="F390" s="635"/>
      <c r="G390" s="21">
        <f t="shared" si="81"/>
        <v>1</v>
      </c>
      <c r="H390" s="635"/>
      <c r="I390" s="21">
        <f t="shared" si="82"/>
        <v>1</v>
      </c>
      <c r="J390" s="635"/>
      <c r="K390" s="21">
        <f t="shared" si="83"/>
        <v>1</v>
      </c>
      <c r="L390" s="635"/>
      <c r="M390" s="21">
        <f t="shared" si="84"/>
        <v>1</v>
      </c>
      <c r="N390" s="635"/>
      <c r="O390" s="21">
        <f t="shared" si="85"/>
        <v>1</v>
      </c>
      <c r="P390" s="635"/>
      <c r="Q390" s="21">
        <f t="shared" si="86"/>
        <v>1</v>
      </c>
      <c r="R390" s="21">
        <f t="shared" si="87"/>
        <v>0</v>
      </c>
      <c r="S390" s="308">
        <f t="shared" si="88"/>
        <v>0</v>
      </c>
    </row>
    <row r="391" spans="1:19">
      <c r="A391" s="142"/>
      <c r="B391" s="52"/>
      <c r="C391" s="21">
        <f t="shared" si="79"/>
        <v>1</v>
      </c>
      <c r="D391" s="635"/>
      <c r="E391" s="21">
        <f t="shared" si="80"/>
        <v>0.02</v>
      </c>
      <c r="F391" s="635"/>
      <c r="G391" s="21">
        <f t="shared" si="81"/>
        <v>1</v>
      </c>
      <c r="H391" s="635"/>
      <c r="I391" s="21">
        <f t="shared" si="82"/>
        <v>1</v>
      </c>
      <c r="J391" s="635"/>
      <c r="K391" s="21">
        <f t="shared" si="83"/>
        <v>1</v>
      </c>
      <c r="L391" s="635"/>
      <c r="M391" s="21">
        <f t="shared" si="84"/>
        <v>1</v>
      </c>
      <c r="N391" s="635"/>
      <c r="O391" s="21">
        <f t="shared" si="85"/>
        <v>1</v>
      </c>
      <c r="P391" s="635"/>
      <c r="Q391" s="21">
        <f t="shared" si="86"/>
        <v>1</v>
      </c>
      <c r="R391" s="21">
        <f t="shared" si="87"/>
        <v>0</v>
      </c>
      <c r="S391" s="308">
        <f t="shared" si="88"/>
        <v>0</v>
      </c>
    </row>
    <row r="392" spans="1:19">
      <c r="A392" s="142"/>
      <c r="B392" s="52"/>
      <c r="C392" s="21">
        <f t="shared" si="79"/>
        <v>1</v>
      </c>
      <c r="D392" s="635"/>
      <c r="E392" s="21">
        <f t="shared" si="80"/>
        <v>0.02</v>
      </c>
      <c r="F392" s="635"/>
      <c r="G392" s="21">
        <f t="shared" si="81"/>
        <v>1</v>
      </c>
      <c r="H392" s="635"/>
      <c r="I392" s="21">
        <f t="shared" si="82"/>
        <v>1</v>
      </c>
      <c r="J392" s="635"/>
      <c r="K392" s="21">
        <f t="shared" si="83"/>
        <v>1</v>
      </c>
      <c r="L392" s="635"/>
      <c r="M392" s="21">
        <f t="shared" si="84"/>
        <v>1</v>
      </c>
      <c r="N392" s="635"/>
      <c r="O392" s="21">
        <f t="shared" si="85"/>
        <v>1</v>
      </c>
      <c r="P392" s="635"/>
      <c r="Q392" s="21">
        <f t="shared" si="86"/>
        <v>1</v>
      </c>
      <c r="R392" s="21">
        <f t="shared" si="87"/>
        <v>0</v>
      </c>
      <c r="S392" s="308">
        <f t="shared" si="88"/>
        <v>0</v>
      </c>
    </row>
    <row r="393" spans="1:19">
      <c r="A393" s="142"/>
      <c r="B393" s="52"/>
      <c r="C393" s="21">
        <f t="shared" si="79"/>
        <v>1</v>
      </c>
      <c r="D393" s="635"/>
      <c r="E393" s="21">
        <f t="shared" si="80"/>
        <v>0.02</v>
      </c>
      <c r="F393" s="635"/>
      <c r="G393" s="21">
        <f t="shared" si="81"/>
        <v>1</v>
      </c>
      <c r="H393" s="635"/>
      <c r="I393" s="21">
        <f t="shared" si="82"/>
        <v>1</v>
      </c>
      <c r="J393" s="635"/>
      <c r="K393" s="21">
        <f t="shared" si="83"/>
        <v>1</v>
      </c>
      <c r="L393" s="635"/>
      <c r="M393" s="21">
        <f t="shared" si="84"/>
        <v>1</v>
      </c>
      <c r="N393" s="635"/>
      <c r="O393" s="21">
        <f t="shared" si="85"/>
        <v>1</v>
      </c>
      <c r="P393" s="635"/>
      <c r="Q393" s="21">
        <f t="shared" si="86"/>
        <v>1</v>
      </c>
      <c r="R393" s="21">
        <f t="shared" si="87"/>
        <v>0</v>
      </c>
      <c r="S393" s="308">
        <f t="shared" si="88"/>
        <v>0</v>
      </c>
    </row>
    <row r="394" spans="1:19">
      <c r="A394" s="142"/>
      <c r="B394" s="52"/>
      <c r="C394" s="21">
        <f t="shared" si="79"/>
        <v>1</v>
      </c>
      <c r="D394" s="635"/>
      <c r="E394" s="21">
        <f t="shared" si="80"/>
        <v>0.02</v>
      </c>
      <c r="F394" s="635"/>
      <c r="G394" s="21">
        <f t="shared" si="81"/>
        <v>1</v>
      </c>
      <c r="H394" s="635"/>
      <c r="I394" s="21">
        <f t="shared" si="82"/>
        <v>1</v>
      </c>
      <c r="J394" s="635"/>
      <c r="K394" s="21">
        <f t="shared" si="83"/>
        <v>1</v>
      </c>
      <c r="L394" s="635"/>
      <c r="M394" s="21">
        <f t="shared" si="84"/>
        <v>1</v>
      </c>
      <c r="N394" s="635"/>
      <c r="O394" s="21">
        <f t="shared" si="85"/>
        <v>1</v>
      </c>
      <c r="P394" s="635"/>
      <c r="Q394" s="21">
        <f t="shared" si="86"/>
        <v>1</v>
      </c>
      <c r="R394" s="21">
        <f t="shared" si="87"/>
        <v>0</v>
      </c>
      <c r="S394" s="308">
        <f t="shared" si="88"/>
        <v>0</v>
      </c>
    </row>
    <row r="395" spans="1:19">
      <c r="A395" s="142"/>
      <c r="B395" s="52"/>
      <c r="C395" s="21">
        <f t="shared" si="79"/>
        <v>1</v>
      </c>
      <c r="D395" s="635"/>
      <c r="E395" s="21">
        <f t="shared" si="80"/>
        <v>0.02</v>
      </c>
      <c r="F395" s="635"/>
      <c r="G395" s="21">
        <f t="shared" si="81"/>
        <v>1</v>
      </c>
      <c r="H395" s="635"/>
      <c r="I395" s="21">
        <f t="shared" si="82"/>
        <v>1</v>
      </c>
      <c r="J395" s="635"/>
      <c r="K395" s="21">
        <f t="shared" si="83"/>
        <v>1</v>
      </c>
      <c r="L395" s="635"/>
      <c r="M395" s="21">
        <f t="shared" si="84"/>
        <v>1</v>
      </c>
      <c r="N395" s="635"/>
      <c r="O395" s="21">
        <f t="shared" si="85"/>
        <v>1</v>
      </c>
      <c r="P395" s="635"/>
      <c r="Q395" s="21">
        <f t="shared" si="86"/>
        <v>1</v>
      </c>
      <c r="R395" s="21">
        <f t="shared" si="87"/>
        <v>0</v>
      </c>
      <c r="S395" s="308">
        <f t="shared" si="88"/>
        <v>0</v>
      </c>
    </row>
    <row r="396" spans="1:19">
      <c r="A396" s="142"/>
      <c r="B396" s="52"/>
      <c r="C396" s="21">
        <f t="shared" si="79"/>
        <v>1</v>
      </c>
      <c r="D396" s="635"/>
      <c r="E396" s="21">
        <f t="shared" si="80"/>
        <v>0.02</v>
      </c>
      <c r="F396" s="635"/>
      <c r="G396" s="21">
        <f t="shared" si="81"/>
        <v>1</v>
      </c>
      <c r="H396" s="635"/>
      <c r="I396" s="21">
        <f t="shared" si="82"/>
        <v>1</v>
      </c>
      <c r="J396" s="635"/>
      <c r="K396" s="21">
        <f t="shared" si="83"/>
        <v>1</v>
      </c>
      <c r="L396" s="635"/>
      <c r="M396" s="21">
        <f t="shared" si="84"/>
        <v>1</v>
      </c>
      <c r="N396" s="635"/>
      <c r="O396" s="21">
        <f t="shared" si="85"/>
        <v>1</v>
      </c>
      <c r="P396" s="635"/>
      <c r="Q396" s="21">
        <f t="shared" si="86"/>
        <v>1</v>
      </c>
      <c r="R396" s="21">
        <f t="shared" si="87"/>
        <v>0</v>
      </c>
      <c r="S396" s="308">
        <f t="shared" si="88"/>
        <v>0</v>
      </c>
    </row>
    <row r="397" spans="1:19">
      <c r="A397" s="142"/>
      <c r="B397" s="52"/>
      <c r="C397" s="21">
        <f t="shared" si="79"/>
        <v>1</v>
      </c>
      <c r="D397" s="635"/>
      <c r="E397" s="21">
        <f t="shared" si="80"/>
        <v>0.02</v>
      </c>
      <c r="F397" s="635"/>
      <c r="G397" s="21">
        <f t="shared" si="81"/>
        <v>1</v>
      </c>
      <c r="H397" s="635"/>
      <c r="I397" s="21">
        <f t="shared" si="82"/>
        <v>1</v>
      </c>
      <c r="J397" s="635"/>
      <c r="K397" s="21">
        <f t="shared" si="83"/>
        <v>1</v>
      </c>
      <c r="L397" s="635"/>
      <c r="M397" s="21">
        <f t="shared" si="84"/>
        <v>1</v>
      </c>
      <c r="N397" s="635"/>
      <c r="O397" s="21">
        <f t="shared" si="85"/>
        <v>1</v>
      </c>
      <c r="P397" s="635"/>
      <c r="Q397" s="21">
        <f t="shared" si="86"/>
        <v>1</v>
      </c>
      <c r="R397" s="21">
        <f t="shared" si="87"/>
        <v>0</v>
      </c>
      <c r="S397" s="308">
        <f t="shared" si="88"/>
        <v>0</v>
      </c>
    </row>
    <row r="398" spans="1:19">
      <c r="A398" s="142"/>
      <c r="B398" s="52"/>
      <c r="C398" s="21">
        <f t="shared" si="79"/>
        <v>1</v>
      </c>
      <c r="D398" s="635"/>
      <c r="E398" s="21">
        <f t="shared" si="80"/>
        <v>0.02</v>
      </c>
      <c r="F398" s="635"/>
      <c r="G398" s="21">
        <f t="shared" si="81"/>
        <v>1</v>
      </c>
      <c r="H398" s="635"/>
      <c r="I398" s="21">
        <f t="shared" si="82"/>
        <v>1</v>
      </c>
      <c r="J398" s="635"/>
      <c r="K398" s="21">
        <f t="shared" si="83"/>
        <v>1</v>
      </c>
      <c r="L398" s="635"/>
      <c r="M398" s="21">
        <f t="shared" si="84"/>
        <v>1</v>
      </c>
      <c r="N398" s="635"/>
      <c r="O398" s="21">
        <f t="shared" si="85"/>
        <v>1</v>
      </c>
      <c r="P398" s="635"/>
      <c r="Q398" s="21">
        <f t="shared" si="86"/>
        <v>1</v>
      </c>
      <c r="R398" s="21">
        <f t="shared" si="87"/>
        <v>0</v>
      </c>
      <c r="S398" s="308">
        <f t="shared" si="88"/>
        <v>0</v>
      </c>
    </row>
    <row r="399" spans="1:19">
      <c r="A399" s="142"/>
      <c r="B399" s="52"/>
      <c r="C399" s="21">
        <f t="shared" si="79"/>
        <v>1</v>
      </c>
      <c r="D399" s="635"/>
      <c r="E399" s="21">
        <f t="shared" si="80"/>
        <v>0.02</v>
      </c>
      <c r="F399" s="635"/>
      <c r="G399" s="21">
        <f t="shared" si="81"/>
        <v>1</v>
      </c>
      <c r="H399" s="635"/>
      <c r="I399" s="21">
        <f t="shared" si="82"/>
        <v>1</v>
      </c>
      <c r="J399" s="635"/>
      <c r="K399" s="21">
        <f t="shared" si="83"/>
        <v>1</v>
      </c>
      <c r="L399" s="635"/>
      <c r="M399" s="21">
        <f t="shared" si="84"/>
        <v>1</v>
      </c>
      <c r="N399" s="635"/>
      <c r="O399" s="21">
        <f t="shared" si="85"/>
        <v>1</v>
      </c>
      <c r="P399" s="635"/>
      <c r="Q399" s="21">
        <f t="shared" si="86"/>
        <v>1</v>
      </c>
      <c r="R399" s="21">
        <f t="shared" si="87"/>
        <v>0</v>
      </c>
      <c r="S399" s="308">
        <f t="shared" si="88"/>
        <v>0</v>
      </c>
    </row>
    <row r="400" spans="1:19">
      <c r="A400" s="142"/>
      <c r="B400" s="52"/>
      <c r="C400" s="21">
        <f t="shared" si="79"/>
        <v>1</v>
      </c>
      <c r="D400" s="635"/>
      <c r="E400" s="21">
        <f t="shared" si="80"/>
        <v>0.02</v>
      </c>
      <c r="F400" s="635"/>
      <c r="G400" s="21">
        <f t="shared" si="81"/>
        <v>1</v>
      </c>
      <c r="H400" s="635"/>
      <c r="I400" s="21">
        <f t="shared" si="82"/>
        <v>1</v>
      </c>
      <c r="J400" s="635"/>
      <c r="K400" s="21">
        <f t="shared" si="83"/>
        <v>1</v>
      </c>
      <c r="L400" s="635"/>
      <c r="M400" s="21">
        <f t="shared" si="84"/>
        <v>1</v>
      </c>
      <c r="N400" s="635"/>
      <c r="O400" s="21">
        <f t="shared" si="85"/>
        <v>1</v>
      </c>
      <c r="P400" s="635"/>
      <c r="Q400" s="21">
        <f t="shared" si="86"/>
        <v>1</v>
      </c>
      <c r="R400" s="21">
        <f t="shared" si="87"/>
        <v>0</v>
      </c>
      <c r="S400" s="308">
        <f t="shared" si="88"/>
        <v>0</v>
      </c>
    </row>
    <row r="401" spans="1:19">
      <c r="A401" s="142"/>
      <c r="B401" s="52"/>
      <c r="C401" s="21">
        <f t="shared" si="79"/>
        <v>1</v>
      </c>
      <c r="D401" s="635"/>
      <c r="E401" s="21">
        <f t="shared" si="80"/>
        <v>0.02</v>
      </c>
      <c r="F401" s="635"/>
      <c r="G401" s="21">
        <f t="shared" si="81"/>
        <v>1</v>
      </c>
      <c r="H401" s="635"/>
      <c r="I401" s="21">
        <f t="shared" si="82"/>
        <v>1</v>
      </c>
      <c r="J401" s="635"/>
      <c r="K401" s="21">
        <f t="shared" si="83"/>
        <v>1</v>
      </c>
      <c r="L401" s="635"/>
      <c r="M401" s="21">
        <f t="shared" si="84"/>
        <v>1</v>
      </c>
      <c r="N401" s="635"/>
      <c r="O401" s="21">
        <f t="shared" si="85"/>
        <v>1</v>
      </c>
      <c r="P401" s="635"/>
      <c r="Q401" s="21">
        <f t="shared" si="86"/>
        <v>1</v>
      </c>
      <c r="R401" s="21">
        <f t="shared" si="87"/>
        <v>0</v>
      </c>
      <c r="S401" s="308">
        <f t="shared" si="88"/>
        <v>0</v>
      </c>
    </row>
    <row r="402" spans="1:19">
      <c r="A402" s="142"/>
      <c r="B402" s="52"/>
      <c r="C402" s="21">
        <f t="shared" si="79"/>
        <v>1</v>
      </c>
      <c r="D402" s="635"/>
      <c r="E402" s="21">
        <f t="shared" si="80"/>
        <v>0.02</v>
      </c>
      <c r="F402" s="635"/>
      <c r="G402" s="21">
        <f t="shared" si="81"/>
        <v>1</v>
      </c>
      <c r="H402" s="635"/>
      <c r="I402" s="21">
        <f t="shared" si="82"/>
        <v>1</v>
      </c>
      <c r="J402" s="635"/>
      <c r="K402" s="21">
        <f t="shared" si="83"/>
        <v>1</v>
      </c>
      <c r="L402" s="635"/>
      <c r="M402" s="21">
        <f t="shared" si="84"/>
        <v>1</v>
      </c>
      <c r="N402" s="635"/>
      <c r="O402" s="21">
        <f t="shared" si="85"/>
        <v>1</v>
      </c>
      <c r="P402" s="635"/>
      <c r="Q402" s="21">
        <f t="shared" si="86"/>
        <v>1</v>
      </c>
      <c r="R402" s="21">
        <f t="shared" si="87"/>
        <v>0</v>
      </c>
      <c r="S402" s="308">
        <f t="shared" si="88"/>
        <v>0</v>
      </c>
    </row>
    <row r="403" spans="1:19">
      <c r="A403" s="142"/>
      <c r="B403" s="52"/>
      <c r="C403" s="21">
        <f t="shared" si="79"/>
        <v>1</v>
      </c>
      <c r="D403" s="635"/>
      <c r="E403" s="21">
        <f t="shared" si="80"/>
        <v>0.02</v>
      </c>
      <c r="F403" s="635"/>
      <c r="G403" s="21">
        <f t="shared" si="81"/>
        <v>1</v>
      </c>
      <c r="H403" s="635"/>
      <c r="I403" s="21">
        <f t="shared" si="82"/>
        <v>1</v>
      </c>
      <c r="J403" s="635"/>
      <c r="K403" s="21">
        <f t="shared" si="83"/>
        <v>1</v>
      </c>
      <c r="L403" s="635"/>
      <c r="M403" s="21">
        <f t="shared" si="84"/>
        <v>1</v>
      </c>
      <c r="N403" s="635"/>
      <c r="O403" s="21">
        <f t="shared" si="85"/>
        <v>1</v>
      </c>
      <c r="P403" s="635"/>
      <c r="Q403" s="21">
        <f t="shared" si="86"/>
        <v>1</v>
      </c>
      <c r="R403" s="21">
        <f t="shared" si="87"/>
        <v>0</v>
      </c>
      <c r="S403" s="308">
        <f t="shared" si="88"/>
        <v>0</v>
      </c>
    </row>
    <row r="404" spans="1:19">
      <c r="A404" s="142"/>
      <c r="B404" s="52"/>
      <c r="C404" s="21">
        <f t="shared" si="79"/>
        <v>1</v>
      </c>
      <c r="D404" s="635"/>
      <c r="E404" s="21">
        <f t="shared" si="80"/>
        <v>0.02</v>
      </c>
      <c r="F404" s="635"/>
      <c r="G404" s="21">
        <f t="shared" si="81"/>
        <v>1</v>
      </c>
      <c r="H404" s="635"/>
      <c r="I404" s="21">
        <f t="shared" si="82"/>
        <v>1</v>
      </c>
      <c r="J404" s="635"/>
      <c r="K404" s="21">
        <f t="shared" si="83"/>
        <v>1</v>
      </c>
      <c r="L404" s="635"/>
      <c r="M404" s="21">
        <f t="shared" si="84"/>
        <v>1</v>
      </c>
      <c r="N404" s="635"/>
      <c r="O404" s="21">
        <f t="shared" si="85"/>
        <v>1</v>
      </c>
      <c r="P404" s="635"/>
      <c r="Q404" s="21">
        <f t="shared" si="86"/>
        <v>1</v>
      </c>
      <c r="R404" s="21">
        <f t="shared" si="87"/>
        <v>0</v>
      </c>
      <c r="S404" s="308">
        <f t="shared" si="88"/>
        <v>0</v>
      </c>
    </row>
    <row r="405" spans="1:19">
      <c r="A405" s="142"/>
      <c r="B405" s="52"/>
      <c r="C405" s="21">
        <f t="shared" si="79"/>
        <v>1</v>
      </c>
      <c r="D405" s="635"/>
      <c r="E405" s="21">
        <f t="shared" si="80"/>
        <v>0.02</v>
      </c>
      <c r="F405" s="635"/>
      <c r="G405" s="21">
        <f t="shared" si="81"/>
        <v>1</v>
      </c>
      <c r="H405" s="635"/>
      <c r="I405" s="21">
        <f t="shared" si="82"/>
        <v>1</v>
      </c>
      <c r="J405" s="635"/>
      <c r="K405" s="21">
        <f t="shared" si="83"/>
        <v>1</v>
      </c>
      <c r="L405" s="635"/>
      <c r="M405" s="21">
        <f t="shared" si="84"/>
        <v>1</v>
      </c>
      <c r="N405" s="635"/>
      <c r="O405" s="21">
        <f t="shared" si="85"/>
        <v>1</v>
      </c>
      <c r="P405" s="635"/>
      <c r="Q405" s="21">
        <f t="shared" si="86"/>
        <v>1</v>
      </c>
      <c r="R405" s="21">
        <f t="shared" si="87"/>
        <v>0</v>
      </c>
      <c r="S405" s="308">
        <f t="shared" si="88"/>
        <v>0</v>
      </c>
    </row>
    <row r="406" spans="1:19">
      <c r="A406" s="142"/>
      <c r="B406" s="52"/>
      <c r="C406" s="21">
        <f t="shared" si="79"/>
        <v>1</v>
      </c>
      <c r="D406" s="635"/>
      <c r="E406" s="21">
        <f t="shared" si="80"/>
        <v>0.02</v>
      </c>
      <c r="F406" s="635"/>
      <c r="G406" s="21">
        <f t="shared" si="81"/>
        <v>1</v>
      </c>
      <c r="H406" s="635"/>
      <c r="I406" s="21">
        <f t="shared" si="82"/>
        <v>1</v>
      </c>
      <c r="J406" s="635"/>
      <c r="K406" s="21">
        <f t="shared" si="83"/>
        <v>1</v>
      </c>
      <c r="L406" s="635"/>
      <c r="M406" s="21">
        <f t="shared" si="84"/>
        <v>1</v>
      </c>
      <c r="N406" s="635"/>
      <c r="O406" s="21">
        <f t="shared" si="85"/>
        <v>1</v>
      </c>
      <c r="P406" s="635"/>
      <c r="Q406" s="21">
        <f t="shared" si="86"/>
        <v>1</v>
      </c>
      <c r="R406" s="21">
        <f t="shared" si="87"/>
        <v>0</v>
      </c>
      <c r="S406" s="308">
        <f t="shared" si="88"/>
        <v>0</v>
      </c>
    </row>
    <row r="407" spans="1:19">
      <c r="A407" s="142"/>
      <c r="B407" s="52"/>
      <c r="C407" s="21">
        <f t="shared" si="79"/>
        <v>1</v>
      </c>
      <c r="D407" s="635"/>
      <c r="E407" s="21">
        <f t="shared" si="80"/>
        <v>0.02</v>
      </c>
      <c r="F407" s="635"/>
      <c r="G407" s="21">
        <f t="shared" si="81"/>
        <v>1</v>
      </c>
      <c r="H407" s="635"/>
      <c r="I407" s="21">
        <f t="shared" si="82"/>
        <v>1</v>
      </c>
      <c r="J407" s="635"/>
      <c r="K407" s="21">
        <f t="shared" si="83"/>
        <v>1</v>
      </c>
      <c r="L407" s="635"/>
      <c r="M407" s="21">
        <f t="shared" si="84"/>
        <v>1</v>
      </c>
      <c r="N407" s="635"/>
      <c r="O407" s="21">
        <f t="shared" si="85"/>
        <v>1</v>
      </c>
      <c r="P407" s="635"/>
      <c r="Q407" s="21">
        <f t="shared" si="86"/>
        <v>1</v>
      </c>
      <c r="R407" s="21">
        <f t="shared" si="87"/>
        <v>0</v>
      </c>
      <c r="S407" s="308">
        <f t="shared" si="88"/>
        <v>0</v>
      </c>
    </row>
    <row r="408" spans="1:19">
      <c r="A408" s="142"/>
      <c r="B408" s="52"/>
      <c r="C408" s="21">
        <f t="shared" si="79"/>
        <v>1</v>
      </c>
      <c r="D408" s="635"/>
      <c r="E408" s="21">
        <f t="shared" si="80"/>
        <v>0.02</v>
      </c>
      <c r="F408" s="635"/>
      <c r="G408" s="21">
        <f t="shared" si="81"/>
        <v>1</v>
      </c>
      <c r="H408" s="635"/>
      <c r="I408" s="21">
        <f t="shared" si="82"/>
        <v>1</v>
      </c>
      <c r="J408" s="635"/>
      <c r="K408" s="21">
        <f t="shared" si="83"/>
        <v>1</v>
      </c>
      <c r="L408" s="635"/>
      <c r="M408" s="21">
        <f t="shared" si="84"/>
        <v>1</v>
      </c>
      <c r="N408" s="635"/>
      <c r="O408" s="21">
        <f t="shared" si="85"/>
        <v>1</v>
      </c>
      <c r="P408" s="635"/>
      <c r="Q408" s="21">
        <f t="shared" si="86"/>
        <v>1</v>
      </c>
      <c r="R408" s="21">
        <f t="shared" si="87"/>
        <v>0</v>
      </c>
      <c r="S408" s="308">
        <f t="shared" si="88"/>
        <v>0</v>
      </c>
    </row>
    <row r="409" spans="1:19">
      <c r="A409" s="142"/>
      <c r="B409" s="52"/>
      <c r="C409" s="21">
        <f t="shared" si="79"/>
        <v>1</v>
      </c>
      <c r="D409" s="635"/>
      <c r="E409" s="21">
        <f t="shared" si="80"/>
        <v>0.02</v>
      </c>
      <c r="F409" s="635"/>
      <c r="G409" s="21">
        <f t="shared" si="81"/>
        <v>1</v>
      </c>
      <c r="H409" s="635"/>
      <c r="I409" s="21">
        <f t="shared" si="82"/>
        <v>1</v>
      </c>
      <c r="J409" s="635"/>
      <c r="K409" s="21">
        <f t="shared" si="83"/>
        <v>1</v>
      </c>
      <c r="L409" s="635"/>
      <c r="M409" s="21">
        <f t="shared" si="84"/>
        <v>1</v>
      </c>
      <c r="N409" s="635"/>
      <c r="O409" s="21">
        <f t="shared" si="85"/>
        <v>1</v>
      </c>
      <c r="P409" s="635"/>
      <c r="Q409" s="21">
        <f t="shared" si="86"/>
        <v>1</v>
      </c>
      <c r="R409" s="21">
        <f t="shared" si="87"/>
        <v>0</v>
      </c>
      <c r="S409" s="308">
        <f t="shared" si="88"/>
        <v>0</v>
      </c>
    </row>
    <row r="410" spans="1:19">
      <c r="A410" s="142"/>
      <c r="B410" s="52"/>
      <c r="C410" s="21">
        <f t="shared" ref="C410:C473" si="89">IF(B410="",1,(LOOKUP(B410,$3:$3,$4:$4)-LOOKUP($B$24,$3:$3,$4:$4)+100)/100)</f>
        <v>1</v>
      </c>
      <c r="D410" s="635"/>
      <c r="E410" s="21">
        <f t="shared" ref="E410:E473" si="90">(SUMIF($5:$5,D410,$6:$6)-SUMIF($5:$5,$D$24,$6:$6)+100)/100</f>
        <v>0.02</v>
      </c>
      <c r="F410" s="635"/>
      <c r="G410" s="21">
        <f t="shared" ref="G410:G473" si="91">(SUMIF($7:$7,F410,$8:$8)-SUMIF($7:$7,$F$24,$8:$8)+100)/100</f>
        <v>1</v>
      </c>
      <c r="H410" s="635"/>
      <c r="I410" s="21">
        <f t="shared" ref="I410:I473" si="92">(SUMIF($9:$9,H410,$10:$10)-SUMIF($9:$9,$H$24,$10:$10)+100)/100</f>
        <v>1</v>
      </c>
      <c r="J410" s="635"/>
      <c r="K410" s="21">
        <f t="shared" ref="K410:K473" si="93">(SUMIF($11:$11,J410,$12:$12)-SUMIF($11:$11,$J$24,$12:$12)+100)/100</f>
        <v>1</v>
      </c>
      <c r="L410" s="635"/>
      <c r="M410" s="21">
        <f t="shared" ref="M410:M473" si="94">(SUMIF($13:$13,L410,$14:$14)-SUMIF($13:$13,$L$24,$14:$14)+100)/100</f>
        <v>1</v>
      </c>
      <c r="N410" s="635"/>
      <c r="O410" s="21">
        <f t="shared" ref="O410:O473" si="95">(SUMIF($15:$15,N410,$16:$16)-SUMIF($15:$15,$N$24,$16:$16)+100)/100</f>
        <v>1</v>
      </c>
      <c r="P410" s="635"/>
      <c r="Q410" s="21">
        <f t="shared" ref="Q410:Q473" si="96">(SUMIF($17:$17,P410,$18:$18)-SUMIF($17:$17,$P$24,$18:$18)+100)/100</f>
        <v>1</v>
      </c>
      <c r="R410" s="21">
        <f t="shared" ref="R410:R473" si="97">IF(B410="",0,ROUND($R$24*C410*E410*G410*I410*K410*M410*O410*Q410,0))</f>
        <v>0</v>
      </c>
      <c r="S410" s="308">
        <f t="shared" si="88"/>
        <v>0</v>
      </c>
    </row>
    <row r="411" spans="1:19">
      <c r="A411" s="142"/>
      <c r="B411" s="52"/>
      <c r="C411" s="21">
        <f t="shared" si="89"/>
        <v>1</v>
      </c>
      <c r="D411" s="635"/>
      <c r="E411" s="21">
        <f t="shared" si="90"/>
        <v>0.02</v>
      </c>
      <c r="F411" s="635"/>
      <c r="G411" s="21">
        <f t="shared" si="91"/>
        <v>1</v>
      </c>
      <c r="H411" s="635"/>
      <c r="I411" s="21">
        <f t="shared" si="92"/>
        <v>1</v>
      </c>
      <c r="J411" s="635"/>
      <c r="K411" s="21">
        <f t="shared" si="93"/>
        <v>1</v>
      </c>
      <c r="L411" s="635"/>
      <c r="M411" s="21">
        <f t="shared" si="94"/>
        <v>1</v>
      </c>
      <c r="N411" s="635"/>
      <c r="O411" s="21">
        <f t="shared" si="95"/>
        <v>1</v>
      </c>
      <c r="P411" s="635"/>
      <c r="Q411" s="21">
        <f t="shared" si="96"/>
        <v>1</v>
      </c>
      <c r="R411" s="21">
        <f t="shared" si="97"/>
        <v>0</v>
      </c>
      <c r="S411" s="308">
        <f t="shared" si="88"/>
        <v>0</v>
      </c>
    </row>
    <row r="412" spans="1:19">
      <c r="A412" s="142"/>
      <c r="B412" s="52"/>
      <c r="C412" s="21">
        <f t="shared" si="89"/>
        <v>1</v>
      </c>
      <c r="D412" s="635"/>
      <c r="E412" s="21">
        <f t="shared" si="90"/>
        <v>0.02</v>
      </c>
      <c r="F412" s="635"/>
      <c r="G412" s="21">
        <f t="shared" si="91"/>
        <v>1</v>
      </c>
      <c r="H412" s="635"/>
      <c r="I412" s="21">
        <f t="shared" si="92"/>
        <v>1</v>
      </c>
      <c r="J412" s="635"/>
      <c r="K412" s="21">
        <f t="shared" si="93"/>
        <v>1</v>
      </c>
      <c r="L412" s="635"/>
      <c r="M412" s="21">
        <f t="shared" si="94"/>
        <v>1</v>
      </c>
      <c r="N412" s="635"/>
      <c r="O412" s="21">
        <f t="shared" si="95"/>
        <v>1</v>
      </c>
      <c r="P412" s="635"/>
      <c r="Q412" s="21">
        <f t="shared" si="96"/>
        <v>1</v>
      </c>
      <c r="R412" s="21">
        <f t="shared" si="97"/>
        <v>0</v>
      </c>
      <c r="S412" s="308">
        <f t="shared" si="88"/>
        <v>0</v>
      </c>
    </row>
    <row r="413" spans="1:19">
      <c r="A413" s="142"/>
      <c r="B413" s="52"/>
      <c r="C413" s="21">
        <f t="shared" si="89"/>
        <v>1</v>
      </c>
      <c r="D413" s="635"/>
      <c r="E413" s="21">
        <f t="shared" si="90"/>
        <v>0.02</v>
      </c>
      <c r="F413" s="635"/>
      <c r="G413" s="21">
        <f t="shared" si="91"/>
        <v>1</v>
      </c>
      <c r="H413" s="635"/>
      <c r="I413" s="21">
        <f t="shared" si="92"/>
        <v>1</v>
      </c>
      <c r="J413" s="635"/>
      <c r="K413" s="21">
        <f t="shared" si="93"/>
        <v>1</v>
      </c>
      <c r="L413" s="635"/>
      <c r="M413" s="21">
        <f t="shared" si="94"/>
        <v>1</v>
      </c>
      <c r="N413" s="635"/>
      <c r="O413" s="21">
        <f t="shared" si="95"/>
        <v>1</v>
      </c>
      <c r="P413" s="635"/>
      <c r="Q413" s="21">
        <f t="shared" si="96"/>
        <v>1</v>
      </c>
      <c r="R413" s="21">
        <f t="shared" si="97"/>
        <v>0</v>
      </c>
      <c r="S413" s="308">
        <f t="shared" si="88"/>
        <v>0</v>
      </c>
    </row>
    <row r="414" spans="1:19">
      <c r="A414" s="142"/>
      <c r="B414" s="52"/>
      <c r="C414" s="21">
        <f t="shared" si="89"/>
        <v>1</v>
      </c>
      <c r="D414" s="635"/>
      <c r="E414" s="21">
        <f t="shared" si="90"/>
        <v>0.02</v>
      </c>
      <c r="F414" s="635"/>
      <c r="G414" s="21">
        <f t="shared" si="91"/>
        <v>1</v>
      </c>
      <c r="H414" s="635"/>
      <c r="I414" s="21">
        <f t="shared" si="92"/>
        <v>1</v>
      </c>
      <c r="J414" s="635"/>
      <c r="K414" s="21">
        <f t="shared" si="93"/>
        <v>1</v>
      </c>
      <c r="L414" s="635"/>
      <c r="M414" s="21">
        <f t="shared" si="94"/>
        <v>1</v>
      </c>
      <c r="N414" s="635"/>
      <c r="O414" s="21">
        <f t="shared" si="95"/>
        <v>1</v>
      </c>
      <c r="P414" s="635"/>
      <c r="Q414" s="21">
        <f t="shared" si="96"/>
        <v>1</v>
      </c>
      <c r="R414" s="21">
        <f t="shared" si="97"/>
        <v>0</v>
      </c>
      <c r="S414" s="308">
        <f t="shared" si="88"/>
        <v>0</v>
      </c>
    </row>
    <row r="415" spans="1:19">
      <c r="A415" s="142"/>
      <c r="B415" s="52"/>
      <c r="C415" s="21">
        <f t="shared" si="89"/>
        <v>1</v>
      </c>
      <c r="D415" s="635"/>
      <c r="E415" s="21">
        <f t="shared" si="90"/>
        <v>0.02</v>
      </c>
      <c r="F415" s="635"/>
      <c r="G415" s="21">
        <f t="shared" si="91"/>
        <v>1</v>
      </c>
      <c r="H415" s="635"/>
      <c r="I415" s="21">
        <f t="shared" si="92"/>
        <v>1</v>
      </c>
      <c r="J415" s="635"/>
      <c r="K415" s="21">
        <f t="shared" si="93"/>
        <v>1</v>
      </c>
      <c r="L415" s="635"/>
      <c r="M415" s="21">
        <f t="shared" si="94"/>
        <v>1</v>
      </c>
      <c r="N415" s="635"/>
      <c r="O415" s="21">
        <f t="shared" si="95"/>
        <v>1</v>
      </c>
      <c r="P415" s="635"/>
      <c r="Q415" s="21">
        <f t="shared" si="96"/>
        <v>1</v>
      </c>
      <c r="R415" s="21">
        <f t="shared" si="97"/>
        <v>0</v>
      </c>
      <c r="S415" s="308">
        <f t="shared" si="88"/>
        <v>0</v>
      </c>
    </row>
    <row r="416" spans="1:19">
      <c r="A416" s="142"/>
      <c r="B416" s="52"/>
      <c r="C416" s="21">
        <f t="shared" si="89"/>
        <v>1</v>
      </c>
      <c r="D416" s="635"/>
      <c r="E416" s="21">
        <f t="shared" si="90"/>
        <v>0.02</v>
      </c>
      <c r="F416" s="635"/>
      <c r="G416" s="21">
        <f t="shared" si="91"/>
        <v>1</v>
      </c>
      <c r="H416" s="635"/>
      <c r="I416" s="21">
        <f t="shared" si="92"/>
        <v>1</v>
      </c>
      <c r="J416" s="635"/>
      <c r="K416" s="21">
        <f t="shared" si="93"/>
        <v>1</v>
      </c>
      <c r="L416" s="635"/>
      <c r="M416" s="21">
        <f t="shared" si="94"/>
        <v>1</v>
      </c>
      <c r="N416" s="635"/>
      <c r="O416" s="21">
        <f t="shared" si="95"/>
        <v>1</v>
      </c>
      <c r="P416" s="635"/>
      <c r="Q416" s="21">
        <f t="shared" si="96"/>
        <v>1</v>
      </c>
      <c r="R416" s="21">
        <f t="shared" si="97"/>
        <v>0</v>
      </c>
      <c r="S416" s="308">
        <f t="shared" si="88"/>
        <v>0</v>
      </c>
    </row>
    <row r="417" spans="1:19">
      <c r="A417" s="142"/>
      <c r="B417" s="52"/>
      <c r="C417" s="21">
        <f t="shared" si="89"/>
        <v>1</v>
      </c>
      <c r="D417" s="635"/>
      <c r="E417" s="21">
        <f t="shared" si="90"/>
        <v>0.02</v>
      </c>
      <c r="F417" s="635"/>
      <c r="G417" s="21">
        <f t="shared" si="91"/>
        <v>1</v>
      </c>
      <c r="H417" s="635"/>
      <c r="I417" s="21">
        <f t="shared" si="92"/>
        <v>1</v>
      </c>
      <c r="J417" s="635"/>
      <c r="K417" s="21">
        <f t="shared" si="93"/>
        <v>1</v>
      </c>
      <c r="L417" s="635"/>
      <c r="M417" s="21">
        <f t="shared" si="94"/>
        <v>1</v>
      </c>
      <c r="N417" s="635"/>
      <c r="O417" s="21">
        <f t="shared" si="95"/>
        <v>1</v>
      </c>
      <c r="P417" s="635"/>
      <c r="Q417" s="21">
        <f t="shared" si="96"/>
        <v>1</v>
      </c>
      <c r="R417" s="21">
        <f t="shared" si="97"/>
        <v>0</v>
      </c>
      <c r="S417" s="308">
        <f t="shared" si="88"/>
        <v>0</v>
      </c>
    </row>
    <row r="418" spans="1:19">
      <c r="A418" s="142"/>
      <c r="B418" s="52"/>
      <c r="C418" s="21">
        <f t="shared" si="89"/>
        <v>1</v>
      </c>
      <c r="D418" s="635"/>
      <c r="E418" s="21">
        <f t="shared" si="90"/>
        <v>0.02</v>
      </c>
      <c r="F418" s="635"/>
      <c r="G418" s="21">
        <f t="shared" si="91"/>
        <v>1</v>
      </c>
      <c r="H418" s="635"/>
      <c r="I418" s="21">
        <f t="shared" si="92"/>
        <v>1</v>
      </c>
      <c r="J418" s="635"/>
      <c r="K418" s="21">
        <f t="shared" si="93"/>
        <v>1</v>
      </c>
      <c r="L418" s="635"/>
      <c r="M418" s="21">
        <f t="shared" si="94"/>
        <v>1</v>
      </c>
      <c r="N418" s="635"/>
      <c r="O418" s="21">
        <f t="shared" si="95"/>
        <v>1</v>
      </c>
      <c r="P418" s="635"/>
      <c r="Q418" s="21">
        <f t="shared" si="96"/>
        <v>1</v>
      </c>
      <c r="R418" s="21">
        <f t="shared" si="97"/>
        <v>0</v>
      </c>
      <c r="S418" s="308">
        <f t="shared" si="88"/>
        <v>0</v>
      </c>
    </row>
    <row r="419" spans="1:19">
      <c r="A419" s="142"/>
      <c r="B419" s="52"/>
      <c r="C419" s="21">
        <f t="shared" si="89"/>
        <v>1</v>
      </c>
      <c r="D419" s="635"/>
      <c r="E419" s="21">
        <f t="shared" si="90"/>
        <v>0.02</v>
      </c>
      <c r="F419" s="635"/>
      <c r="G419" s="21">
        <f t="shared" si="91"/>
        <v>1</v>
      </c>
      <c r="H419" s="635"/>
      <c r="I419" s="21">
        <f t="shared" si="92"/>
        <v>1</v>
      </c>
      <c r="J419" s="635"/>
      <c r="K419" s="21">
        <f t="shared" si="93"/>
        <v>1</v>
      </c>
      <c r="L419" s="635"/>
      <c r="M419" s="21">
        <f t="shared" si="94"/>
        <v>1</v>
      </c>
      <c r="N419" s="635"/>
      <c r="O419" s="21">
        <f t="shared" si="95"/>
        <v>1</v>
      </c>
      <c r="P419" s="635"/>
      <c r="Q419" s="21">
        <f t="shared" si="96"/>
        <v>1</v>
      </c>
      <c r="R419" s="21">
        <f t="shared" si="97"/>
        <v>0</v>
      </c>
      <c r="S419" s="308">
        <f t="shared" si="88"/>
        <v>0</v>
      </c>
    </row>
    <row r="420" spans="1:19">
      <c r="A420" s="142"/>
      <c r="B420" s="52"/>
      <c r="C420" s="21">
        <f t="shared" si="89"/>
        <v>1</v>
      </c>
      <c r="D420" s="635"/>
      <c r="E420" s="21">
        <f t="shared" si="90"/>
        <v>0.02</v>
      </c>
      <c r="F420" s="635"/>
      <c r="G420" s="21">
        <f t="shared" si="91"/>
        <v>1</v>
      </c>
      <c r="H420" s="635"/>
      <c r="I420" s="21">
        <f t="shared" si="92"/>
        <v>1</v>
      </c>
      <c r="J420" s="635"/>
      <c r="K420" s="21">
        <f t="shared" si="93"/>
        <v>1</v>
      </c>
      <c r="L420" s="635"/>
      <c r="M420" s="21">
        <f t="shared" si="94"/>
        <v>1</v>
      </c>
      <c r="N420" s="635"/>
      <c r="O420" s="21">
        <f t="shared" si="95"/>
        <v>1</v>
      </c>
      <c r="P420" s="635"/>
      <c r="Q420" s="21">
        <f t="shared" si="96"/>
        <v>1</v>
      </c>
      <c r="R420" s="21">
        <f t="shared" si="97"/>
        <v>0</v>
      </c>
      <c r="S420" s="308">
        <f t="shared" si="88"/>
        <v>0</v>
      </c>
    </row>
    <row r="421" spans="1:19">
      <c r="A421" s="142"/>
      <c r="B421" s="52"/>
      <c r="C421" s="21">
        <f t="shared" si="89"/>
        <v>1</v>
      </c>
      <c r="D421" s="635"/>
      <c r="E421" s="21">
        <f t="shared" si="90"/>
        <v>0.02</v>
      </c>
      <c r="F421" s="635"/>
      <c r="G421" s="21">
        <f t="shared" si="91"/>
        <v>1</v>
      </c>
      <c r="H421" s="635"/>
      <c r="I421" s="21">
        <f t="shared" si="92"/>
        <v>1</v>
      </c>
      <c r="J421" s="635"/>
      <c r="K421" s="21">
        <f t="shared" si="93"/>
        <v>1</v>
      </c>
      <c r="L421" s="635"/>
      <c r="M421" s="21">
        <f t="shared" si="94"/>
        <v>1</v>
      </c>
      <c r="N421" s="635"/>
      <c r="O421" s="21">
        <f t="shared" si="95"/>
        <v>1</v>
      </c>
      <c r="P421" s="635"/>
      <c r="Q421" s="21">
        <f t="shared" si="96"/>
        <v>1</v>
      </c>
      <c r="R421" s="21">
        <f t="shared" si="97"/>
        <v>0</v>
      </c>
      <c r="S421" s="308">
        <f t="shared" si="88"/>
        <v>0</v>
      </c>
    </row>
    <row r="422" spans="1:19">
      <c r="A422" s="142"/>
      <c r="B422" s="52"/>
      <c r="C422" s="21">
        <f t="shared" si="89"/>
        <v>1</v>
      </c>
      <c r="D422" s="635"/>
      <c r="E422" s="21">
        <f t="shared" si="90"/>
        <v>0.02</v>
      </c>
      <c r="F422" s="635"/>
      <c r="G422" s="21">
        <f t="shared" si="91"/>
        <v>1</v>
      </c>
      <c r="H422" s="635"/>
      <c r="I422" s="21">
        <f t="shared" si="92"/>
        <v>1</v>
      </c>
      <c r="J422" s="635"/>
      <c r="K422" s="21">
        <f t="shared" si="93"/>
        <v>1</v>
      </c>
      <c r="L422" s="635"/>
      <c r="M422" s="21">
        <f t="shared" si="94"/>
        <v>1</v>
      </c>
      <c r="N422" s="635"/>
      <c r="O422" s="21">
        <f t="shared" si="95"/>
        <v>1</v>
      </c>
      <c r="P422" s="635"/>
      <c r="Q422" s="21">
        <f t="shared" si="96"/>
        <v>1</v>
      </c>
      <c r="R422" s="21">
        <f t="shared" si="97"/>
        <v>0</v>
      </c>
      <c r="S422" s="308">
        <f t="shared" si="88"/>
        <v>0</v>
      </c>
    </row>
    <row r="423" spans="1:19">
      <c r="A423" s="142"/>
      <c r="B423" s="52"/>
      <c r="C423" s="21">
        <f t="shared" si="89"/>
        <v>1</v>
      </c>
      <c r="D423" s="635"/>
      <c r="E423" s="21">
        <f t="shared" si="90"/>
        <v>0.02</v>
      </c>
      <c r="F423" s="635"/>
      <c r="G423" s="21">
        <f t="shared" si="91"/>
        <v>1</v>
      </c>
      <c r="H423" s="635"/>
      <c r="I423" s="21">
        <f t="shared" si="92"/>
        <v>1</v>
      </c>
      <c r="J423" s="635"/>
      <c r="K423" s="21">
        <f t="shared" si="93"/>
        <v>1</v>
      </c>
      <c r="L423" s="635"/>
      <c r="M423" s="21">
        <f t="shared" si="94"/>
        <v>1</v>
      </c>
      <c r="N423" s="635"/>
      <c r="O423" s="21">
        <f t="shared" si="95"/>
        <v>1</v>
      </c>
      <c r="P423" s="635"/>
      <c r="Q423" s="21">
        <f t="shared" si="96"/>
        <v>1</v>
      </c>
      <c r="R423" s="21">
        <f t="shared" si="97"/>
        <v>0</v>
      </c>
      <c r="S423" s="308">
        <f t="shared" ref="S423:S467" si="98">ROUND(R423*B423/10000,0)</f>
        <v>0</v>
      </c>
    </row>
    <row r="424" spans="1:19">
      <c r="A424" s="142"/>
      <c r="B424" s="52"/>
      <c r="C424" s="21">
        <f t="shared" si="89"/>
        <v>1</v>
      </c>
      <c r="D424" s="635"/>
      <c r="E424" s="21">
        <f t="shared" si="90"/>
        <v>0.02</v>
      </c>
      <c r="F424" s="635"/>
      <c r="G424" s="21">
        <f t="shared" si="91"/>
        <v>1</v>
      </c>
      <c r="H424" s="635"/>
      <c r="I424" s="21">
        <f t="shared" si="92"/>
        <v>1</v>
      </c>
      <c r="J424" s="635"/>
      <c r="K424" s="21">
        <f t="shared" si="93"/>
        <v>1</v>
      </c>
      <c r="L424" s="635"/>
      <c r="M424" s="21">
        <f t="shared" si="94"/>
        <v>1</v>
      </c>
      <c r="N424" s="635"/>
      <c r="O424" s="21">
        <f t="shared" si="95"/>
        <v>1</v>
      </c>
      <c r="P424" s="635"/>
      <c r="Q424" s="21">
        <f t="shared" si="96"/>
        <v>1</v>
      </c>
      <c r="R424" s="21">
        <f t="shared" si="97"/>
        <v>0</v>
      </c>
      <c r="S424" s="308">
        <f t="shared" si="98"/>
        <v>0</v>
      </c>
    </row>
    <row r="425" spans="1:19">
      <c r="A425" s="142"/>
      <c r="B425" s="52"/>
      <c r="C425" s="21">
        <f t="shared" si="89"/>
        <v>1</v>
      </c>
      <c r="D425" s="635"/>
      <c r="E425" s="21">
        <f t="shared" si="90"/>
        <v>0.02</v>
      </c>
      <c r="F425" s="635"/>
      <c r="G425" s="21">
        <f t="shared" si="91"/>
        <v>1</v>
      </c>
      <c r="H425" s="635"/>
      <c r="I425" s="21">
        <f t="shared" si="92"/>
        <v>1</v>
      </c>
      <c r="J425" s="635"/>
      <c r="K425" s="21">
        <f t="shared" si="93"/>
        <v>1</v>
      </c>
      <c r="L425" s="635"/>
      <c r="M425" s="21">
        <f t="shared" si="94"/>
        <v>1</v>
      </c>
      <c r="N425" s="635"/>
      <c r="O425" s="21">
        <f t="shared" si="95"/>
        <v>1</v>
      </c>
      <c r="P425" s="635"/>
      <c r="Q425" s="21">
        <f t="shared" si="96"/>
        <v>1</v>
      </c>
      <c r="R425" s="21">
        <f t="shared" si="97"/>
        <v>0</v>
      </c>
      <c r="S425" s="308">
        <f t="shared" si="98"/>
        <v>0</v>
      </c>
    </row>
    <row r="426" spans="1:19">
      <c r="A426" s="142"/>
      <c r="B426" s="52"/>
      <c r="C426" s="21">
        <f t="shared" si="89"/>
        <v>1</v>
      </c>
      <c r="D426" s="635"/>
      <c r="E426" s="21">
        <f t="shared" si="90"/>
        <v>0.02</v>
      </c>
      <c r="F426" s="635"/>
      <c r="G426" s="21">
        <f t="shared" si="91"/>
        <v>1</v>
      </c>
      <c r="H426" s="635"/>
      <c r="I426" s="21">
        <f t="shared" si="92"/>
        <v>1</v>
      </c>
      <c r="J426" s="635"/>
      <c r="K426" s="21">
        <f t="shared" si="93"/>
        <v>1</v>
      </c>
      <c r="L426" s="635"/>
      <c r="M426" s="21">
        <f t="shared" si="94"/>
        <v>1</v>
      </c>
      <c r="N426" s="635"/>
      <c r="O426" s="21">
        <f t="shared" si="95"/>
        <v>1</v>
      </c>
      <c r="P426" s="635"/>
      <c r="Q426" s="21">
        <f t="shared" si="96"/>
        <v>1</v>
      </c>
      <c r="R426" s="21">
        <f t="shared" si="97"/>
        <v>0</v>
      </c>
      <c r="S426" s="308">
        <f t="shared" si="98"/>
        <v>0</v>
      </c>
    </row>
    <row r="427" spans="1:19">
      <c r="A427" s="142"/>
      <c r="B427" s="52"/>
      <c r="C427" s="21">
        <f t="shared" si="89"/>
        <v>1</v>
      </c>
      <c r="D427" s="635"/>
      <c r="E427" s="21">
        <f t="shared" si="90"/>
        <v>0.02</v>
      </c>
      <c r="F427" s="635"/>
      <c r="G427" s="21">
        <f t="shared" si="91"/>
        <v>1</v>
      </c>
      <c r="H427" s="635"/>
      <c r="I427" s="21">
        <f t="shared" si="92"/>
        <v>1</v>
      </c>
      <c r="J427" s="635"/>
      <c r="K427" s="21">
        <f t="shared" si="93"/>
        <v>1</v>
      </c>
      <c r="L427" s="635"/>
      <c r="M427" s="21">
        <f t="shared" si="94"/>
        <v>1</v>
      </c>
      <c r="N427" s="635"/>
      <c r="O427" s="21">
        <f t="shared" si="95"/>
        <v>1</v>
      </c>
      <c r="P427" s="635"/>
      <c r="Q427" s="21">
        <f t="shared" si="96"/>
        <v>1</v>
      </c>
      <c r="R427" s="21">
        <f t="shared" si="97"/>
        <v>0</v>
      </c>
      <c r="S427" s="308">
        <f t="shared" si="98"/>
        <v>0</v>
      </c>
    </row>
    <row r="428" spans="1:19">
      <c r="A428" s="142"/>
      <c r="B428" s="52"/>
      <c r="C428" s="21">
        <f t="shared" si="89"/>
        <v>1</v>
      </c>
      <c r="D428" s="635"/>
      <c r="E428" s="21">
        <f t="shared" si="90"/>
        <v>0.02</v>
      </c>
      <c r="F428" s="635"/>
      <c r="G428" s="21">
        <f t="shared" si="91"/>
        <v>1</v>
      </c>
      <c r="H428" s="635"/>
      <c r="I428" s="21">
        <f t="shared" si="92"/>
        <v>1</v>
      </c>
      <c r="J428" s="635"/>
      <c r="K428" s="21">
        <f t="shared" si="93"/>
        <v>1</v>
      </c>
      <c r="L428" s="635"/>
      <c r="M428" s="21">
        <f t="shared" si="94"/>
        <v>1</v>
      </c>
      <c r="N428" s="635"/>
      <c r="O428" s="21">
        <f t="shared" si="95"/>
        <v>1</v>
      </c>
      <c r="P428" s="635"/>
      <c r="Q428" s="21">
        <f t="shared" si="96"/>
        <v>1</v>
      </c>
      <c r="R428" s="21">
        <f t="shared" si="97"/>
        <v>0</v>
      </c>
      <c r="S428" s="308">
        <f t="shared" si="98"/>
        <v>0</v>
      </c>
    </row>
    <row r="429" spans="1:19">
      <c r="A429" s="142"/>
      <c r="B429" s="52"/>
      <c r="C429" s="21">
        <f t="shared" si="89"/>
        <v>1</v>
      </c>
      <c r="D429" s="635"/>
      <c r="E429" s="21">
        <f t="shared" si="90"/>
        <v>0.02</v>
      </c>
      <c r="F429" s="635"/>
      <c r="G429" s="21">
        <f t="shared" si="91"/>
        <v>1</v>
      </c>
      <c r="H429" s="635"/>
      <c r="I429" s="21">
        <f t="shared" si="92"/>
        <v>1</v>
      </c>
      <c r="J429" s="635"/>
      <c r="K429" s="21">
        <f t="shared" si="93"/>
        <v>1</v>
      </c>
      <c r="L429" s="635"/>
      <c r="M429" s="21">
        <f t="shared" si="94"/>
        <v>1</v>
      </c>
      <c r="N429" s="635"/>
      <c r="O429" s="21">
        <f t="shared" si="95"/>
        <v>1</v>
      </c>
      <c r="P429" s="635"/>
      <c r="Q429" s="21">
        <f t="shared" si="96"/>
        <v>1</v>
      </c>
      <c r="R429" s="21">
        <f t="shared" si="97"/>
        <v>0</v>
      </c>
      <c r="S429" s="308">
        <f t="shared" si="98"/>
        <v>0</v>
      </c>
    </row>
    <row r="430" spans="1:19">
      <c r="A430" s="142"/>
      <c r="B430" s="52"/>
      <c r="C430" s="21">
        <f t="shared" si="89"/>
        <v>1</v>
      </c>
      <c r="D430" s="635"/>
      <c r="E430" s="21">
        <f t="shared" si="90"/>
        <v>0.02</v>
      </c>
      <c r="F430" s="635"/>
      <c r="G430" s="21">
        <f t="shared" si="91"/>
        <v>1</v>
      </c>
      <c r="H430" s="635"/>
      <c r="I430" s="21">
        <f t="shared" si="92"/>
        <v>1</v>
      </c>
      <c r="J430" s="635"/>
      <c r="K430" s="21">
        <f t="shared" si="93"/>
        <v>1</v>
      </c>
      <c r="L430" s="635"/>
      <c r="M430" s="21">
        <f t="shared" si="94"/>
        <v>1</v>
      </c>
      <c r="N430" s="635"/>
      <c r="O430" s="21">
        <f t="shared" si="95"/>
        <v>1</v>
      </c>
      <c r="P430" s="635"/>
      <c r="Q430" s="21">
        <f t="shared" si="96"/>
        <v>1</v>
      </c>
      <c r="R430" s="21">
        <f t="shared" si="97"/>
        <v>0</v>
      </c>
      <c r="S430" s="308">
        <f t="shared" si="98"/>
        <v>0</v>
      </c>
    </row>
    <row r="431" spans="1:19">
      <c r="A431" s="142"/>
      <c r="B431" s="52"/>
      <c r="C431" s="21">
        <f t="shared" si="89"/>
        <v>1</v>
      </c>
      <c r="D431" s="635"/>
      <c r="E431" s="21">
        <f t="shared" si="90"/>
        <v>0.02</v>
      </c>
      <c r="F431" s="635"/>
      <c r="G431" s="21">
        <f t="shared" si="91"/>
        <v>1</v>
      </c>
      <c r="H431" s="635"/>
      <c r="I431" s="21">
        <f t="shared" si="92"/>
        <v>1</v>
      </c>
      <c r="J431" s="635"/>
      <c r="K431" s="21">
        <f t="shared" si="93"/>
        <v>1</v>
      </c>
      <c r="L431" s="635"/>
      <c r="M431" s="21">
        <f t="shared" si="94"/>
        <v>1</v>
      </c>
      <c r="N431" s="635"/>
      <c r="O431" s="21">
        <f t="shared" si="95"/>
        <v>1</v>
      </c>
      <c r="P431" s="635"/>
      <c r="Q431" s="21">
        <f t="shared" si="96"/>
        <v>1</v>
      </c>
      <c r="R431" s="21">
        <f t="shared" si="97"/>
        <v>0</v>
      </c>
      <c r="S431" s="308">
        <f t="shared" si="98"/>
        <v>0</v>
      </c>
    </row>
    <row r="432" spans="1:19">
      <c r="A432" s="142"/>
      <c r="B432" s="52"/>
      <c r="C432" s="21">
        <f t="shared" si="89"/>
        <v>1</v>
      </c>
      <c r="D432" s="635"/>
      <c r="E432" s="21">
        <f t="shared" si="90"/>
        <v>0.02</v>
      </c>
      <c r="F432" s="635"/>
      <c r="G432" s="21">
        <f t="shared" si="91"/>
        <v>1</v>
      </c>
      <c r="H432" s="635"/>
      <c r="I432" s="21">
        <f t="shared" si="92"/>
        <v>1</v>
      </c>
      <c r="J432" s="635"/>
      <c r="K432" s="21">
        <f t="shared" si="93"/>
        <v>1</v>
      </c>
      <c r="L432" s="635"/>
      <c r="M432" s="21">
        <f t="shared" si="94"/>
        <v>1</v>
      </c>
      <c r="N432" s="635"/>
      <c r="O432" s="21">
        <f t="shared" si="95"/>
        <v>1</v>
      </c>
      <c r="P432" s="635"/>
      <c r="Q432" s="21">
        <f t="shared" si="96"/>
        <v>1</v>
      </c>
      <c r="R432" s="21">
        <f t="shared" si="97"/>
        <v>0</v>
      </c>
      <c r="S432" s="308">
        <f t="shared" si="98"/>
        <v>0</v>
      </c>
    </row>
    <row r="433" spans="1:19">
      <c r="A433" s="142"/>
      <c r="B433" s="52"/>
      <c r="C433" s="21">
        <f t="shared" si="89"/>
        <v>1</v>
      </c>
      <c r="D433" s="635"/>
      <c r="E433" s="21">
        <f t="shared" si="90"/>
        <v>0.02</v>
      </c>
      <c r="F433" s="635"/>
      <c r="G433" s="21">
        <f t="shared" si="91"/>
        <v>1</v>
      </c>
      <c r="H433" s="635"/>
      <c r="I433" s="21">
        <f t="shared" si="92"/>
        <v>1</v>
      </c>
      <c r="J433" s="635"/>
      <c r="K433" s="21">
        <f t="shared" si="93"/>
        <v>1</v>
      </c>
      <c r="L433" s="635"/>
      <c r="M433" s="21">
        <f t="shared" si="94"/>
        <v>1</v>
      </c>
      <c r="N433" s="635"/>
      <c r="O433" s="21">
        <f t="shared" si="95"/>
        <v>1</v>
      </c>
      <c r="P433" s="635"/>
      <c r="Q433" s="21">
        <f t="shared" si="96"/>
        <v>1</v>
      </c>
      <c r="R433" s="21">
        <f t="shared" si="97"/>
        <v>0</v>
      </c>
      <c r="S433" s="308">
        <f t="shared" si="98"/>
        <v>0</v>
      </c>
    </row>
    <row r="434" spans="1:19">
      <c r="A434" s="142"/>
      <c r="B434" s="52"/>
      <c r="C434" s="21">
        <f t="shared" si="89"/>
        <v>1</v>
      </c>
      <c r="D434" s="635"/>
      <c r="E434" s="21">
        <f t="shared" si="90"/>
        <v>0.02</v>
      </c>
      <c r="F434" s="635"/>
      <c r="G434" s="21">
        <f t="shared" si="91"/>
        <v>1</v>
      </c>
      <c r="H434" s="635"/>
      <c r="I434" s="21">
        <f t="shared" si="92"/>
        <v>1</v>
      </c>
      <c r="J434" s="635"/>
      <c r="K434" s="21">
        <f t="shared" si="93"/>
        <v>1</v>
      </c>
      <c r="L434" s="635"/>
      <c r="M434" s="21">
        <f t="shared" si="94"/>
        <v>1</v>
      </c>
      <c r="N434" s="635"/>
      <c r="O434" s="21">
        <f t="shared" si="95"/>
        <v>1</v>
      </c>
      <c r="P434" s="635"/>
      <c r="Q434" s="21">
        <f t="shared" si="96"/>
        <v>1</v>
      </c>
      <c r="R434" s="21">
        <f t="shared" si="97"/>
        <v>0</v>
      </c>
      <c r="S434" s="308">
        <f t="shared" si="98"/>
        <v>0</v>
      </c>
    </row>
    <row r="435" spans="1:19">
      <c r="A435" s="142"/>
      <c r="B435" s="52"/>
      <c r="C435" s="21">
        <f t="shared" si="89"/>
        <v>1</v>
      </c>
      <c r="D435" s="635"/>
      <c r="E435" s="21">
        <f t="shared" si="90"/>
        <v>0.02</v>
      </c>
      <c r="F435" s="635"/>
      <c r="G435" s="21">
        <f t="shared" si="91"/>
        <v>1</v>
      </c>
      <c r="H435" s="635"/>
      <c r="I435" s="21">
        <f t="shared" si="92"/>
        <v>1</v>
      </c>
      <c r="J435" s="635"/>
      <c r="K435" s="21">
        <f t="shared" si="93"/>
        <v>1</v>
      </c>
      <c r="L435" s="635"/>
      <c r="M435" s="21">
        <f t="shared" si="94"/>
        <v>1</v>
      </c>
      <c r="N435" s="635"/>
      <c r="O435" s="21">
        <f t="shared" si="95"/>
        <v>1</v>
      </c>
      <c r="P435" s="635"/>
      <c r="Q435" s="21">
        <f t="shared" si="96"/>
        <v>1</v>
      </c>
      <c r="R435" s="21">
        <f t="shared" si="97"/>
        <v>0</v>
      </c>
      <c r="S435" s="308">
        <f t="shared" si="98"/>
        <v>0</v>
      </c>
    </row>
    <row r="436" spans="1:19">
      <c r="A436" s="142"/>
      <c r="B436" s="52"/>
      <c r="C436" s="21">
        <f t="shared" si="89"/>
        <v>1</v>
      </c>
      <c r="D436" s="635"/>
      <c r="E436" s="21">
        <f t="shared" si="90"/>
        <v>0.02</v>
      </c>
      <c r="F436" s="635"/>
      <c r="G436" s="21">
        <f t="shared" si="91"/>
        <v>1</v>
      </c>
      <c r="H436" s="635"/>
      <c r="I436" s="21">
        <f t="shared" si="92"/>
        <v>1</v>
      </c>
      <c r="J436" s="635"/>
      <c r="K436" s="21">
        <f t="shared" si="93"/>
        <v>1</v>
      </c>
      <c r="L436" s="635"/>
      <c r="M436" s="21">
        <f t="shared" si="94"/>
        <v>1</v>
      </c>
      <c r="N436" s="635"/>
      <c r="O436" s="21">
        <f t="shared" si="95"/>
        <v>1</v>
      </c>
      <c r="P436" s="635"/>
      <c r="Q436" s="21">
        <f t="shared" si="96"/>
        <v>1</v>
      </c>
      <c r="R436" s="21">
        <f t="shared" si="97"/>
        <v>0</v>
      </c>
      <c r="S436" s="308">
        <f t="shared" si="98"/>
        <v>0</v>
      </c>
    </row>
    <row r="437" spans="1:19">
      <c r="A437" s="142"/>
      <c r="B437" s="52"/>
      <c r="C437" s="21">
        <f t="shared" si="89"/>
        <v>1</v>
      </c>
      <c r="D437" s="635"/>
      <c r="E437" s="21">
        <f t="shared" si="90"/>
        <v>0.02</v>
      </c>
      <c r="F437" s="635"/>
      <c r="G437" s="21">
        <f t="shared" si="91"/>
        <v>1</v>
      </c>
      <c r="H437" s="635"/>
      <c r="I437" s="21">
        <f t="shared" si="92"/>
        <v>1</v>
      </c>
      <c r="J437" s="635"/>
      <c r="K437" s="21">
        <f t="shared" si="93"/>
        <v>1</v>
      </c>
      <c r="L437" s="635"/>
      <c r="M437" s="21">
        <f t="shared" si="94"/>
        <v>1</v>
      </c>
      <c r="N437" s="635"/>
      <c r="O437" s="21">
        <f t="shared" si="95"/>
        <v>1</v>
      </c>
      <c r="P437" s="635"/>
      <c r="Q437" s="21">
        <f t="shared" si="96"/>
        <v>1</v>
      </c>
      <c r="R437" s="21">
        <f t="shared" si="97"/>
        <v>0</v>
      </c>
      <c r="S437" s="308">
        <f t="shared" si="98"/>
        <v>0</v>
      </c>
    </row>
    <row r="438" spans="1:19">
      <c r="A438" s="142"/>
      <c r="B438" s="52"/>
      <c r="C438" s="21">
        <f t="shared" si="89"/>
        <v>1</v>
      </c>
      <c r="D438" s="635"/>
      <c r="E438" s="21">
        <f t="shared" si="90"/>
        <v>0.02</v>
      </c>
      <c r="F438" s="635"/>
      <c r="G438" s="21">
        <f t="shared" si="91"/>
        <v>1</v>
      </c>
      <c r="H438" s="635"/>
      <c r="I438" s="21">
        <f t="shared" si="92"/>
        <v>1</v>
      </c>
      <c r="J438" s="635"/>
      <c r="K438" s="21">
        <f t="shared" si="93"/>
        <v>1</v>
      </c>
      <c r="L438" s="635"/>
      <c r="M438" s="21">
        <f t="shared" si="94"/>
        <v>1</v>
      </c>
      <c r="N438" s="635"/>
      <c r="O438" s="21">
        <f t="shared" si="95"/>
        <v>1</v>
      </c>
      <c r="P438" s="635"/>
      <c r="Q438" s="21">
        <f t="shared" si="96"/>
        <v>1</v>
      </c>
      <c r="R438" s="21">
        <f t="shared" si="97"/>
        <v>0</v>
      </c>
      <c r="S438" s="308">
        <f t="shared" si="98"/>
        <v>0</v>
      </c>
    </row>
    <row r="439" spans="1:19">
      <c r="A439" s="142"/>
      <c r="B439" s="52"/>
      <c r="C439" s="21">
        <f t="shared" si="89"/>
        <v>1</v>
      </c>
      <c r="D439" s="635"/>
      <c r="E439" s="21">
        <f t="shared" si="90"/>
        <v>0.02</v>
      </c>
      <c r="F439" s="635"/>
      <c r="G439" s="21">
        <f t="shared" si="91"/>
        <v>1</v>
      </c>
      <c r="H439" s="635"/>
      <c r="I439" s="21">
        <f t="shared" si="92"/>
        <v>1</v>
      </c>
      <c r="J439" s="635"/>
      <c r="K439" s="21">
        <f t="shared" si="93"/>
        <v>1</v>
      </c>
      <c r="L439" s="635"/>
      <c r="M439" s="21">
        <f t="shared" si="94"/>
        <v>1</v>
      </c>
      <c r="N439" s="635"/>
      <c r="O439" s="21">
        <f t="shared" si="95"/>
        <v>1</v>
      </c>
      <c r="P439" s="635"/>
      <c r="Q439" s="21">
        <f t="shared" si="96"/>
        <v>1</v>
      </c>
      <c r="R439" s="21">
        <f t="shared" si="97"/>
        <v>0</v>
      </c>
      <c r="S439" s="308">
        <f t="shared" si="98"/>
        <v>0</v>
      </c>
    </row>
    <row r="440" spans="1:19">
      <c r="A440" s="142"/>
      <c r="B440" s="52"/>
      <c r="C440" s="21">
        <f t="shared" si="89"/>
        <v>1</v>
      </c>
      <c r="D440" s="635"/>
      <c r="E440" s="21">
        <f t="shared" si="90"/>
        <v>0.02</v>
      </c>
      <c r="F440" s="635"/>
      <c r="G440" s="21">
        <f t="shared" si="91"/>
        <v>1</v>
      </c>
      <c r="H440" s="635"/>
      <c r="I440" s="21">
        <f t="shared" si="92"/>
        <v>1</v>
      </c>
      <c r="J440" s="635"/>
      <c r="K440" s="21">
        <f t="shared" si="93"/>
        <v>1</v>
      </c>
      <c r="L440" s="635"/>
      <c r="M440" s="21">
        <f t="shared" si="94"/>
        <v>1</v>
      </c>
      <c r="N440" s="635"/>
      <c r="O440" s="21">
        <f t="shared" si="95"/>
        <v>1</v>
      </c>
      <c r="P440" s="635"/>
      <c r="Q440" s="21">
        <f t="shared" si="96"/>
        <v>1</v>
      </c>
      <c r="R440" s="21">
        <f t="shared" si="97"/>
        <v>0</v>
      </c>
      <c r="S440" s="308">
        <f t="shared" si="98"/>
        <v>0</v>
      </c>
    </row>
    <row r="441" spans="1:19">
      <c r="A441" s="142"/>
      <c r="B441" s="52"/>
      <c r="C441" s="21">
        <f t="shared" si="89"/>
        <v>1</v>
      </c>
      <c r="D441" s="635"/>
      <c r="E441" s="21">
        <f t="shared" si="90"/>
        <v>0.02</v>
      </c>
      <c r="F441" s="635"/>
      <c r="G441" s="21">
        <f t="shared" si="91"/>
        <v>1</v>
      </c>
      <c r="H441" s="635"/>
      <c r="I441" s="21">
        <f t="shared" si="92"/>
        <v>1</v>
      </c>
      <c r="J441" s="635"/>
      <c r="K441" s="21">
        <f t="shared" si="93"/>
        <v>1</v>
      </c>
      <c r="L441" s="635"/>
      <c r="M441" s="21">
        <f t="shared" si="94"/>
        <v>1</v>
      </c>
      <c r="N441" s="635"/>
      <c r="O441" s="21">
        <f t="shared" si="95"/>
        <v>1</v>
      </c>
      <c r="P441" s="635"/>
      <c r="Q441" s="21">
        <f t="shared" si="96"/>
        <v>1</v>
      </c>
      <c r="R441" s="21">
        <f t="shared" si="97"/>
        <v>0</v>
      </c>
      <c r="S441" s="308">
        <f t="shared" si="98"/>
        <v>0</v>
      </c>
    </row>
    <row r="442" spans="1:19">
      <c r="A442" s="142"/>
      <c r="B442" s="52"/>
      <c r="C442" s="21">
        <f t="shared" si="89"/>
        <v>1</v>
      </c>
      <c r="D442" s="635"/>
      <c r="E442" s="21">
        <f t="shared" si="90"/>
        <v>0.02</v>
      </c>
      <c r="F442" s="635"/>
      <c r="G442" s="21">
        <f t="shared" si="91"/>
        <v>1</v>
      </c>
      <c r="H442" s="635"/>
      <c r="I442" s="21">
        <f t="shared" si="92"/>
        <v>1</v>
      </c>
      <c r="J442" s="635"/>
      <c r="K442" s="21">
        <f t="shared" si="93"/>
        <v>1</v>
      </c>
      <c r="L442" s="635"/>
      <c r="M442" s="21">
        <f t="shared" si="94"/>
        <v>1</v>
      </c>
      <c r="N442" s="635"/>
      <c r="O442" s="21">
        <f t="shared" si="95"/>
        <v>1</v>
      </c>
      <c r="P442" s="635"/>
      <c r="Q442" s="21">
        <f t="shared" si="96"/>
        <v>1</v>
      </c>
      <c r="R442" s="21">
        <f t="shared" si="97"/>
        <v>0</v>
      </c>
      <c r="S442" s="308">
        <f t="shared" si="98"/>
        <v>0</v>
      </c>
    </row>
    <row r="443" spans="1:19">
      <c r="A443" s="142"/>
      <c r="B443" s="52"/>
      <c r="C443" s="21">
        <f t="shared" si="89"/>
        <v>1</v>
      </c>
      <c r="D443" s="635"/>
      <c r="E443" s="21">
        <f t="shared" si="90"/>
        <v>0.02</v>
      </c>
      <c r="F443" s="635"/>
      <c r="G443" s="21">
        <f t="shared" si="91"/>
        <v>1</v>
      </c>
      <c r="H443" s="635"/>
      <c r="I443" s="21">
        <f t="shared" si="92"/>
        <v>1</v>
      </c>
      <c r="J443" s="635"/>
      <c r="K443" s="21">
        <f t="shared" si="93"/>
        <v>1</v>
      </c>
      <c r="L443" s="635"/>
      <c r="M443" s="21">
        <f t="shared" si="94"/>
        <v>1</v>
      </c>
      <c r="N443" s="635"/>
      <c r="O443" s="21">
        <f t="shared" si="95"/>
        <v>1</v>
      </c>
      <c r="P443" s="635"/>
      <c r="Q443" s="21">
        <f t="shared" si="96"/>
        <v>1</v>
      </c>
      <c r="R443" s="21">
        <f t="shared" si="97"/>
        <v>0</v>
      </c>
      <c r="S443" s="308">
        <f t="shared" si="98"/>
        <v>0</v>
      </c>
    </row>
    <row r="444" spans="1:19">
      <c r="A444" s="142"/>
      <c r="B444" s="52"/>
      <c r="C444" s="21">
        <f t="shared" si="89"/>
        <v>1</v>
      </c>
      <c r="D444" s="635"/>
      <c r="E444" s="21">
        <f t="shared" si="90"/>
        <v>0.02</v>
      </c>
      <c r="F444" s="635"/>
      <c r="G444" s="21">
        <f t="shared" si="91"/>
        <v>1</v>
      </c>
      <c r="H444" s="635"/>
      <c r="I444" s="21">
        <f t="shared" si="92"/>
        <v>1</v>
      </c>
      <c r="J444" s="635"/>
      <c r="K444" s="21">
        <f t="shared" si="93"/>
        <v>1</v>
      </c>
      <c r="L444" s="635"/>
      <c r="M444" s="21">
        <f t="shared" si="94"/>
        <v>1</v>
      </c>
      <c r="N444" s="635"/>
      <c r="O444" s="21">
        <f t="shared" si="95"/>
        <v>1</v>
      </c>
      <c r="P444" s="635"/>
      <c r="Q444" s="21">
        <f t="shared" si="96"/>
        <v>1</v>
      </c>
      <c r="R444" s="21">
        <f t="shared" si="97"/>
        <v>0</v>
      </c>
      <c r="S444" s="308">
        <f t="shared" si="98"/>
        <v>0</v>
      </c>
    </row>
    <row r="445" spans="1:19">
      <c r="A445" s="142"/>
      <c r="B445" s="52"/>
      <c r="C445" s="21">
        <f t="shared" si="89"/>
        <v>1</v>
      </c>
      <c r="D445" s="635"/>
      <c r="E445" s="21">
        <f t="shared" si="90"/>
        <v>0.02</v>
      </c>
      <c r="F445" s="635"/>
      <c r="G445" s="21">
        <f t="shared" si="91"/>
        <v>1</v>
      </c>
      <c r="H445" s="635"/>
      <c r="I445" s="21">
        <f t="shared" si="92"/>
        <v>1</v>
      </c>
      <c r="J445" s="635"/>
      <c r="K445" s="21">
        <f t="shared" si="93"/>
        <v>1</v>
      </c>
      <c r="L445" s="635"/>
      <c r="M445" s="21">
        <f t="shared" si="94"/>
        <v>1</v>
      </c>
      <c r="N445" s="635"/>
      <c r="O445" s="21">
        <f t="shared" si="95"/>
        <v>1</v>
      </c>
      <c r="P445" s="635"/>
      <c r="Q445" s="21">
        <f t="shared" si="96"/>
        <v>1</v>
      </c>
      <c r="R445" s="21">
        <f t="shared" si="97"/>
        <v>0</v>
      </c>
      <c r="S445" s="308">
        <f t="shared" si="98"/>
        <v>0</v>
      </c>
    </row>
    <row r="446" spans="1:19">
      <c r="A446" s="142"/>
      <c r="B446" s="52"/>
      <c r="C446" s="21">
        <f t="shared" si="89"/>
        <v>1</v>
      </c>
      <c r="D446" s="635"/>
      <c r="E446" s="21">
        <f t="shared" si="90"/>
        <v>0.02</v>
      </c>
      <c r="F446" s="635"/>
      <c r="G446" s="21">
        <f t="shared" si="91"/>
        <v>1</v>
      </c>
      <c r="H446" s="635"/>
      <c r="I446" s="21">
        <f t="shared" si="92"/>
        <v>1</v>
      </c>
      <c r="J446" s="635"/>
      <c r="K446" s="21">
        <f t="shared" si="93"/>
        <v>1</v>
      </c>
      <c r="L446" s="635"/>
      <c r="M446" s="21">
        <f t="shared" si="94"/>
        <v>1</v>
      </c>
      <c r="N446" s="635"/>
      <c r="O446" s="21">
        <f t="shared" si="95"/>
        <v>1</v>
      </c>
      <c r="P446" s="635"/>
      <c r="Q446" s="21">
        <f t="shared" si="96"/>
        <v>1</v>
      </c>
      <c r="R446" s="21">
        <f t="shared" si="97"/>
        <v>0</v>
      </c>
      <c r="S446" s="308">
        <f t="shared" si="98"/>
        <v>0</v>
      </c>
    </row>
    <row r="447" spans="1:19">
      <c r="A447" s="142"/>
      <c r="B447" s="52"/>
      <c r="C447" s="21">
        <f t="shared" si="89"/>
        <v>1</v>
      </c>
      <c r="D447" s="635"/>
      <c r="E447" s="21">
        <f t="shared" si="90"/>
        <v>0.02</v>
      </c>
      <c r="F447" s="635"/>
      <c r="G447" s="21">
        <f t="shared" si="91"/>
        <v>1</v>
      </c>
      <c r="H447" s="635"/>
      <c r="I447" s="21">
        <f t="shared" si="92"/>
        <v>1</v>
      </c>
      <c r="J447" s="635"/>
      <c r="K447" s="21">
        <f t="shared" si="93"/>
        <v>1</v>
      </c>
      <c r="L447" s="635"/>
      <c r="M447" s="21">
        <f t="shared" si="94"/>
        <v>1</v>
      </c>
      <c r="N447" s="635"/>
      <c r="O447" s="21">
        <f t="shared" si="95"/>
        <v>1</v>
      </c>
      <c r="P447" s="635"/>
      <c r="Q447" s="21">
        <f t="shared" si="96"/>
        <v>1</v>
      </c>
      <c r="R447" s="21">
        <f t="shared" si="97"/>
        <v>0</v>
      </c>
      <c r="S447" s="308">
        <f t="shared" si="98"/>
        <v>0</v>
      </c>
    </row>
    <row r="448" spans="1:19">
      <c r="A448" s="142"/>
      <c r="B448" s="52"/>
      <c r="C448" s="21">
        <f t="shared" si="89"/>
        <v>1</v>
      </c>
      <c r="D448" s="635"/>
      <c r="E448" s="21">
        <f t="shared" si="90"/>
        <v>0.02</v>
      </c>
      <c r="F448" s="635"/>
      <c r="G448" s="21">
        <f t="shared" si="91"/>
        <v>1</v>
      </c>
      <c r="H448" s="635"/>
      <c r="I448" s="21">
        <f t="shared" si="92"/>
        <v>1</v>
      </c>
      <c r="J448" s="635"/>
      <c r="K448" s="21">
        <f t="shared" si="93"/>
        <v>1</v>
      </c>
      <c r="L448" s="635"/>
      <c r="M448" s="21">
        <f t="shared" si="94"/>
        <v>1</v>
      </c>
      <c r="N448" s="635"/>
      <c r="O448" s="21">
        <f t="shared" si="95"/>
        <v>1</v>
      </c>
      <c r="P448" s="635"/>
      <c r="Q448" s="21">
        <f t="shared" si="96"/>
        <v>1</v>
      </c>
      <c r="R448" s="21">
        <f t="shared" si="97"/>
        <v>0</v>
      </c>
      <c r="S448" s="308">
        <f t="shared" si="98"/>
        <v>0</v>
      </c>
    </row>
    <row r="449" spans="1:19">
      <c r="A449" s="142"/>
      <c r="B449" s="52"/>
      <c r="C449" s="21">
        <f t="shared" si="89"/>
        <v>1</v>
      </c>
      <c r="D449" s="635"/>
      <c r="E449" s="21">
        <f t="shared" si="90"/>
        <v>0.02</v>
      </c>
      <c r="F449" s="635"/>
      <c r="G449" s="21">
        <f t="shared" si="91"/>
        <v>1</v>
      </c>
      <c r="H449" s="635"/>
      <c r="I449" s="21">
        <f t="shared" si="92"/>
        <v>1</v>
      </c>
      <c r="J449" s="635"/>
      <c r="K449" s="21">
        <f t="shared" si="93"/>
        <v>1</v>
      </c>
      <c r="L449" s="635"/>
      <c r="M449" s="21">
        <f t="shared" si="94"/>
        <v>1</v>
      </c>
      <c r="N449" s="635"/>
      <c r="O449" s="21">
        <f t="shared" si="95"/>
        <v>1</v>
      </c>
      <c r="P449" s="635"/>
      <c r="Q449" s="21">
        <f t="shared" si="96"/>
        <v>1</v>
      </c>
      <c r="R449" s="21">
        <f t="shared" si="97"/>
        <v>0</v>
      </c>
      <c r="S449" s="308">
        <f t="shared" si="98"/>
        <v>0</v>
      </c>
    </row>
    <row r="450" spans="1:19">
      <c r="A450" s="142"/>
      <c r="B450" s="52"/>
      <c r="C450" s="21">
        <f t="shared" si="89"/>
        <v>1</v>
      </c>
      <c r="D450" s="635"/>
      <c r="E450" s="21">
        <f t="shared" si="90"/>
        <v>0.02</v>
      </c>
      <c r="F450" s="635"/>
      <c r="G450" s="21">
        <f t="shared" si="91"/>
        <v>1</v>
      </c>
      <c r="H450" s="635"/>
      <c r="I450" s="21">
        <f t="shared" si="92"/>
        <v>1</v>
      </c>
      <c r="J450" s="635"/>
      <c r="K450" s="21">
        <f t="shared" si="93"/>
        <v>1</v>
      </c>
      <c r="L450" s="635"/>
      <c r="M450" s="21">
        <f t="shared" si="94"/>
        <v>1</v>
      </c>
      <c r="N450" s="635"/>
      <c r="O450" s="21">
        <f t="shared" si="95"/>
        <v>1</v>
      </c>
      <c r="P450" s="635"/>
      <c r="Q450" s="21">
        <f t="shared" si="96"/>
        <v>1</v>
      </c>
      <c r="R450" s="21">
        <f t="shared" si="97"/>
        <v>0</v>
      </c>
      <c r="S450" s="308">
        <f t="shared" si="98"/>
        <v>0</v>
      </c>
    </row>
    <row r="451" spans="1:19">
      <c r="A451" s="142"/>
      <c r="B451" s="52"/>
      <c r="C451" s="21">
        <f t="shared" si="89"/>
        <v>1</v>
      </c>
      <c r="D451" s="635"/>
      <c r="E451" s="21">
        <f t="shared" si="90"/>
        <v>0.02</v>
      </c>
      <c r="F451" s="635"/>
      <c r="G451" s="21">
        <f t="shared" si="91"/>
        <v>1</v>
      </c>
      <c r="H451" s="635"/>
      <c r="I451" s="21">
        <f t="shared" si="92"/>
        <v>1</v>
      </c>
      <c r="J451" s="635"/>
      <c r="K451" s="21">
        <f t="shared" si="93"/>
        <v>1</v>
      </c>
      <c r="L451" s="635"/>
      <c r="M451" s="21">
        <f t="shared" si="94"/>
        <v>1</v>
      </c>
      <c r="N451" s="635"/>
      <c r="O451" s="21">
        <f t="shared" si="95"/>
        <v>1</v>
      </c>
      <c r="P451" s="635"/>
      <c r="Q451" s="21">
        <f t="shared" si="96"/>
        <v>1</v>
      </c>
      <c r="R451" s="21">
        <f t="shared" si="97"/>
        <v>0</v>
      </c>
      <c r="S451" s="308">
        <f t="shared" si="98"/>
        <v>0</v>
      </c>
    </row>
    <row r="452" spans="1:19">
      <c r="A452" s="142"/>
      <c r="B452" s="52"/>
      <c r="C452" s="21">
        <f t="shared" si="89"/>
        <v>1</v>
      </c>
      <c r="D452" s="635"/>
      <c r="E452" s="21">
        <f t="shared" si="90"/>
        <v>0.02</v>
      </c>
      <c r="F452" s="635"/>
      <c r="G452" s="21">
        <f t="shared" si="91"/>
        <v>1</v>
      </c>
      <c r="H452" s="635"/>
      <c r="I452" s="21">
        <f t="shared" si="92"/>
        <v>1</v>
      </c>
      <c r="J452" s="635"/>
      <c r="K452" s="21">
        <f t="shared" si="93"/>
        <v>1</v>
      </c>
      <c r="L452" s="635"/>
      <c r="M452" s="21">
        <f t="shared" si="94"/>
        <v>1</v>
      </c>
      <c r="N452" s="635"/>
      <c r="O452" s="21">
        <f t="shared" si="95"/>
        <v>1</v>
      </c>
      <c r="P452" s="635"/>
      <c r="Q452" s="21">
        <f t="shared" si="96"/>
        <v>1</v>
      </c>
      <c r="R452" s="21">
        <f t="shared" si="97"/>
        <v>0</v>
      </c>
      <c r="S452" s="308">
        <f t="shared" si="98"/>
        <v>0</v>
      </c>
    </row>
    <row r="453" spans="1:19">
      <c r="A453" s="142"/>
      <c r="B453" s="52"/>
      <c r="C453" s="21">
        <f t="shared" si="89"/>
        <v>1</v>
      </c>
      <c r="D453" s="635"/>
      <c r="E453" s="21">
        <f t="shared" si="90"/>
        <v>0.02</v>
      </c>
      <c r="F453" s="635"/>
      <c r="G453" s="21">
        <f t="shared" si="91"/>
        <v>1</v>
      </c>
      <c r="H453" s="635"/>
      <c r="I453" s="21">
        <f t="shared" si="92"/>
        <v>1</v>
      </c>
      <c r="J453" s="635"/>
      <c r="K453" s="21">
        <f t="shared" si="93"/>
        <v>1</v>
      </c>
      <c r="L453" s="635"/>
      <c r="M453" s="21">
        <f t="shared" si="94"/>
        <v>1</v>
      </c>
      <c r="N453" s="635"/>
      <c r="O453" s="21">
        <f t="shared" si="95"/>
        <v>1</v>
      </c>
      <c r="P453" s="635"/>
      <c r="Q453" s="21">
        <f t="shared" si="96"/>
        <v>1</v>
      </c>
      <c r="R453" s="21">
        <f t="shared" si="97"/>
        <v>0</v>
      </c>
      <c r="S453" s="308">
        <f t="shared" si="98"/>
        <v>0</v>
      </c>
    </row>
    <row r="454" spans="1:19">
      <c r="A454" s="142"/>
      <c r="B454" s="52"/>
      <c r="C454" s="21">
        <f t="shared" si="89"/>
        <v>1</v>
      </c>
      <c r="D454" s="635"/>
      <c r="E454" s="21">
        <f t="shared" si="90"/>
        <v>0.02</v>
      </c>
      <c r="F454" s="635"/>
      <c r="G454" s="21">
        <f t="shared" si="91"/>
        <v>1</v>
      </c>
      <c r="H454" s="635"/>
      <c r="I454" s="21">
        <f t="shared" si="92"/>
        <v>1</v>
      </c>
      <c r="J454" s="635"/>
      <c r="K454" s="21">
        <f t="shared" si="93"/>
        <v>1</v>
      </c>
      <c r="L454" s="635"/>
      <c r="M454" s="21">
        <f t="shared" si="94"/>
        <v>1</v>
      </c>
      <c r="N454" s="635"/>
      <c r="O454" s="21">
        <f t="shared" si="95"/>
        <v>1</v>
      </c>
      <c r="P454" s="635"/>
      <c r="Q454" s="21">
        <f t="shared" si="96"/>
        <v>1</v>
      </c>
      <c r="R454" s="21">
        <f t="shared" si="97"/>
        <v>0</v>
      </c>
      <c r="S454" s="308">
        <f t="shared" si="98"/>
        <v>0</v>
      </c>
    </row>
    <row r="455" spans="1:19">
      <c r="A455" s="142"/>
      <c r="B455" s="52"/>
      <c r="C455" s="21">
        <f t="shared" si="89"/>
        <v>1</v>
      </c>
      <c r="D455" s="635"/>
      <c r="E455" s="21">
        <f t="shared" si="90"/>
        <v>0.02</v>
      </c>
      <c r="F455" s="635"/>
      <c r="G455" s="21">
        <f t="shared" si="91"/>
        <v>1</v>
      </c>
      <c r="H455" s="635"/>
      <c r="I455" s="21">
        <f t="shared" si="92"/>
        <v>1</v>
      </c>
      <c r="J455" s="635"/>
      <c r="K455" s="21">
        <f t="shared" si="93"/>
        <v>1</v>
      </c>
      <c r="L455" s="635"/>
      <c r="M455" s="21">
        <f t="shared" si="94"/>
        <v>1</v>
      </c>
      <c r="N455" s="635"/>
      <c r="O455" s="21">
        <f t="shared" si="95"/>
        <v>1</v>
      </c>
      <c r="P455" s="635"/>
      <c r="Q455" s="21">
        <f t="shared" si="96"/>
        <v>1</v>
      </c>
      <c r="R455" s="21">
        <f t="shared" si="97"/>
        <v>0</v>
      </c>
      <c r="S455" s="308">
        <f t="shared" si="98"/>
        <v>0</v>
      </c>
    </row>
    <row r="456" spans="1:19">
      <c r="A456" s="142"/>
      <c r="B456" s="52"/>
      <c r="C456" s="21">
        <f t="shared" si="89"/>
        <v>1</v>
      </c>
      <c r="D456" s="635"/>
      <c r="E456" s="21">
        <f t="shared" si="90"/>
        <v>0.02</v>
      </c>
      <c r="F456" s="635"/>
      <c r="G456" s="21">
        <f t="shared" si="91"/>
        <v>1</v>
      </c>
      <c r="H456" s="635"/>
      <c r="I456" s="21">
        <f t="shared" si="92"/>
        <v>1</v>
      </c>
      <c r="J456" s="635"/>
      <c r="K456" s="21">
        <f t="shared" si="93"/>
        <v>1</v>
      </c>
      <c r="L456" s="635"/>
      <c r="M456" s="21">
        <f t="shared" si="94"/>
        <v>1</v>
      </c>
      <c r="N456" s="635"/>
      <c r="O456" s="21">
        <f t="shared" si="95"/>
        <v>1</v>
      </c>
      <c r="P456" s="635"/>
      <c r="Q456" s="21">
        <f t="shared" si="96"/>
        <v>1</v>
      </c>
      <c r="R456" s="21">
        <f t="shared" si="97"/>
        <v>0</v>
      </c>
      <c r="S456" s="308">
        <f t="shared" si="98"/>
        <v>0</v>
      </c>
    </row>
    <row r="457" spans="1:19">
      <c r="A457" s="142"/>
      <c r="B457" s="52"/>
      <c r="C457" s="21">
        <f t="shared" si="89"/>
        <v>1</v>
      </c>
      <c r="D457" s="635"/>
      <c r="E457" s="21">
        <f t="shared" si="90"/>
        <v>0.02</v>
      </c>
      <c r="F457" s="635"/>
      <c r="G457" s="21">
        <f t="shared" si="91"/>
        <v>1</v>
      </c>
      <c r="H457" s="635"/>
      <c r="I457" s="21">
        <f t="shared" si="92"/>
        <v>1</v>
      </c>
      <c r="J457" s="635"/>
      <c r="K457" s="21">
        <f t="shared" si="93"/>
        <v>1</v>
      </c>
      <c r="L457" s="635"/>
      <c r="M457" s="21">
        <f t="shared" si="94"/>
        <v>1</v>
      </c>
      <c r="N457" s="635"/>
      <c r="O457" s="21">
        <f t="shared" si="95"/>
        <v>1</v>
      </c>
      <c r="P457" s="635"/>
      <c r="Q457" s="21">
        <f t="shared" si="96"/>
        <v>1</v>
      </c>
      <c r="R457" s="21">
        <f t="shared" si="97"/>
        <v>0</v>
      </c>
      <c r="S457" s="308">
        <f t="shared" si="98"/>
        <v>0</v>
      </c>
    </row>
    <row r="458" spans="1:19">
      <c r="A458" s="142"/>
      <c r="B458" s="52"/>
      <c r="C458" s="21">
        <f t="shared" si="89"/>
        <v>1</v>
      </c>
      <c r="D458" s="635"/>
      <c r="E458" s="21">
        <f t="shared" si="90"/>
        <v>0.02</v>
      </c>
      <c r="F458" s="635"/>
      <c r="G458" s="21">
        <f t="shared" si="91"/>
        <v>1</v>
      </c>
      <c r="H458" s="635"/>
      <c r="I458" s="21">
        <f t="shared" si="92"/>
        <v>1</v>
      </c>
      <c r="J458" s="635"/>
      <c r="K458" s="21">
        <f t="shared" si="93"/>
        <v>1</v>
      </c>
      <c r="L458" s="635"/>
      <c r="M458" s="21">
        <f t="shared" si="94"/>
        <v>1</v>
      </c>
      <c r="N458" s="635"/>
      <c r="O458" s="21">
        <f t="shared" si="95"/>
        <v>1</v>
      </c>
      <c r="P458" s="635"/>
      <c r="Q458" s="21">
        <f t="shared" si="96"/>
        <v>1</v>
      </c>
      <c r="R458" s="21">
        <f t="shared" si="97"/>
        <v>0</v>
      </c>
      <c r="S458" s="308">
        <f t="shared" si="98"/>
        <v>0</v>
      </c>
    </row>
    <row r="459" spans="1:19">
      <c r="A459" s="142"/>
      <c r="B459" s="52"/>
      <c r="C459" s="21">
        <f t="shared" si="89"/>
        <v>1</v>
      </c>
      <c r="D459" s="635"/>
      <c r="E459" s="21">
        <f t="shared" si="90"/>
        <v>0.02</v>
      </c>
      <c r="F459" s="635"/>
      <c r="G459" s="21">
        <f t="shared" si="91"/>
        <v>1</v>
      </c>
      <c r="H459" s="635"/>
      <c r="I459" s="21">
        <f t="shared" si="92"/>
        <v>1</v>
      </c>
      <c r="J459" s="635"/>
      <c r="K459" s="21">
        <f t="shared" si="93"/>
        <v>1</v>
      </c>
      <c r="L459" s="635"/>
      <c r="M459" s="21">
        <f t="shared" si="94"/>
        <v>1</v>
      </c>
      <c r="N459" s="635"/>
      <c r="O459" s="21">
        <f t="shared" si="95"/>
        <v>1</v>
      </c>
      <c r="P459" s="635"/>
      <c r="Q459" s="21">
        <f t="shared" si="96"/>
        <v>1</v>
      </c>
      <c r="R459" s="21">
        <f t="shared" si="97"/>
        <v>0</v>
      </c>
      <c r="S459" s="308">
        <f t="shared" si="98"/>
        <v>0</v>
      </c>
    </row>
    <row r="460" spans="1:19">
      <c r="A460" s="142"/>
      <c r="B460" s="52"/>
      <c r="C460" s="21">
        <f t="shared" si="89"/>
        <v>1</v>
      </c>
      <c r="D460" s="635"/>
      <c r="E460" s="21">
        <f t="shared" si="90"/>
        <v>0.02</v>
      </c>
      <c r="F460" s="635"/>
      <c r="G460" s="21">
        <f t="shared" si="91"/>
        <v>1</v>
      </c>
      <c r="H460" s="635"/>
      <c r="I460" s="21">
        <f t="shared" si="92"/>
        <v>1</v>
      </c>
      <c r="J460" s="635"/>
      <c r="K460" s="21">
        <f t="shared" si="93"/>
        <v>1</v>
      </c>
      <c r="L460" s="635"/>
      <c r="M460" s="21">
        <f t="shared" si="94"/>
        <v>1</v>
      </c>
      <c r="N460" s="635"/>
      <c r="O460" s="21">
        <f t="shared" si="95"/>
        <v>1</v>
      </c>
      <c r="P460" s="635"/>
      <c r="Q460" s="21">
        <f t="shared" si="96"/>
        <v>1</v>
      </c>
      <c r="R460" s="21">
        <f t="shared" si="97"/>
        <v>0</v>
      </c>
      <c r="S460" s="308">
        <f t="shared" si="98"/>
        <v>0</v>
      </c>
    </row>
    <row r="461" spans="1:19">
      <c r="A461" s="142"/>
      <c r="B461" s="52"/>
      <c r="C461" s="21">
        <f t="shared" si="89"/>
        <v>1</v>
      </c>
      <c r="D461" s="635"/>
      <c r="E461" s="21">
        <f t="shared" si="90"/>
        <v>0.02</v>
      </c>
      <c r="F461" s="635"/>
      <c r="G461" s="21">
        <f t="shared" si="91"/>
        <v>1</v>
      </c>
      <c r="H461" s="635"/>
      <c r="I461" s="21">
        <f t="shared" si="92"/>
        <v>1</v>
      </c>
      <c r="J461" s="635"/>
      <c r="K461" s="21">
        <f t="shared" si="93"/>
        <v>1</v>
      </c>
      <c r="L461" s="635"/>
      <c r="M461" s="21">
        <f t="shared" si="94"/>
        <v>1</v>
      </c>
      <c r="N461" s="635"/>
      <c r="O461" s="21">
        <f t="shared" si="95"/>
        <v>1</v>
      </c>
      <c r="P461" s="635"/>
      <c r="Q461" s="21">
        <f t="shared" si="96"/>
        <v>1</v>
      </c>
      <c r="R461" s="21">
        <f t="shared" si="97"/>
        <v>0</v>
      </c>
      <c r="S461" s="308">
        <f t="shared" si="98"/>
        <v>0</v>
      </c>
    </row>
    <row r="462" spans="1:19">
      <c r="A462" s="142"/>
      <c r="B462" s="52"/>
      <c r="C462" s="21">
        <f t="shared" si="89"/>
        <v>1</v>
      </c>
      <c r="D462" s="635"/>
      <c r="E462" s="21">
        <f t="shared" si="90"/>
        <v>0.02</v>
      </c>
      <c r="F462" s="635"/>
      <c r="G462" s="21">
        <f t="shared" si="91"/>
        <v>1</v>
      </c>
      <c r="H462" s="635"/>
      <c r="I462" s="21">
        <f t="shared" si="92"/>
        <v>1</v>
      </c>
      <c r="J462" s="635"/>
      <c r="K462" s="21">
        <f t="shared" si="93"/>
        <v>1</v>
      </c>
      <c r="L462" s="635"/>
      <c r="M462" s="21">
        <f t="shared" si="94"/>
        <v>1</v>
      </c>
      <c r="N462" s="635"/>
      <c r="O462" s="21">
        <f t="shared" si="95"/>
        <v>1</v>
      </c>
      <c r="P462" s="635"/>
      <c r="Q462" s="21">
        <f t="shared" si="96"/>
        <v>1</v>
      </c>
      <c r="R462" s="21">
        <f t="shared" si="97"/>
        <v>0</v>
      </c>
      <c r="S462" s="308">
        <f t="shared" si="98"/>
        <v>0</v>
      </c>
    </row>
    <row r="463" spans="1:19">
      <c r="A463" s="142"/>
      <c r="B463" s="52"/>
      <c r="C463" s="21">
        <f t="shared" si="89"/>
        <v>1</v>
      </c>
      <c r="D463" s="635"/>
      <c r="E463" s="21">
        <f t="shared" si="90"/>
        <v>0.02</v>
      </c>
      <c r="F463" s="635"/>
      <c r="G463" s="21">
        <f t="shared" si="91"/>
        <v>1</v>
      </c>
      <c r="H463" s="635"/>
      <c r="I463" s="21">
        <f t="shared" si="92"/>
        <v>1</v>
      </c>
      <c r="J463" s="635"/>
      <c r="K463" s="21">
        <f t="shared" si="93"/>
        <v>1</v>
      </c>
      <c r="L463" s="635"/>
      <c r="M463" s="21">
        <f t="shared" si="94"/>
        <v>1</v>
      </c>
      <c r="N463" s="635"/>
      <c r="O463" s="21">
        <f t="shared" si="95"/>
        <v>1</v>
      </c>
      <c r="P463" s="635"/>
      <c r="Q463" s="21">
        <f t="shared" si="96"/>
        <v>1</v>
      </c>
      <c r="R463" s="21">
        <f t="shared" si="97"/>
        <v>0</v>
      </c>
      <c r="S463" s="308">
        <f t="shared" si="98"/>
        <v>0</v>
      </c>
    </row>
    <row r="464" spans="1:19">
      <c r="A464" s="142"/>
      <c r="B464" s="52"/>
      <c r="C464" s="21">
        <f t="shared" si="89"/>
        <v>1</v>
      </c>
      <c r="D464" s="635"/>
      <c r="E464" s="21">
        <f t="shared" si="90"/>
        <v>0.02</v>
      </c>
      <c r="F464" s="635"/>
      <c r="G464" s="21">
        <f t="shared" si="91"/>
        <v>1</v>
      </c>
      <c r="H464" s="635"/>
      <c r="I464" s="21">
        <f t="shared" si="92"/>
        <v>1</v>
      </c>
      <c r="J464" s="635"/>
      <c r="K464" s="21">
        <f t="shared" si="93"/>
        <v>1</v>
      </c>
      <c r="L464" s="635"/>
      <c r="M464" s="21">
        <f t="shared" si="94"/>
        <v>1</v>
      </c>
      <c r="N464" s="635"/>
      <c r="O464" s="21">
        <f t="shared" si="95"/>
        <v>1</v>
      </c>
      <c r="P464" s="635"/>
      <c r="Q464" s="21">
        <f t="shared" si="96"/>
        <v>1</v>
      </c>
      <c r="R464" s="21">
        <f t="shared" si="97"/>
        <v>0</v>
      </c>
      <c r="S464" s="308">
        <f t="shared" si="98"/>
        <v>0</v>
      </c>
    </row>
    <row r="465" spans="1:19">
      <c r="A465" s="142"/>
      <c r="B465" s="52"/>
      <c r="C465" s="21">
        <f t="shared" si="89"/>
        <v>1</v>
      </c>
      <c r="D465" s="635"/>
      <c r="E465" s="21">
        <f t="shared" si="90"/>
        <v>0.02</v>
      </c>
      <c r="F465" s="635"/>
      <c r="G465" s="21">
        <f t="shared" si="91"/>
        <v>1</v>
      </c>
      <c r="H465" s="635"/>
      <c r="I465" s="21">
        <f t="shared" si="92"/>
        <v>1</v>
      </c>
      <c r="J465" s="635"/>
      <c r="K465" s="21">
        <f t="shared" si="93"/>
        <v>1</v>
      </c>
      <c r="L465" s="635"/>
      <c r="M465" s="21">
        <f t="shared" si="94"/>
        <v>1</v>
      </c>
      <c r="N465" s="635"/>
      <c r="O465" s="21">
        <f t="shared" si="95"/>
        <v>1</v>
      </c>
      <c r="P465" s="635"/>
      <c r="Q465" s="21">
        <f t="shared" si="96"/>
        <v>1</v>
      </c>
      <c r="R465" s="21">
        <f t="shared" si="97"/>
        <v>0</v>
      </c>
      <c r="S465" s="308">
        <f t="shared" si="98"/>
        <v>0</v>
      </c>
    </row>
    <row r="466" spans="1:19">
      <c r="A466" s="142"/>
      <c r="B466" s="52"/>
      <c r="C466" s="21">
        <f t="shared" si="89"/>
        <v>1</v>
      </c>
      <c r="D466" s="635"/>
      <c r="E466" s="21">
        <f t="shared" si="90"/>
        <v>0.02</v>
      </c>
      <c r="F466" s="635"/>
      <c r="G466" s="21">
        <f t="shared" si="91"/>
        <v>1</v>
      </c>
      <c r="H466" s="635"/>
      <c r="I466" s="21">
        <f t="shared" si="92"/>
        <v>1</v>
      </c>
      <c r="J466" s="635"/>
      <c r="K466" s="21">
        <f t="shared" si="93"/>
        <v>1</v>
      </c>
      <c r="L466" s="635"/>
      <c r="M466" s="21">
        <f t="shared" si="94"/>
        <v>1</v>
      </c>
      <c r="N466" s="635"/>
      <c r="O466" s="21">
        <f t="shared" si="95"/>
        <v>1</v>
      </c>
      <c r="P466" s="635"/>
      <c r="Q466" s="21">
        <f t="shared" si="96"/>
        <v>1</v>
      </c>
      <c r="R466" s="21">
        <f t="shared" si="97"/>
        <v>0</v>
      </c>
      <c r="S466" s="308">
        <f t="shared" si="98"/>
        <v>0</v>
      </c>
    </row>
    <row r="467" spans="1:19">
      <c r="A467" s="142"/>
      <c r="B467" s="52"/>
      <c r="C467" s="21">
        <f t="shared" si="89"/>
        <v>1</v>
      </c>
      <c r="D467" s="635"/>
      <c r="E467" s="21">
        <f t="shared" si="90"/>
        <v>0.02</v>
      </c>
      <c r="F467" s="635"/>
      <c r="G467" s="21">
        <f t="shared" si="91"/>
        <v>1</v>
      </c>
      <c r="H467" s="635"/>
      <c r="I467" s="21">
        <f t="shared" si="92"/>
        <v>1</v>
      </c>
      <c r="J467" s="635"/>
      <c r="K467" s="21">
        <f t="shared" si="93"/>
        <v>1</v>
      </c>
      <c r="L467" s="635"/>
      <c r="M467" s="21">
        <f t="shared" si="94"/>
        <v>1</v>
      </c>
      <c r="N467" s="635"/>
      <c r="O467" s="21">
        <f t="shared" si="95"/>
        <v>1</v>
      </c>
      <c r="P467" s="635"/>
      <c r="Q467" s="21">
        <f t="shared" si="96"/>
        <v>1</v>
      </c>
      <c r="R467" s="21">
        <f t="shared" si="97"/>
        <v>0</v>
      </c>
      <c r="S467" s="308">
        <f t="shared" si="98"/>
        <v>0</v>
      </c>
    </row>
    <row r="468" spans="1:19">
      <c r="A468" s="142"/>
      <c r="B468" s="52"/>
      <c r="C468" s="21">
        <f t="shared" si="89"/>
        <v>1</v>
      </c>
      <c r="D468" s="635"/>
      <c r="E468" s="21">
        <f t="shared" si="90"/>
        <v>0.02</v>
      </c>
      <c r="F468" s="635"/>
      <c r="G468" s="21">
        <f t="shared" si="91"/>
        <v>1</v>
      </c>
      <c r="H468" s="635"/>
      <c r="I468" s="21">
        <f t="shared" si="92"/>
        <v>1</v>
      </c>
      <c r="J468" s="635"/>
      <c r="K468" s="21">
        <f t="shared" si="93"/>
        <v>1</v>
      </c>
      <c r="L468" s="635"/>
      <c r="M468" s="21">
        <f t="shared" si="94"/>
        <v>1</v>
      </c>
      <c r="N468" s="635"/>
      <c r="O468" s="21">
        <f t="shared" si="95"/>
        <v>1</v>
      </c>
      <c r="P468" s="635"/>
      <c r="Q468" s="21">
        <f t="shared" si="96"/>
        <v>1</v>
      </c>
      <c r="R468" s="21">
        <f t="shared" si="97"/>
        <v>0</v>
      </c>
      <c r="S468" s="308">
        <f t="shared" ref="S468:S497" si="99">ROUND(R468*B468/10000,0)</f>
        <v>0</v>
      </c>
    </row>
    <row r="469" spans="1:19">
      <c r="A469" s="142"/>
      <c r="B469" s="52"/>
      <c r="C469" s="21">
        <f t="shared" si="89"/>
        <v>1</v>
      </c>
      <c r="D469" s="635"/>
      <c r="E469" s="21">
        <f t="shared" si="90"/>
        <v>0.02</v>
      </c>
      <c r="F469" s="635"/>
      <c r="G469" s="21">
        <f t="shared" si="91"/>
        <v>1</v>
      </c>
      <c r="H469" s="635"/>
      <c r="I469" s="21">
        <f t="shared" si="92"/>
        <v>1</v>
      </c>
      <c r="J469" s="635"/>
      <c r="K469" s="21">
        <f t="shared" si="93"/>
        <v>1</v>
      </c>
      <c r="L469" s="635"/>
      <c r="M469" s="21">
        <f t="shared" si="94"/>
        <v>1</v>
      </c>
      <c r="N469" s="635"/>
      <c r="O469" s="21">
        <f t="shared" si="95"/>
        <v>1</v>
      </c>
      <c r="P469" s="635"/>
      <c r="Q469" s="21">
        <f t="shared" si="96"/>
        <v>1</v>
      </c>
      <c r="R469" s="21">
        <f t="shared" si="97"/>
        <v>0</v>
      </c>
      <c r="S469" s="308">
        <f t="shared" si="99"/>
        <v>0</v>
      </c>
    </row>
    <row r="470" spans="1:19">
      <c r="A470" s="142"/>
      <c r="B470" s="52"/>
      <c r="C470" s="21">
        <f t="shared" si="89"/>
        <v>1</v>
      </c>
      <c r="D470" s="635"/>
      <c r="E470" s="21">
        <f t="shared" si="90"/>
        <v>0.02</v>
      </c>
      <c r="F470" s="635"/>
      <c r="G470" s="21">
        <f t="shared" si="91"/>
        <v>1</v>
      </c>
      <c r="H470" s="635"/>
      <c r="I470" s="21">
        <f t="shared" si="92"/>
        <v>1</v>
      </c>
      <c r="J470" s="635"/>
      <c r="K470" s="21">
        <f t="shared" si="93"/>
        <v>1</v>
      </c>
      <c r="L470" s="635"/>
      <c r="M470" s="21">
        <f t="shared" si="94"/>
        <v>1</v>
      </c>
      <c r="N470" s="635"/>
      <c r="O470" s="21">
        <f t="shared" si="95"/>
        <v>1</v>
      </c>
      <c r="P470" s="635"/>
      <c r="Q470" s="21">
        <f t="shared" si="96"/>
        <v>1</v>
      </c>
      <c r="R470" s="21">
        <f t="shared" si="97"/>
        <v>0</v>
      </c>
      <c r="S470" s="308">
        <f t="shared" si="99"/>
        <v>0</v>
      </c>
    </row>
    <row r="471" spans="1:19">
      <c r="A471" s="142"/>
      <c r="B471" s="52"/>
      <c r="C471" s="21">
        <f t="shared" si="89"/>
        <v>1</v>
      </c>
      <c r="D471" s="635"/>
      <c r="E471" s="21">
        <f t="shared" si="90"/>
        <v>0.02</v>
      </c>
      <c r="F471" s="635"/>
      <c r="G471" s="21">
        <f t="shared" si="91"/>
        <v>1</v>
      </c>
      <c r="H471" s="635"/>
      <c r="I471" s="21">
        <f t="shared" si="92"/>
        <v>1</v>
      </c>
      <c r="J471" s="635"/>
      <c r="K471" s="21">
        <f t="shared" si="93"/>
        <v>1</v>
      </c>
      <c r="L471" s="635"/>
      <c r="M471" s="21">
        <f t="shared" si="94"/>
        <v>1</v>
      </c>
      <c r="N471" s="635"/>
      <c r="O471" s="21">
        <f t="shared" si="95"/>
        <v>1</v>
      </c>
      <c r="P471" s="635"/>
      <c r="Q471" s="21">
        <f t="shared" si="96"/>
        <v>1</v>
      </c>
      <c r="R471" s="21">
        <f t="shared" si="97"/>
        <v>0</v>
      </c>
      <c r="S471" s="308">
        <f t="shared" si="99"/>
        <v>0</v>
      </c>
    </row>
    <row r="472" spans="1:19">
      <c r="A472" s="142"/>
      <c r="B472" s="52"/>
      <c r="C472" s="21">
        <f t="shared" si="89"/>
        <v>1</v>
      </c>
      <c r="D472" s="635"/>
      <c r="E472" s="21">
        <f t="shared" si="90"/>
        <v>0.02</v>
      </c>
      <c r="F472" s="635"/>
      <c r="G472" s="21">
        <f t="shared" si="91"/>
        <v>1</v>
      </c>
      <c r="H472" s="635"/>
      <c r="I472" s="21">
        <f t="shared" si="92"/>
        <v>1</v>
      </c>
      <c r="J472" s="635"/>
      <c r="K472" s="21">
        <f t="shared" si="93"/>
        <v>1</v>
      </c>
      <c r="L472" s="635"/>
      <c r="M472" s="21">
        <f t="shared" si="94"/>
        <v>1</v>
      </c>
      <c r="N472" s="635"/>
      <c r="O472" s="21">
        <f t="shared" si="95"/>
        <v>1</v>
      </c>
      <c r="P472" s="635"/>
      <c r="Q472" s="21">
        <f t="shared" si="96"/>
        <v>1</v>
      </c>
      <c r="R472" s="21">
        <f t="shared" si="97"/>
        <v>0</v>
      </c>
      <c r="S472" s="308">
        <f t="shared" si="99"/>
        <v>0</v>
      </c>
    </row>
    <row r="473" spans="1:19">
      <c r="A473" s="142"/>
      <c r="B473" s="52"/>
      <c r="C473" s="21">
        <f t="shared" si="89"/>
        <v>1</v>
      </c>
      <c r="D473" s="635"/>
      <c r="E473" s="21">
        <f t="shared" si="90"/>
        <v>0.02</v>
      </c>
      <c r="F473" s="635"/>
      <c r="G473" s="21">
        <f t="shared" si="91"/>
        <v>1</v>
      </c>
      <c r="H473" s="635"/>
      <c r="I473" s="21">
        <f t="shared" si="92"/>
        <v>1</v>
      </c>
      <c r="J473" s="635"/>
      <c r="K473" s="21">
        <f t="shared" si="93"/>
        <v>1</v>
      </c>
      <c r="L473" s="635"/>
      <c r="M473" s="21">
        <f t="shared" si="94"/>
        <v>1</v>
      </c>
      <c r="N473" s="635"/>
      <c r="O473" s="21">
        <f t="shared" si="95"/>
        <v>1</v>
      </c>
      <c r="P473" s="635"/>
      <c r="Q473" s="21">
        <f t="shared" si="96"/>
        <v>1</v>
      </c>
      <c r="R473" s="21">
        <f t="shared" si="97"/>
        <v>0</v>
      </c>
      <c r="S473" s="308">
        <f t="shared" si="99"/>
        <v>0</v>
      </c>
    </row>
    <row r="474" spans="1:19">
      <c r="A474" s="142"/>
      <c r="B474" s="52"/>
      <c r="C474" s="21">
        <f t="shared" ref="C474:C524" si="100">IF(B474="",1,(LOOKUP(B474,$3:$3,$4:$4)-LOOKUP($B$24,$3:$3,$4:$4)+100)/100)</f>
        <v>1</v>
      </c>
      <c r="D474" s="635"/>
      <c r="E474" s="21">
        <f t="shared" ref="E474:E524" si="101">(SUMIF($5:$5,D474,$6:$6)-SUMIF($5:$5,$D$24,$6:$6)+100)/100</f>
        <v>0.02</v>
      </c>
      <c r="F474" s="635"/>
      <c r="G474" s="21">
        <f t="shared" ref="G474:G524" si="102">(SUMIF($7:$7,F474,$8:$8)-SUMIF($7:$7,$F$24,$8:$8)+100)/100</f>
        <v>1</v>
      </c>
      <c r="H474" s="635"/>
      <c r="I474" s="21">
        <f t="shared" ref="I474:I524" si="103">(SUMIF($9:$9,H474,$10:$10)-SUMIF($9:$9,$H$24,$10:$10)+100)/100</f>
        <v>1</v>
      </c>
      <c r="J474" s="635"/>
      <c r="K474" s="21">
        <f t="shared" ref="K474:K524" si="104">(SUMIF($11:$11,J474,$12:$12)-SUMIF($11:$11,$J$24,$12:$12)+100)/100</f>
        <v>1</v>
      </c>
      <c r="L474" s="635"/>
      <c r="M474" s="21">
        <f t="shared" ref="M474:M524" si="105">(SUMIF($13:$13,L474,$14:$14)-SUMIF($13:$13,$L$24,$14:$14)+100)/100</f>
        <v>1</v>
      </c>
      <c r="N474" s="635"/>
      <c r="O474" s="21">
        <f t="shared" ref="O474:O524" si="106">(SUMIF($15:$15,N474,$16:$16)-SUMIF($15:$15,$N$24,$16:$16)+100)/100</f>
        <v>1</v>
      </c>
      <c r="P474" s="635"/>
      <c r="Q474" s="21">
        <f t="shared" ref="Q474:Q524" si="107">(SUMIF($17:$17,P474,$18:$18)-SUMIF($17:$17,$P$24,$18:$18)+100)/100</f>
        <v>1</v>
      </c>
      <c r="R474" s="21">
        <f t="shared" ref="R474:R524" si="108">IF(B474="",0,ROUND($R$24*C474*E474*G474*I474*K474*M474*O474*Q474,0))</f>
        <v>0</v>
      </c>
      <c r="S474" s="308">
        <f t="shared" si="99"/>
        <v>0</v>
      </c>
    </row>
    <row r="475" spans="1:19">
      <c r="A475" s="142"/>
      <c r="B475" s="52"/>
      <c r="C475" s="21">
        <f t="shared" si="100"/>
        <v>1</v>
      </c>
      <c r="D475" s="635"/>
      <c r="E475" s="21">
        <f t="shared" si="101"/>
        <v>0.02</v>
      </c>
      <c r="F475" s="635"/>
      <c r="G475" s="21">
        <f t="shared" si="102"/>
        <v>1</v>
      </c>
      <c r="H475" s="635"/>
      <c r="I475" s="21">
        <f t="shared" si="103"/>
        <v>1</v>
      </c>
      <c r="J475" s="635"/>
      <c r="K475" s="21">
        <f t="shared" si="104"/>
        <v>1</v>
      </c>
      <c r="L475" s="635"/>
      <c r="M475" s="21">
        <f t="shared" si="105"/>
        <v>1</v>
      </c>
      <c r="N475" s="635"/>
      <c r="O475" s="21">
        <f t="shared" si="106"/>
        <v>1</v>
      </c>
      <c r="P475" s="635"/>
      <c r="Q475" s="21">
        <f t="shared" si="107"/>
        <v>1</v>
      </c>
      <c r="R475" s="21">
        <f t="shared" si="108"/>
        <v>0</v>
      </c>
      <c r="S475" s="308">
        <f t="shared" si="99"/>
        <v>0</v>
      </c>
    </row>
    <row r="476" spans="1:19">
      <c r="A476" s="142"/>
      <c r="B476" s="52"/>
      <c r="C476" s="21">
        <f t="shared" si="100"/>
        <v>1</v>
      </c>
      <c r="D476" s="635"/>
      <c r="E476" s="21">
        <f t="shared" si="101"/>
        <v>0.02</v>
      </c>
      <c r="F476" s="635"/>
      <c r="G476" s="21">
        <f t="shared" si="102"/>
        <v>1</v>
      </c>
      <c r="H476" s="635"/>
      <c r="I476" s="21">
        <f t="shared" si="103"/>
        <v>1</v>
      </c>
      <c r="J476" s="635"/>
      <c r="K476" s="21">
        <f t="shared" si="104"/>
        <v>1</v>
      </c>
      <c r="L476" s="635"/>
      <c r="M476" s="21">
        <f t="shared" si="105"/>
        <v>1</v>
      </c>
      <c r="N476" s="635"/>
      <c r="O476" s="21">
        <f t="shared" si="106"/>
        <v>1</v>
      </c>
      <c r="P476" s="635"/>
      <c r="Q476" s="21">
        <f t="shared" si="107"/>
        <v>1</v>
      </c>
      <c r="R476" s="21">
        <f t="shared" si="108"/>
        <v>0</v>
      </c>
      <c r="S476" s="308">
        <f t="shared" si="99"/>
        <v>0</v>
      </c>
    </row>
    <row r="477" spans="1:19">
      <c r="A477" s="142"/>
      <c r="B477" s="52"/>
      <c r="C477" s="21">
        <f t="shared" si="100"/>
        <v>1</v>
      </c>
      <c r="D477" s="635"/>
      <c r="E477" s="21">
        <f t="shared" si="101"/>
        <v>0.02</v>
      </c>
      <c r="F477" s="635"/>
      <c r="G477" s="21">
        <f t="shared" si="102"/>
        <v>1</v>
      </c>
      <c r="H477" s="635"/>
      <c r="I477" s="21">
        <f t="shared" si="103"/>
        <v>1</v>
      </c>
      <c r="J477" s="635"/>
      <c r="K477" s="21">
        <f t="shared" si="104"/>
        <v>1</v>
      </c>
      <c r="L477" s="635"/>
      <c r="M477" s="21">
        <f t="shared" si="105"/>
        <v>1</v>
      </c>
      <c r="N477" s="635"/>
      <c r="O477" s="21">
        <f t="shared" si="106"/>
        <v>1</v>
      </c>
      <c r="P477" s="635"/>
      <c r="Q477" s="21">
        <f t="shared" si="107"/>
        <v>1</v>
      </c>
      <c r="R477" s="21">
        <f t="shared" si="108"/>
        <v>0</v>
      </c>
      <c r="S477" s="308">
        <f t="shared" si="99"/>
        <v>0</v>
      </c>
    </row>
    <row r="478" spans="1:19">
      <c r="A478" s="142"/>
      <c r="B478" s="52"/>
      <c r="C478" s="21">
        <f t="shared" si="100"/>
        <v>1</v>
      </c>
      <c r="D478" s="635"/>
      <c r="E478" s="21">
        <f t="shared" si="101"/>
        <v>0.02</v>
      </c>
      <c r="F478" s="635"/>
      <c r="G478" s="21">
        <f t="shared" si="102"/>
        <v>1</v>
      </c>
      <c r="H478" s="635"/>
      <c r="I478" s="21">
        <f t="shared" si="103"/>
        <v>1</v>
      </c>
      <c r="J478" s="635"/>
      <c r="K478" s="21">
        <f t="shared" si="104"/>
        <v>1</v>
      </c>
      <c r="L478" s="635"/>
      <c r="M478" s="21">
        <f t="shared" si="105"/>
        <v>1</v>
      </c>
      <c r="N478" s="635"/>
      <c r="O478" s="21">
        <f t="shared" si="106"/>
        <v>1</v>
      </c>
      <c r="P478" s="635"/>
      <c r="Q478" s="21">
        <f t="shared" si="107"/>
        <v>1</v>
      </c>
      <c r="R478" s="21">
        <f t="shared" si="108"/>
        <v>0</v>
      </c>
      <c r="S478" s="308">
        <f t="shared" si="99"/>
        <v>0</v>
      </c>
    </row>
    <row r="479" spans="1:19">
      <c r="A479" s="142"/>
      <c r="B479" s="52"/>
      <c r="C479" s="21">
        <f t="shared" si="100"/>
        <v>1</v>
      </c>
      <c r="D479" s="635"/>
      <c r="E479" s="21">
        <f t="shared" si="101"/>
        <v>0.02</v>
      </c>
      <c r="F479" s="635"/>
      <c r="G479" s="21">
        <f t="shared" si="102"/>
        <v>1</v>
      </c>
      <c r="H479" s="635"/>
      <c r="I479" s="21">
        <f t="shared" si="103"/>
        <v>1</v>
      </c>
      <c r="J479" s="635"/>
      <c r="K479" s="21">
        <f t="shared" si="104"/>
        <v>1</v>
      </c>
      <c r="L479" s="635"/>
      <c r="M479" s="21">
        <f t="shared" si="105"/>
        <v>1</v>
      </c>
      <c r="N479" s="635"/>
      <c r="O479" s="21">
        <f t="shared" si="106"/>
        <v>1</v>
      </c>
      <c r="P479" s="635"/>
      <c r="Q479" s="21">
        <f t="shared" si="107"/>
        <v>1</v>
      </c>
      <c r="R479" s="21">
        <f t="shared" si="108"/>
        <v>0</v>
      </c>
      <c r="S479" s="308">
        <f t="shared" si="99"/>
        <v>0</v>
      </c>
    </row>
    <row r="480" spans="1:19">
      <c r="A480" s="142"/>
      <c r="B480" s="52"/>
      <c r="C480" s="21">
        <f t="shared" si="100"/>
        <v>1</v>
      </c>
      <c r="D480" s="635"/>
      <c r="E480" s="21">
        <f t="shared" si="101"/>
        <v>0.02</v>
      </c>
      <c r="F480" s="635"/>
      <c r="G480" s="21">
        <f t="shared" si="102"/>
        <v>1</v>
      </c>
      <c r="H480" s="635"/>
      <c r="I480" s="21">
        <f t="shared" si="103"/>
        <v>1</v>
      </c>
      <c r="J480" s="635"/>
      <c r="K480" s="21">
        <f t="shared" si="104"/>
        <v>1</v>
      </c>
      <c r="L480" s="635"/>
      <c r="M480" s="21">
        <f t="shared" si="105"/>
        <v>1</v>
      </c>
      <c r="N480" s="635"/>
      <c r="O480" s="21">
        <f t="shared" si="106"/>
        <v>1</v>
      </c>
      <c r="P480" s="635"/>
      <c r="Q480" s="21">
        <f t="shared" si="107"/>
        <v>1</v>
      </c>
      <c r="R480" s="21">
        <f t="shared" si="108"/>
        <v>0</v>
      </c>
      <c r="S480" s="308">
        <f t="shared" si="99"/>
        <v>0</v>
      </c>
    </row>
    <row r="481" spans="1:19">
      <c r="A481" s="142"/>
      <c r="B481" s="52"/>
      <c r="C481" s="21">
        <f t="shared" si="100"/>
        <v>1</v>
      </c>
      <c r="D481" s="635"/>
      <c r="E481" s="21">
        <f t="shared" si="101"/>
        <v>0.02</v>
      </c>
      <c r="F481" s="635"/>
      <c r="G481" s="21">
        <f t="shared" si="102"/>
        <v>1</v>
      </c>
      <c r="H481" s="635"/>
      <c r="I481" s="21">
        <f t="shared" si="103"/>
        <v>1</v>
      </c>
      <c r="J481" s="635"/>
      <c r="K481" s="21">
        <f t="shared" si="104"/>
        <v>1</v>
      </c>
      <c r="L481" s="635"/>
      <c r="M481" s="21">
        <f t="shared" si="105"/>
        <v>1</v>
      </c>
      <c r="N481" s="635"/>
      <c r="O481" s="21">
        <f t="shared" si="106"/>
        <v>1</v>
      </c>
      <c r="P481" s="635"/>
      <c r="Q481" s="21">
        <f t="shared" si="107"/>
        <v>1</v>
      </c>
      <c r="R481" s="21">
        <f t="shared" si="108"/>
        <v>0</v>
      </c>
      <c r="S481" s="308">
        <f t="shared" si="99"/>
        <v>0</v>
      </c>
    </row>
    <row r="482" spans="1:19">
      <c r="A482" s="142"/>
      <c r="B482" s="52"/>
      <c r="C482" s="21">
        <f t="shared" si="100"/>
        <v>1</v>
      </c>
      <c r="D482" s="635"/>
      <c r="E482" s="21">
        <f t="shared" si="101"/>
        <v>0.02</v>
      </c>
      <c r="F482" s="635"/>
      <c r="G482" s="21">
        <f t="shared" si="102"/>
        <v>1</v>
      </c>
      <c r="H482" s="635"/>
      <c r="I482" s="21">
        <f t="shared" si="103"/>
        <v>1</v>
      </c>
      <c r="J482" s="635"/>
      <c r="K482" s="21">
        <f t="shared" si="104"/>
        <v>1</v>
      </c>
      <c r="L482" s="635"/>
      <c r="M482" s="21">
        <f t="shared" si="105"/>
        <v>1</v>
      </c>
      <c r="N482" s="635"/>
      <c r="O482" s="21">
        <f t="shared" si="106"/>
        <v>1</v>
      </c>
      <c r="P482" s="635"/>
      <c r="Q482" s="21">
        <f t="shared" si="107"/>
        <v>1</v>
      </c>
      <c r="R482" s="21">
        <f t="shared" si="108"/>
        <v>0</v>
      </c>
      <c r="S482" s="308">
        <f t="shared" si="99"/>
        <v>0</v>
      </c>
    </row>
    <row r="483" spans="1:19">
      <c r="A483" s="142"/>
      <c r="B483" s="52"/>
      <c r="C483" s="21">
        <f t="shared" si="100"/>
        <v>1</v>
      </c>
      <c r="D483" s="635"/>
      <c r="E483" s="21">
        <f t="shared" si="101"/>
        <v>0.02</v>
      </c>
      <c r="F483" s="635"/>
      <c r="G483" s="21">
        <f t="shared" si="102"/>
        <v>1</v>
      </c>
      <c r="H483" s="635"/>
      <c r="I483" s="21">
        <f t="shared" si="103"/>
        <v>1</v>
      </c>
      <c r="J483" s="635"/>
      <c r="K483" s="21">
        <f t="shared" si="104"/>
        <v>1</v>
      </c>
      <c r="L483" s="635"/>
      <c r="M483" s="21">
        <f t="shared" si="105"/>
        <v>1</v>
      </c>
      <c r="N483" s="635"/>
      <c r="O483" s="21">
        <f t="shared" si="106"/>
        <v>1</v>
      </c>
      <c r="P483" s="635"/>
      <c r="Q483" s="21">
        <f t="shared" si="107"/>
        <v>1</v>
      </c>
      <c r="R483" s="21">
        <f t="shared" si="108"/>
        <v>0</v>
      </c>
      <c r="S483" s="308">
        <f t="shared" si="99"/>
        <v>0</v>
      </c>
    </row>
    <row r="484" spans="1:19">
      <c r="A484" s="142"/>
      <c r="B484" s="52"/>
      <c r="C484" s="21">
        <f t="shared" si="100"/>
        <v>1</v>
      </c>
      <c r="D484" s="635"/>
      <c r="E484" s="21">
        <f t="shared" si="101"/>
        <v>0.02</v>
      </c>
      <c r="F484" s="635"/>
      <c r="G484" s="21">
        <f t="shared" si="102"/>
        <v>1</v>
      </c>
      <c r="H484" s="635"/>
      <c r="I484" s="21">
        <f t="shared" si="103"/>
        <v>1</v>
      </c>
      <c r="J484" s="635"/>
      <c r="K484" s="21">
        <f t="shared" si="104"/>
        <v>1</v>
      </c>
      <c r="L484" s="635"/>
      <c r="M484" s="21">
        <f t="shared" si="105"/>
        <v>1</v>
      </c>
      <c r="N484" s="635"/>
      <c r="O484" s="21">
        <f t="shared" si="106"/>
        <v>1</v>
      </c>
      <c r="P484" s="635"/>
      <c r="Q484" s="21">
        <f t="shared" si="107"/>
        <v>1</v>
      </c>
      <c r="R484" s="21">
        <f t="shared" si="108"/>
        <v>0</v>
      </c>
      <c r="S484" s="308">
        <f t="shared" si="99"/>
        <v>0</v>
      </c>
    </row>
    <row r="485" spans="1:19">
      <c r="A485" s="142"/>
      <c r="B485" s="52"/>
      <c r="C485" s="21">
        <f t="shared" si="100"/>
        <v>1</v>
      </c>
      <c r="D485" s="635"/>
      <c r="E485" s="21">
        <f t="shared" si="101"/>
        <v>0.02</v>
      </c>
      <c r="F485" s="635"/>
      <c r="G485" s="21">
        <f t="shared" si="102"/>
        <v>1</v>
      </c>
      <c r="H485" s="635"/>
      <c r="I485" s="21">
        <f t="shared" si="103"/>
        <v>1</v>
      </c>
      <c r="J485" s="635"/>
      <c r="K485" s="21">
        <f t="shared" si="104"/>
        <v>1</v>
      </c>
      <c r="L485" s="635"/>
      <c r="M485" s="21">
        <f t="shared" si="105"/>
        <v>1</v>
      </c>
      <c r="N485" s="635"/>
      <c r="O485" s="21">
        <f t="shared" si="106"/>
        <v>1</v>
      </c>
      <c r="P485" s="635"/>
      <c r="Q485" s="21">
        <f t="shared" si="107"/>
        <v>1</v>
      </c>
      <c r="R485" s="21">
        <f t="shared" si="108"/>
        <v>0</v>
      </c>
      <c r="S485" s="308">
        <f t="shared" si="99"/>
        <v>0</v>
      </c>
    </row>
    <row r="486" spans="1:19">
      <c r="A486" s="142"/>
      <c r="B486" s="52"/>
      <c r="C486" s="21">
        <f t="shared" si="100"/>
        <v>1</v>
      </c>
      <c r="D486" s="635"/>
      <c r="E486" s="21">
        <f t="shared" si="101"/>
        <v>0.02</v>
      </c>
      <c r="F486" s="635"/>
      <c r="G486" s="21">
        <f t="shared" si="102"/>
        <v>1</v>
      </c>
      <c r="H486" s="635"/>
      <c r="I486" s="21">
        <f t="shared" si="103"/>
        <v>1</v>
      </c>
      <c r="J486" s="635"/>
      <c r="K486" s="21">
        <f t="shared" si="104"/>
        <v>1</v>
      </c>
      <c r="L486" s="635"/>
      <c r="M486" s="21">
        <f t="shared" si="105"/>
        <v>1</v>
      </c>
      <c r="N486" s="635"/>
      <c r="O486" s="21">
        <f t="shared" si="106"/>
        <v>1</v>
      </c>
      <c r="P486" s="635"/>
      <c r="Q486" s="21">
        <f t="shared" si="107"/>
        <v>1</v>
      </c>
      <c r="R486" s="21">
        <f t="shared" si="108"/>
        <v>0</v>
      </c>
      <c r="S486" s="308">
        <f t="shared" si="99"/>
        <v>0</v>
      </c>
    </row>
    <row r="487" spans="1:19">
      <c r="A487" s="142"/>
      <c r="B487" s="52"/>
      <c r="C487" s="21">
        <f t="shared" si="100"/>
        <v>1</v>
      </c>
      <c r="D487" s="635"/>
      <c r="E487" s="21">
        <f t="shared" si="101"/>
        <v>0.02</v>
      </c>
      <c r="F487" s="635"/>
      <c r="G487" s="21">
        <f t="shared" si="102"/>
        <v>1</v>
      </c>
      <c r="H487" s="635"/>
      <c r="I487" s="21">
        <f t="shared" si="103"/>
        <v>1</v>
      </c>
      <c r="J487" s="635"/>
      <c r="K487" s="21">
        <f t="shared" si="104"/>
        <v>1</v>
      </c>
      <c r="L487" s="635"/>
      <c r="M487" s="21">
        <f t="shared" si="105"/>
        <v>1</v>
      </c>
      <c r="N487" s="635"/>
      <c r="O487" s="21">
        <f t="shared" si="106"/>
        <v>1</v>
      </c>
      <c r="P487" s="635"/>
      <c r="Q487" s="21">
        <f t="shared" si="107"/>
        <v>1</v>
      </c>
      <c r="R487" s="21">
        <f t="shared" si="108"/>
        <v>0</v>
      </c>
      <c r="S487" s="308">
        <f t="shared" si="99"/>
        <v>0</v>
      </c>
    </row>
    <row r="488" spans="1:19">
      <c r="A488" s="142"/>
      <c r="B488" s="52"/>
      <c r="C488" s="21">
        <f t="shared" si="100"/>
        <v>1</v>
      </c>
      <c r="D488" s="635"/>
      <c r="E488" s="21">
        <f t="shared" si="101"/>
        <v>0.02</v>
      </c>
      <c r="F488" s="635"/>
      <c r="G488" s="21">
        <f t="shared" si="102"/>
        <v>1</v>
      </c>
      <c r="H488" s="635"/>
      <c r="I488" s="21">
        <f t="shared" si="103"/>
        <v>1</v>
      </c>
      <c r="J488" s="635"/>
      <c r="K488" s="21">
        <f t="shared" si="104"/>
        <v>1</v>
      </c>
      <c r="L488" s="635"/>
      <c r="M488" s="21">
        <f t="shared" si="105"/>
        <v>1</v>
      </c>
      <c r="N488" s="635"/>
      <c r="O488" s="21">
        <f t="shared" si="106"/>
        <v>1</v>
      </c>
      <c r="P488" s="635"/>
      <c r="Q488" s="21">
        <f t="shared" si="107"/>
        <v>1</v>
      </c>
      <c r="R488" s="21">
        <f t="shared" si="108"/>
        <v>0</v>
      </c>
      <c r="S488" s="308">
        <f t="shared" si="99"/>
        <v>0</v>
      </c>
    </row>
    <row r="489" spans="1:19">
      <c r="A489" s="142"/>
      <c r="B489" s="52"/>
      <c r="C489" s="21">
        <f t="shared" si="100"/>
        <v>1</v>
      </c>
      <c r="D489" s="635"/>
      <c r="E489" s="21">
        <f t="shared" si="101"/>
        <v>0.02</v>
      </c>
      <c r="F489" s="635"/>
      <c r="G489" s="21">
        <f t="shared" si="102"/>
        <v>1</v>
      </c>
      <c r="H489" s="635"/>
      <c r="I489" s="21">
        <f t="shared" si="103"/>
        <v>1</v>
      </c>
      <c r="J489" s="635"/>
      <c r="K489" s="21">
        <f t="shared" si="104"/>
        <v>1</v>
      </c>
      <c r="L489" s="635"/>
      <c r="M489" s="21">
        <f t="shared" si="105"/>
        <v>1</v>
      </c>
      <c r="N489" s="635"/>
      <c r="O489" s="21">
        <f t="shared" si="106"/>
        <v>1</v>
      </c>
      <c r="P489" s="635"/>
      <c r="Q489" s="21">
        <f t="shared" si="107"/>
        <v>1</v>
      </c>
      <c r="R489" s="21">
        <f t="shared" si="108"/>
        <v>0</v>
      </c>
      <c r="S489" s="308">
        <f t="shared" si="99"/>
        <v>0</v>
      </c>
    </row>
    <row r="490" spans="1:19">
      <c r="A490" s="142"/>
      <c r="B490" s="52"/>
      <c r="C490" s="21">
        <f t="shared" si="100"/>
        <v>1</v>
      </c>
      <c r="D490" s="635"/>
      <c r="E490" s="21">
        <f t="shared" si="101"/>
        <v>0.02</v>
      </c>
      <c r="F490" s="635"/>
      <c r="G490" s="21">
        <f t="shared" si="102"/>
        <v>1</v>
      </c>
      <c r="H490" s="635"/>
      <c r="I490" s="21">
        <f t="shared" si="103"/>
        <v>1</v>
      </c>
      <c r="J490" s="635"/>
      <c r="K490" s="21">
        <f t="shared" si="104"/>
        <v>1</v>
      </c>
      <c r="L490" s="635"/>
      <c r="M490" s="21">
        <f t="shared" si="105"/>
        <v>1</v>
      </c>
      <c r="N490" s="635"/>
      <c r="O490" s="21">
        <f t="shared" si="106"/>
        <v>1</v>
      </c>
      <c r="P490" s="635"/>
      <c r="Q490" s="21">
        <f t="shared" si="107"/>
        <v>1</v>
      </c>
      <c r="R490" s="21">
        <f t="shared" si="108"/>
        <v>0</v>
      </c>
      <c r="S490" s="308">
        <f t="shared" si="99"/>
        <v>0</v>
      </c>
    </row>
    <row r="491" spans="1:19">
      <c r="A491" s="142"/>
      <c r="B491" s="52"/>
      <c r="C491" s="21">
        <f t="shared" si="100"/>
        <v>1</v>
      </c>
      <c r="D491" s="635"/>
      <c r="E491" s="21">
        <f t="shared" si="101"/>
        <v>0.02</v>
      </c>
      <c r="F491" s="635"/>
      <c r="G491" s="21">
        <f t="shared" si="102"/>
        <v>1</v>
      </c>
      <c r="H491" s="635"/>
      <c r="I491" s="21">
        <f t="shared" si="103"/>
        <v>1</v>
      </c>
      <c r="J491" s="635"/>
      <c r="K491" s="21">
        <f t="shared" si="104"/>
        <v>1</v>
      </c>
      <c r="L491" s="635"/>
      <c r="M491" s="21">
        <f t="shared" si="105"/>
        <v>1</v>
      </c>
      <c r="N491" s="635"/>
      <c r="O491" s="21">
        <f t="shared" si="106"/>
        <v>1</v>
      </c>
      <c r="P491" s="635"/>
      <c r="Q491" s="21">
        <f t="shared" si="107"/>
        <v>1</v>
      </c>
      <c r="R491" s="21">
        <f t="shared" si="108"/>
        <v>0</v>
      </c>
      <c r="S491" s="308">
        <f t="shared" si="99"/>
        <v>0</v>
      </c>
    </row>
    <row r="492" spans="1:19">
      <c r="A492" s="142"/>
      <c r="B492" s="52"/>
      <c r="C492" s="21">
        <f t="shared" si="100"/>
        <v>1</v>
      </c>
      <c r="D492" s="635"/>
      <c r="E492" s="21">
        <f t="shared" si="101"/>
        <v>0.02</v>
      </c>
      <c r="F492" s="635"/>
      <c r="G492" s="21">
        <f t="shared" si="102"/>
        <v>1</v>
      </c>
      <c r="H492" s="635"/>
      <c r="I492" s="21">
        <f t="shared" si="103"/>
        <v>1</v>
      </c>
      <c r="J492" s="635"/>
      <c r="K492" s="21">
        <f t="shared" si="104"/>
        <v>1</v>
      </c>
      <c r="L492" s="635"/>
      <c r="M492" s="21">
        <f t="shared" si="105"/>
        <v>1</v>
      </c>
      <c r="N492" s="635"/>
      <c r="O492" s="21">
        <f t="shared" si="106"/>
        <v>1</v>
      </c>
      <c r="P492" s="635"/>
      <c r="Q492" s="21">
        <f t="shared" si="107"/>
        <v>1</v>
      </c>
      <c r="R492" s="21">
        <f t="shared" si="108"/>
        <v>0</v>
      </c>
      <c r="S492" s="308">
        <f t="shared" si="99"/>
        <v>0</v>
      </c>
    </row>
    <row r="493" spans="1:19">
      <c r="A493" s="142"/>
      <c r="B493" s="52"/>
      <c r="C493" s="21">
        <f t="shared" si="100"/>
        <v>1</v>
      </c>
      <c r="D493" s="635"/>
      <c r="E493" s="21">
        <f t="shared" si="101"/>
        <v>0.02</v>
      </c>
      <c r="F493" s="635"/>
      <c r="G493" s="21">
        <f t="shared" si="102"/>
        <v>1</v>
      </c>
      <c r="H493" s="635"/>
      <c r="I493" s="21">
        <f t="shared" si="103"/>
        <v>1</v>
      </c>
      <c r="J493" s="635"/>
      <c r="K493" s="21">
        <f t="shared" si="104"/>
        <v>1</v>
      </c>
      <c r="L493" s="635"/>
      <c r="M493" s="21">
        <f t="shared" si="105"/>
        <v>1</v>
      </c>
      <c r="N493" s="635"/>
      <c r="O493" s="21">
        <f t="shared" si="106"/>
        <v>1</v>
      </c>
      <c r="P493" s="635"/>
      <c r="Q493" s="21">
        <f t="shared" si="107"/>
        <v>1</v>
      </c>
      <c r="R493" s="21">
        <f t="shared" si="108"/>
        <v>0</v>
      </c>
      <c r="S493" s="308">
        <f t="shared" si="99"/>
        <v>0</v>
      </c>
    </row>
    <row r="494" spans="1:19">
      <c r="A494" s="142"/>
      <c r="B494" s="52"/>
      <c r="C494" s="21">
        <f t="shared" si="100"/>
        <v>1</v>
      </c>
      <c r="D494" s="635"/>
      <c r="E494" s="21">
        <f t="shared" si="101"/>
        <v>0.02</v>
      </c>
      <c r="F494" s="635"/>
      <c r="G494" s="21">
        <f t="shared" si="102"/>
        <v>1</v>
      </c>
      <c r="H494" s="635"/>
      <c r="I494" s="21">
        <f t="shared" si="103"/>
        <v>1</v>
      </c>
      <c r="J494" s="635"/>
      <c r="K494" s="21">
        <f t="shared" si="104"/>
        <v>1</v>
      </c>
      <c r="L494" s="635"/>
      <c r="M494" s="21">
        <f t="shared" si="105"/>
        <v>1</v>
      </c>
      <c r="N494" s="635"/>
      <c r="O494" s="21">
        <f t="shared" si="106"/>
        <v>1</v>
      </c>
      <c r="P494" s="635"/>
      <c r="Q494" s="21">
        <f t="shared" si="107"/>
        <v>1</v>
      </c>
      <c r="R494" s="21">
        <f t="shared" si="108"/>
        <v>0</v>
      </c>
      <c r="S494" s="308">
        <f t="shared" si="99"/>
        <v>0</v>
      </c>
    </row>
    <row r="495" spans="1:19">
      <c r="A495" s="142"/>
      <c r="B495" s="52"/>
      <c r="C495" s="21">
        <f t="shared" si="100"/>
        <v>1</v>
      </c>
      <c r="D495" s="635"/>
      <c r="E495" s="21">
        <f t="shared" si="101"/>
        <v>0.02</v>
      </c>
      <c r="F495" s="635"/>
      <c r="G495" s="21">
        <f t="shared" si="102"/>
        <v>1</v>
      </c>
      <c r="H495" s="635"/>
      <c r="I495" s="21">
        <f t="shared" si="103"/>
        <v>1</v>
      </c>
      <c r="J495" s="635"/>
      <c r="K495" s="21">
        <f t="shared" si="104"/>
        <v>1</v>
      </c>
      <c r="L495" s="635"/>
      <c r="M495" s="21">
        <f t="shared" si="105"/>
        <v>1</v>
      </c>
      <c r="N495" s="635"/>
      <c r="O495" s="21">
        <f t="shared" si="106"/>
        <v>1</v>
      </c>
      <c r="P495" s="635"/>
      <c r="Q495" s="21">
        <f t="shared" si="107"/>
        <v>1</v>
      </c>
      <c r="R495" s="21">
        <f t="shared" si="108"/>
        <v>0</v>
      </c>
      <c r="S495" s="308">
        <f t="shared" si="99"/>
        <v>0</v>
      </c>
    </row>
    <row r="496" spans="1:19">
      <c r="A496" s="142"/>
      <c r="B496" s="52"/>
      <c r="C496" s="21">
        <f t="shared" si="100"/>
        <v>1</v>
      </c>
      <c r="D496" s="635"/>
      <c r="E496" s="21">
        <f t="shared" si="101"/>
        <v>0.02</v>
      </c>
      <c r="F496" s="635"/>
      <c r="G496" s="21">
        <f t="shared" si="102"/>
        <v>1</v>
      </c>
      <c r="H496" s="635"/>
      <c r="I496" s="21">
        <f t="shared" si="103"/>
        <v>1</v>
      </c>
      <c r="J496" s="635"/>
      <c r="K496" s="21">
        <f t="shared" si="104"/>
        <v>1</v>
      </c>
      <c r="L496" s="635"/>
      <c r="M496" s="21">
        <f t="shared" si="105"/>
        <v>1</v>
      </c>
      <c r="N496" s="635"/>
      <c r="O496" s="21">
        <f t="shared" si="106"/>
        <v>1</v>
      </c>
      <c r="P496" s="635"/>
      <c r="Q496" s="21">
        <f t="shared" si="107"/>
        <v>1</v>
      </c>
      <c r="R496" s="21">
        <f t="shared" si="108"/>
        <v>0</v>
      </c>
      <c r="S496" s="308">
        <f t="shared" si="99"/>
        <v>0</v>
      </c>
    </row>
    <row r="497" spans="1:19">
      <c r="A497" s="142"/>
      <c r="B497" s="52"/>
      <c r="C497" s="21">
        <f t="shared" si="100"/>
        <v>1</v>
      </c>
      <c r="D497" s="635"/>
      <c r="E497" s="21">
        <f t="shared" si="101"/>
        <v>0.02</v>
      </c>
      <c r="F497" s="635"/>
      <c r="G497" s="21">
        <f t="shared" si="102"/>
        <v>1</v>
      </c>
      <c r="H497" s="635"/>
      <c r="I497" s="21">
        <f t="shared" si="103"/>
        <v>1</v>
      </c>
      <c r="J497" s="635"/>
      <c r="K497" s="21">
        <f t="shared" si="104"/>
        <v>1</v>
      </c>
      <c r="L497" s="635"/>
      <c r="M497" s="21">
        <f t="shared" si="105"/>
        <v>1</v>
      </c>
      <c r="N497" s="635"/>
      <c r="O497" s="21">
        <f t="shared" si="106"/>
        <v>1</v>
      </c>
      <c r="P497" s="635"/>
      <c r="Q497" s="21">
        <f t="shared" si="107"/>
        <v>1</v>
      </c>
      <c r="R497" s="21">
        <f t="shared" si="108"/>
        <v>0</v>
      </c>
      <c r="S497" s="308">
        <f t="shared" si="99"/>
        <v>0</v>
      </c>
    </row>
    <row r="498" spans="1:19">
      <c r="A498" s="142"/>
      <c r="B498" s="52"/>
      <c r="C498" s="21">
        <f t="shared" si="100"/>
        <v>1</v>
      </c>
      <c r="D498" s="635"/>
      <c r="E498" s="21">
        <f t="shared" si="101"/>
        <v>0.02</v>
      </c>
      <c r="F498" s="635"/>
      <c r="G498" s="21">
        <f t="shared" si="102"/>
        <v>1</v>
      </c>
      <c r="H498" s="635"/>
      <c r="I498" s="21">
        <f t="shared" si="103"/>
        <v>1</v>
      </c>
      <c r="J498" s="635"/>
      <c r="K498" s="21">
        <f t="shared" si="104"/>
        <v>1</v>
      </c>
      <c r="L498" s="635"/>
      <c r="M498" s="21">
        <f t="shared" si="105"/>
        <v>1</v>
      </c>
      <c r="N498" s="635"/>
      <c r="O498" s="21">
        <f t="shared" si="106"/>
        <v>1</v>
      </c>
      <c r="P498" s="635"/>
      <c r="Q498" s="21">
        <f t="shared" si="107"/>
        <v>1</v>
      </c>
      <c r="R498" s="21">
        <f t="shared" si="108"/>
        <v>0</v>
      </c>
      <c r="S498" s="308">
        <f t="shared" ref="S498:S524" si="109">ROUND(R498*B498/10000,0)</f>
        <v>0</v>
      </c>
    </row>
    <row r="499" spans="1:19">
      <c r="A499" s="142"/>
      <c r="B499" s="52"/>
      <c r="C499" s="21">
        <f t="shared" si="100"/>
        <v>1</v>
      </c>
      <c r="D499" s="635"/>
      <c r="E499" s="21">
        <f t="shared" si="101"/>
        <v>0.02</v>
      </c>
      <c r="F499" s="635"/>
      <c r="G499" s="21">
        <f t="shared" si="102"/>
        <v>1</v>
      </c>
      <c r="H499" s="635"/>
      <c r="I499" s="21">
        <f t="shared" si="103"/>
        <v>1</v>
      </c>
      <c r="J499" s="635"/>
      <c r="K499" s="21">
        <f t="shared" si="104"/>
        <v>1</v>
      </c>
      <c r="L499" s="635"/>
      <c r="M499" s="21">
        <f t="shared" si="105"/>
        <v>1</v>
      </c>
      <c r="N499" s="635"/>
      <c r="O499" s="21">
        <f t="shared" si="106"/>
        <v>1</v>
      </c>
      <c r="P499" s="635"/>
      <c r="Q499" s="21">
        <f t="shared" si="107"/>
        <v>1</v>
      </c>
      <c r="R499" s="21">
        <f t="shared" si="108"/>
        <v>0</v>
      </c>
      <c r="S499" s="308">
        <f t="shared" si="109"/>
        <v>0</v>
      </c>
    </row>
    <row r="500" spans="1:19">
      <c r="A500" s="142"/>
      <c r="B500" s="52"/>
      <c r="C500" s="21">
        <f t="shared" si="100"/>
        <v>1</v>
      </c>
      <c r="D500" s="635"/>
      <c r="E500" s="21">
        <f t="shared" si="101"/>
        <v>0.02</v>
      </c>
      <c r="F500" s="635"/>
      <c r="G500" s="21">
        <f t="shared" si="102"/>
        <v>1</v>
      </c>
      <c r="H500" s="635"/>
      <c r="I500" s="21">
        <f t="shared" si="103"/>
        <v>1</v>
      </c>
      <c r="J500" s="635"/>
      <c r="K500" s="21">
        <f t="shared" si="104"/>
        <v>1</v>
      </c>
      <c r="L500" s="635"/>
      <c r="M500" s="21">
        <f t="shared" si="105"/>
        <v>1</v>
      </c>
      <c r="N500" s="635"/>
      <c r="O500" s="21">
        <f t="shared" si="106"/>
        <v>1</v>
      </c>
      <c r="P500" s="635"/>
      <c r="Q500" s="21">
        <f t="shared" si="107"/>
        <v>1</v>
      </c>
      <c r="R500" s="21">
        <f t="shared" si="108"/>
        <v>0</v>
      </c>
      <c r="S500" s="308">
        <f t="shared" si="109"/>
        <v>0</v>
      </c>
    </row>
    <row r="501" spans="1:19">
      <c r="A501" s="142"/>
      <c r="B501" s="52"/>
      <c r="C501" s="21">
        <f t="shared" si="100"/>
        <v>1</v>
      </c>
      <c r="D501" s="635"/>
      <c r="E501" s="21">
        <f t="shared" si="101"/>
        <v>0.02</v>
      </c>
      <c r="F501" s="635"/>
      <c r="G501" s="21">
        <f t="shared" si="102"/>
        <v>1</v>
      </c>
      <c r="H501" s="635"/>
      <c r="I501" s="21">
        <f t="shared" si="103"/>
        <v>1</v>
      </c>
      <c r="J501" s="635"/>
      <c r="K501" s="21">
        <f t="shared" si="104"/>
        <v>1</v>
      </c>
      <c r="L501" s="635"/>
      <c r="M501" s="21">
        <f t="shared" si="105"/>
        <v>1</v>
      </c>
      <c r="N501" s="635"/>
      <c r="O501" s="21">
        <f t="shared" si="106"/>
        <v>1</v>
      </c>
      <c r="P501" s="635"/>
      <c r="Q501" s="21">
        <f t="shared" si="107"/>
        <v>1</v>
      </c>
      <c r="R501" s="21">
        <f t="shared" si="108"/>
        <v>0</v>
      </c>
      <c r="S501" s="308">
        <f t="shared" si="109"/>
        <v>0</v>
      </c>
    </row>
    <row r="502" spans="1:19">
      <c r="A502" s="142"/>
      <c r="B502" s="52"/>
      <c r="C502" s="21">
        <f t="shared" si="100"/>
        <v>1</v>
      </c>
      <c r="D502" s="635"/>
      <c r="E502" s="21">
        <f t="shared" si="101"/>
        <v>0.02</v>
      </c>
      <c r="F502" s="635"/>
      <c r="G502" s="21">
        <f t="shared" si="102"/>
        <v>1</v>
      </c>
      <c r="H502" s="635"/>
      <c r="I502" s="21">
        <f t="shared" si="103"/>
        <v>1</v>
      </c>
      <c r="J502" s="635"/>
      <c r="K502" s="21">
        <f t="shared" si="104"/>
        <v>1</v>
      </c>
      <c r="L502" s="635"/>
      <c r="M502" s="21">
        <f t="shared" si="105"/>
        <v>1</v>
      </c>
      <c r="N502" s="635"/>
      <c r="O502" s="21">
        <f t="shared" si="106"/>
        <v>1</v>
      </c>
      <c r="P502" s="635"/>
      <c r="Q502" s="21">
        <f t="shared" si="107"/>
        <v>1</v>
      </c>
      <c r="R502" s="21">
        <f t="shared" si="108"/>
        <v>0</v>
      </c>
      <c r="S502" s="308">
        <f t="shared" si="109"/>
        <v>0</v>
      </c>
    </row>
    <row r="503" spans="1:19">
      <c r="A503" s="142"/>
      <c r="B503" s="52"/>
      <c r="C503" s="21">
        <f t="shared" si="100"/>
        <v>1</v>
      </c>
      <c r="D503" s="635"/>
      <c r="E503" s="21">
        <f t="shared" si="101"/>
        <v>0.02</v>
      </c>
      <c r="F503" s="635"/>
      <c r="G503" s="21">
        <f t="shared" si="102"/>
        <v>1</v>
      </c>
      <c r="H503" s="635"/>
      <c r="I503" s="21">
        <f t="shared" si="103"/>
        <v>1</v>
      </c>
      <c r="J503" s="635"/>
      <c r="K503" s="21">
        <f t="shared" si="104"/>
        <v>1</v>
      </c>
      <c r="L503" s="635"/>
      <c r="M503" s="21">
        <f t="shared" si="105"/>
        <v>1</v>
      </c>
      <c r="N503" s="635"/>
      <c r="O503" s="21">
        <f t="shared" si="106"/>
        <v>1</v>
      </c>
      <c r="P503" s="635"/>
      <c r="Q503" s="21">
        <f t="shared" si="107"/>
        <v>1</v>
      </c>
      <c r="R503" s="21">
        <f t="shared" si="108"/>
        <v>0</v>
      </c>
      <c r="S503" s="308">
        <f t="shared" si="109"/>
        <v>0</v>
      </c>
    </row>
    <row r="504" spans="1:19">
      <c r="A504" s="142"/>
      <c r="B504" s="52"/>
      <c r="C504" s="21">
        <f t="shared" si="100"/>
        <v>1</v>
      </c>
      <c r="D504" s="635"/>
      <c r="E504" s="21">
        <f t="shared" si="101"/>
        <v>0.02</v>
      </c>
      <c r="F504" s="635"/>
      <c r="G504" s="21">
        <f t="shared" si="102"/>
        <v>1</v>
      </c>
      <c r="H504" s="635"/>
      <c r="I504" s="21">
        <f t="shared" si="103"/>
        <v>1</v>
      </c>
      <c r="J504" s="635"/>
      <c r="K504" s="21">
        <f t="shared" si="104"/>
        <v>1</v>
      </c>
      <c r="L504" s="635"/>
      <c r="M504" s="21">
        <f t="shared" si="105"/>
        <v>1</v>
      </c>
      <c r="N504" s="635"/>
      <c r="O504" s="21">
        <f t="shared" si="106"/>
        <v>1</v>
      </c>
      <c r="P504" s="635"/>
      <c r="Q504" s="21">
        <f t="shared" si="107"/>
        <v>1</v>
      </c>
      <c r="R504" s="21">
        <f t="shared" si="108"/>
        <v>0</v>
      </c>
      <c r="S504" s="308">
        <f t="shared" si="109"/>
        <v>0</v>
      </c>
    </row>
    <row r="505" spans="1:19">
      <c r="A505" s="142"/>
      <c r="B505" s="52"/>
      <c r="C505" s="21">
        <f t="shared" si="100"/>
        <v>1</v>
      </c>
      <c r="D505" s="635"/>
      <c r="E505" s="21">
        <f t="shared" si="101"/>
        <v>0.02</v>
      </c>
      <c r="F505" s="635"/>
      <c r="G505" s="21">
        <f t="shared" si="102"/>
        <v>1</v>
      </c>
      <c r="H505" s="635"/>
      <c r="I505" s="21">
        <f t="shared" si="103"/>
        <v>1</v>
      </c>
      <c r="J505" s="635"/>
      <c r="K505" s="21">
        <f t="shared" si="104"/>
        <v>1</v>
      </c>
      <c r="L505" s="635"/>
      <c r="M505" s="21">
        <f t="shared" si="105"/>
        <v>1</v>
      </c>
      <c r="N505" s="635"/>
      <c r="O505" s="21">
        <f t="shared" si="106"/>
        <v>1</v>
      </c>
      <c r="P505" s="635"/>
      <c r="Q505" s="21">
        <f t="shared" si="107"/>
        <v>1</v>
      </c>
      <c r="R505" s="21">
        <f t="shared" si="108"/>
        <v>0</v>
      </c>
      <c r="S505" s="308">
        <f t="shared" si="109"/>
        <v>0</v>
      </c>
    </row>
    <row r="506" spans="1:19">
      <c r="A506" s="142"/>
      <c r="B506" s="52"/>
      <c r="C506" s="21">
        <f t="shared" si="100"/>
        <v>1</v>
      </c>
      <c r="D506" s="635"/>
      <c r="E506" s="21">
        <f t="shared" si="101"/>
        <v>0.02</v>
      </c>
      <c r="F506" s="635"/>
      <c r="G506" s="21">
        <f t="shared" si="102"/>
        <v>1</v>
      </c>
      <c r="H506" s="635"/>
      <c r="I506" s="21">
        <f t="shared" si="103"/>
        <v>1</v>
      </c>
      <c r="J506" s="635"/>
      <c r="K506" s="21">
        <f t="shared" si="104"/>
        <v>1</v>
      </c>
      <c r="L506" s="635"/>
      <c r="M506" s="21">
        <f t="shared" si="105"/>
        <v>1</v>
      </c>
      <c r="N506" s="635"/>
      <c r="O506" s="21">
        <f t="shared" si="106"/>
        <v>1</v>
      </c>
      <c r="P506" s="635"/>
      <c r="Q506" s="21">
        <f t="shared" si="107"/>
        <v>1</v>
      </c>
      <c r="R506" s="21">
        <f t="shared" si="108"/>
        <v>0</v>
      </c>
      <c r="S506" s="308">
        <f t="shared" si="109"/>
        <v>0</v>
      </c>
    </row>
    <row r="507" spans="1:19">
      <c r="A507" s="142"/>
      <c r="B507" s="52"/>
      <c r="C507" s="21">
        <f t="shared" si="100"/>
        <v>1</v>
      </c>
      <c r="D507" s="635"/>
      <c r="E507" s="21">
        <f t="shared" si="101"/>
        <v>0.02</v>
      </c>
      <c r="F507" s="635"/>
      <c r="G507" s="21">
        <f t="shared" si="102"/>
        <v>1</v>
      </c>
      <c r="H507" s="635"/>
      <c r="I507" s="21">
        <f t="shared" si="103"/>
        <v>1</v>
      </c>
      <c r="J507" s="635"/>
      <c r="K507" s="21">
        <f t="shared" si="104"/>
        <v>1</v>
      </c>
      <c r="L507" s="635"/>
      <c r="M507" s="21">
        <f t="shared" si="105"/>
        <v>1</v>
      </c>
      <c r="N507" s="635"/>
      <c r="O507" s="21">
        <f t="shared" si="106"/>
        <v>1</v>
      </c>
      <c r="P507" s="635"/>
      <c r="Q507" s="21">
        <f t="shared" si="107"/>
        <v>1</v>
      </c>
      <c r="R507" s="21">
        <f t="shared" si="108"/>
        <v>0</v>
      </c>
      <c r="S507" s="308">
        <f t="shared" si="109"/>
        <v>0</v>
      </c>
    </row>
    <row r="508" spans="1:19">
      <c r="A508" s="142"/>
      <c r="B508" s="52"/>
      <c r="C508" s="21">
        <f t="shared" si="100"/>
        <v>1</v>
      </c>
      <c r="D508" s="635"/>
      <c r="E508" s="21">
        <f t="shared" si="101"/>
        <v>0.02</v>
      </c>
      <c r="F508" s="635"/>
      <c r="G508" s="21">
        <f t="shared" si="102"/>
        <v>1</v>
      </c>
      <c r="H508" s="635"/>
      <c r="I508" s="21">
        <f t="shared" si="103"/>
        <v>1</v>
      </c>
      <c r="J508" s="635"/>
      <c r="K508" s="21">
        <f t="shared" si="104"/>
        <v>1</v>
      </c>
      <c r="L508" s="635"/>
      <c r="M508" s="21">
        <f t="shared" si="105"/>
        <v>1</v>
      </c>
      <c r="N508" s="635"/>
      <c r="O508" s="21">
        <f t="shared" si="106"/>
        <v>1</v>
      </c>
      <c r="P508" s="635"/>
      <c r="Q508" s="21">
        <f t="shared" si="107"/>
        <v>1</v>
      </c>
      <c r="R508" s="21">
        <f t="shared" si="108"/>
        <v>0</v>
      </c>
      <c r="S508" s="308">
        <f t="shared" si="109"/>
        <v>0</v>
      </c>
    </row>
    <row r="509" spans="1:19">
      <c r="A509" s="142"/>
      <c r="B509" s="52"/>
      <c r="C509" s="21">
        <f t="shared" si="100"/>
        <v>1</v>
      </c>
      <c r="D509" s="635"/>
      <c r="E509" s="21">
        <f t="shared" si="101"/>
        <v>0.02</v>
      </c>
      <c r="F509" s="635"/>
      <c r="G509" s="21">
        <f t="shared" si="102"/>
        <v>1</v>
      </c>
      <c r="H509" s="635"/>
      <c r="I509" s="21">
        <f t="shared" si="103"/>
        <v>1</v>
      </c>
      <c r="J509" s="635"/>
      <c r="K509" s="21">
        <f t="shared" si="104"/>
        <v>1</v>
      </c>
      <c r="L509" s="635"/>
      <c r="M509" s="21">
        <f t="shared" si="105"/>
        <v>1</v>
      </c>
      <c r="N509" s="635"/>
      <c r="O509" s="21">
        <f t="shared" si="106"/>
        <v>1</v>
      </c>
      <c r="P509" s="635"/>
      <c r="Q509" s="21">
        <f t="shared" si="107"/>
        <v>1</v>
      </c>
      <c r="R509" s="21">
        <f t="shared" si="108"/>
        <v>0</v>
      </c>
      <c r="S509" s="308">
        <f t="shared" si="109"/>
        <v>0</v>
      </c>
    </row>
    <row r="510" spans="1:19">
      <c r="A510" s="142"/>
      <c r="B510" s="52"/>
      <c r="C510" s="21">
        <f t="shared" si="100"/>
        <v>1</v>
      </c>
      <c r="D510" s="635"/>
      <c r="E510" s="21">
        <f t="shared" si="101"/>
        <v>0.02</v>
      </c>
      <c r="F510" s="635"/>
      <c r="G510" s="21">
        <f t="shared" si="102"/>
        <v>1</v>
      </c>
      <c r="H510" s="635"/>
      <c r="I510" s="21">
        <f t="shared" si="103"/>
        <v>1</v>
      </c>
      <c r="J510" s="635"/>
      <c r="K510" s="21">
        <f t="shared" si="104"/>
        <v>1</v>
      </c>
      <c r="L510" s="635"/>
      <c r="M510" s="21">
        <f t="shared" si="105"/>
        <v>1</v>
      </c>
      <c r="N510" s="635"/>
      <c r="O510" s="21">
        <f t="shared" si="106"/>
        <v>1</v>
      </c>
      <c r="P510" s="635"/>
      <c r="Q510" s="21">
        <f t="shared" si="107"/>
        <v>1</v>
      </c>
      <c r="R510" s="21">
        <f t="shared" si="108"/>
        <v>0</v>
      </c>
      <c r="S510" s="308">
        <f t="shared" si="109"/>
        <v>0</v>
      </c>
    </row>
    <row r="511" spans="1:19">
      <c r="A511" s="142"/>
      <c r="B511" s="52"/>
      <c r="C511" s="21">
        <f t="shared" si="100"/>
        <v>1</v>
      </c>
      <c r="D511" s="635"/>
      <c r="E511" s="21">
        <f t="shared" si="101"/>
        <v>0.02</v>
      </c>
      <c r="F511" s="635"/>
      <c r="G511" s="21">
        <f t="shared" si="102"/>
        <v>1</v>
      </c>
      <c r="H511" s="635"/>
      <c r="I511" s="21">
        <f t="shared" si="103"/>
        <v>1</v>
      </c>
      <c r="J511" s="635"/>
      <c r="K511" s="21">
        <f t="shared" si="104"/>
        <v>1</v>
      </c>
      <c r="L511" s="635"/>
      <c r="M511" s="21">
        <f t="shared" si="105"/>
        <v>1</v>
      </c>
      <c r="N511" s="635"/>
      <c r="O511" s="21">
        <f t="shared" si="106"/>
        <v>1</v>
      </c>
      <c r="P511" s="635"/>
      <c r="Q511" s="21">
        <f t="shared" si="107"/>
        <v>1</v>
      </c>
      <c r="R511" s="21">
        <f t="shared" si="108"/>
        <v>0</v>
      </c>
      <c r="S511" s="308">
        <f t="shared" si="109"/>
        <v>0</v>
      </c>
    </row>
    <row r="512" spans="1:19">
      <c r="A512" s="142"/>
      <c r="B512" s="52"/>
      <c r="C512" s="21">
        <f t="shared" si="100"/>
        <v>1</v>
      </c>
      <c r="D512" s="635"/>
      <c r="E512" s="21">
        <f t="shared" si="101"/>
        <v>0.02</v>
      </c>
      <c r="F512" s="635"/>
      <c r="G512" s="21">
        <f t="shared" si="102"/>
        <v>1</v>
      </c>
      <c r="H512" s="635"/>
      <c r="I512" s="21">
        <f t="shared" si="103"/>
        <v>1</v>
      </c>
      <c r="J512" s="635"/>
      <c r="K512" s="21">
        <f t="shared" si="104"/>
        <v>1</v>
      </c>
      <c r="L512" s="635"/>
      <c r="M512" s="21">
        <f t="shared" si="105"/>
        <v>1</v>
      </c>
      <c r="N512" s="635"/>
      <c r="O512" s="21">
        <f t="shared" si="106"/>
        <v>1</v>
      </c>
      <c r="P512" s="635"/>
      <c r="Q512" s="21">
        <f t="shared" si="107"/>
        <v>1</v>
      </c>
      <c r="R512" s="21">
        <f t="shared" si="108"/>
        <v>0</v>
      </c>
      <c r="S512" s="308">
        <f t="shared" si="109"/>
        <v>0</v>
      </c>
    </row>
    <row r="513" spans="1:19">
      <c r="A513" s="142"/>
      <c r="B513" s="52"/>
      <c r="C513" s="21">
        <f t="shared" si="100"/>
        <v>1</v>
      </c>
      <c r="D513" s="635"/>
      <c r="E513" s="21">
        <f t="shared" si="101"/>
        <v>0.02</v>
      </c>
      <c r="F513" s="635"/>
      <c r="G513" s="21">
        <f t="shared" si="102"/>
        <v>1</v>
      </c>
      <c r="H513" s="635"/>
      <c r="I513" s="21">
        <f t="shared" si="103"/>
        <v>1</v>
      </c>
      <c r="J513" s="635"/>
      <c r="K513" s="21">
        <f t="shared" si="104"/>
        <v>1</v>
      </c>
      <c r="L513" s="635"/>
      <c r="M513" s="21">
        <f t="shared" si="105"/>
        <v>1</v>
      </c>
      <c r="N513" s="635"/>
      <c r="O513" s="21">
        <f t="shared" si="106"/>
        <v>1</v>
      </c>
      <c r="P513" s="635"/>
      <c r="Q513" s="21">
        <f t="shared" si="107"/>
        <v>1</v>
      </c>
      <c r="R513" s="21">
        <f t="shared" si="108"/>
        <v>0</v>
      </c>
      <c r="S513" s="308">
        <f t="shared" si="109"/>
        <v>0</v>
      </c>
    </row>
    <row r="514" spans="1:19">
      <c r="A514" s="142"/>
      <c r="B514" s="52"/>
      <c r="C514" s="21">
        <f t="shared" si="100"/>
        <v>1</v>
      </c>
      <c r="D514" s="635"/>
      <c r="E514" s="21">
        <f t="shared" si="101"/>
        <v>0.02</v>
      </c>
      <c r="F514" s="635"/>
      <c r="G514" s="21">
        <f t="shared" si="102"/>
        <v>1</v>
      </c>
      <c r="H514" s="635"/>
      <c r="I514" s="21">
        <f t="shared" si="103"/>
        <v>1</v>
      </c>
      <c r="J514" s="635"/>
      <c r="K514" s="21">
        <f t="shared" si="104"/>
        <v>1</v>
      </c>
      <c r="L514" s="635"/>
      <c r="M514" s="21">
        <f t="shared" si="105"/>
        <v>1</v>
      </c>
      <c r="N514" s="635"/>
      <c r="O514" s="21">
        <f t="shared" si="106"/>
        <v>1</v>
      </c>
      <c r="P514" s="635"/>
      <c r="Q514" s="21">
        <f t="shared" si="107"/>
        <v>1</v>
      </c>
      <c r="R514" s="21">
        <f t="shared" si="108"/>
        <v>0</v>
      </c>
      <c r="S514" s="308">
        <f t="shared" si="109"/>
        <v>0</v>
      </c>
    </row>
    <row r="515" spans="1:19">
      <c r="A515" s="142"/>
      <c r="B515" s="52"/>
      <c r="C515" s="21">
        <f t="shared" si="100"/>
        <v>1</v>
      </c>
      <c r="D515" s="635"/>
      <c r="E515" s="21">
        <f t="shared" si="101"/>
        <v>0.02</v>
      </c>
      <c r="F515" s="635"/>
      <c r="G515" s="21">
        <f t="shared" si="102"/>
        <v>1</v>
      </c>
      <c r="H515" s="635"/>
      <c r="I515" s="21">
        <f t="shared" si="103"/>
        <v>1</v>
      </c>
      <c r="J515" s="635"/>
      <c r="K515" s="21">
        <f t="shared" si="104"/>
        <v>1</v>
      </c>
      <c r="L515" s="635"/>
      <c r="M515" s="21">
        <f t="shared" si="105"/>
        <v>1</v>
      </c>
      <c r="N515" s="635"/>
      <c r="O515" s="21">
        <f t="shared" si="106"/>
        <v>1</v>
      </c>
      <c r="P515" s="635"/>
      <c r="Q515" s="21">
        <f t="shared" si="107"/>
        <v>1</v>
      </c>
      <c r="R515" s="21">
        <f t="shared" si="108"/>
        <v>0</v>
      </c>
      <c r="S515" s="308">
        <f t="shared" si="109"/>
        <v>0</v>
      </c>
    </row>
    <row r="516" spans="1:19">
      <c r="A516" s="142"/>
      <c r="B516" s="52"/>
      <c r="C516" s="21">
        <f t="shared" si="100"/>
        <v>1</v>
      </c>
      <c r="D516" s="635"/>
      <c r="E516" s="21">
        <f t="shared" si="101"/>
        <v>0.02</v>
      </c>
      <c r="F516" s="635"/>
      <c r="G516" s="21">
        <f t="shared" si="102"/>
        <v>1</v>
      </c>
      <c r="H516" s="635"/>
      <c r="I516" s="21">
        <f t="shared" si="103"/>
        <v>1</v>
      </c>
      <c r="J516" s="635"/>
      <c r="K516" s="21">
        <f t="shared" si="104"/>
        <v>1</v>
      </c>
      <c r="L516" s="635"/>
      <c r="M516" s="21">
        <f t="shared" si="105"/>
        <v>1</v>
      </c>
      <c r="N516" s="635"/>
      <c r="O516" s="21">
        <f t="shared" si="106"/>
        <v>1</v>
      </c>
      <c r="P516" s="635"/>
      <c r="Q516" s="21">
        <f t="shared" si="107"/>
        <v>1</v>
      </c>
      <c r="R516" s="21">
        <f t="shared" si="108"/>
        <v>0</v>
      </c>
      <c r="S516" s="308">
        <f t="shared" si="109"/>
        <v>0</v>
      </c>
    </row>
    <row r="517" spans="1:19">
      <c r="A517" s="142"/>
      <c r="B517" s="52"/>
      <c r="C517" s="21">
        <f t="shared" si="100"/>
        <v>1</v>
      </c>
      <c r="D517" s="635"/>
      <c r="E517" s="21">
        <f t="shared" si="101"/>
        <v>0.02</v>
      </c>
      <c r="F517" s="635"/>
      <c r="G517" s="21">
        <f t="shared" si="102"/>
        <v>1</v>
      </c>
      <c r="H517" s="635"/>
      <c r="I517" s="21">
        <f t="shared" si="103"/>
        <v>1</v>
      </c>
      <c r="J517" s="635"/>
      <c r="K517" s="21">
        <f t="shared" si="104"/>
        <v>1</v>
      </c>
      <c r="L517" s="635"/>
      <c r="M517" s="21">
        <f t="shared" si="105"/>
        <v>1</v>
      </c>
      <c r="N517" s="635"/>
      <c r="O517" s="21">
        <f t="shared" si="106"/>
        <v>1</v>
      </c>
      <c r="P517" s="635"/>
      <c r="Q517" s="21">
        <f t="shared" si="107"/>
        <v>1</v>
      </c>
      <c r="R517" s="21">
        <f t="shared" si="108"/>
        <v>0</v>
      </c>
      <c r="S517" s="308">
        <f t="shared" si="109"/>
        <v>0</v>
      </c>
    </row>
    <row r="518" spans="1:19">
      <c r="A518" s="142"/>
      <c r="B518" s="52"/>
      <c r="C518" s="21">
        <f t="shared" si="100"/>
        <v>1</v>
      </c>
      <c r="D518" s="635"/>
      <c r="E518" s="21">
        <f t="shared" si="101"/>
        <v>0.02</v>
      </c>
      <c r="F518" s="635"/>
      <c r="G518" s="21">
        <f t="shared" si="102"/>
        <v>1</v>
      </c>
      <c r="H518" s="635"/>
      <c r="I518" s="21">
        <f t="shared" si="103"/>
        <v>1</v>
      </c>
      <c r="J518" s="635"/>
      <c r="K518" s="21">
        <f t="shared" si="104"/>
        <v>1</v>
      </c>
      <c r="L518" s="635"/>
      <c r="M518" s="21">
        <f t="shared" si="105"/>
        <v>1</v>
      </c>
      <c r="N518" s="635"/>
      <c r="O518" s="21">
        <f t="shared" si="106"/>
        <v>1</v>
      </c>
      <c r="P518" s="635"/>
      <c r="Q518" s="21">
        <f t="shared" si="107"/>
        <v>1</v>
      </c>
      <c r="R518" s="21">
        <f t="shared" si="108"/>
        <v>0</v>
      </c>
      <c r="S518" s="308">
        <f t="shared" si="109"/>
        <v>0</v>
      </c>
    </row>
    <row r="519" spans="1:19">
      <c r="A519" s="142"/>
      <c r="B519" s="52"/>
      <c r="C519" s="21">
        <f t="shared" si="100"/>
        <v>1</v>
      </c>
      <c r="D519" s="635"/>
      <c r="E519" s="21">
        <f t="shared" si="101"/>
        <v>0.02</v>
      </c>
      <c r="F519" s="635"/>
      <c r="G519" s="21">
        <f t="shared" si="102"/>
        <v>1</v>
      </c>
      <c r="H519" s="635"/>
      <c r="I519" s="21">
        <f t="shared" si="103"/>
        <v>1</v>
      </c>
      <c r="J519" s="635"/>
      <c r="K519" s="21">
        <f t="shared" si="104"/>
        <v>1</v>
      </c>
      <c r="L519" s="635"/>
      <c r="M519" s="21">
        <f t="shared" si="105"/>
        <v>1</v>
      </c>
      <c r="N519" s="635"/>
      <c r="O519" s="21">
        <f t="shared" si="106"/>
        <v>1</v>
      </c>
      <c r="P519" s="635"/>
      <c r="Q519" s="21">
        <f t="shared" si="107"/>
        <v>1</v>
      </c>
      <c r="R519" s="21">
        <f t="shared" si="108"/>
        <v>0</v>
      </c>
      <c r="S519" s="308">
        <f t="shared" si="109"/>
        <v>0</v>
      </c>
    </row>
    <row r="520" spans="1:19">
      <c r="A520" s="142"/>
      <c r="B520" s="52"/>
      <c r="C520" s="21">
        <f t="shared" si="100"/>
        <v>1</v>
      </c>
      <c r="D520" s="635"/>
      <c r="E520" s="21">
        <f t="shared" si="101"/>
        <v>0.02</v>
      </c>
      <c r="F520" s="635"/>
      <c r="G520" s="21">
        <f t="shared" si="102"/>
        <v>1</v>
      </c>
      <c r="H520" s="635"/>
      <c r="I520" s="21">
        <f t="shared" si="103"/>
        <v>1</v>
      </c>
      <c r="J520" s="635"/>
      <c r="K520" s="21">
        <f t="shared" si="104"/>
        <v>1</v>
      </c>
      <c r="L520" s="635"/>
      <c r="M520" s="21">
        <f t="shared" si="105"/>
        <v>1</v>
      </c>
      <c r="N520" s="635"/>
      <c r="O520" s="21">
        <f t="shared" si="106"/>
        <v>1</v>
      </c>
      <c r="P520" s="635"/>
      <c r="Q520" s="21">
        <f t="shared" si="107"/>
        <v>1</v>
      </c>
      <c r="R520" s="21">
        <f t="shared" si="108"/>
        <v>0</v>
      </c>
      <c r="S520" s="308">
        <f t="shared" si="109"/>
        <v>0</v>
      </c>
    </row>
    <row r="521" spans="1:19">
      <c r="A521" s="142"/>
      <c r="B521" s="52"/>
      <c r="C521" s="21">
        <f t="shared" si="100"/>
        <v>1</v>
      </c>
      <c r="D521" s="635"/>
      <c r="E521" s="21">
        <f t="shared" si="101"/>
        <v>0.02</v>
      </c>
      <c r="F521" s="635"/>
      <c r="G521" s="21">
        <f t="shared" si="102"/>
        <v>1</v>
      </c>
      <c r="H521" s="635"/>
      <c r="I521" s="21">
        <f t="shared" si="103"/>
        <v>1</v>
      </c>
      <c r="J521" s="635"/>
      <c r="K521" s="21">
        <f t="shared" si="104"/>
        <v>1</v>
      </c>
      <c r="L521" s="635"/>
      <c r="M521" s="21">
        <f t="shared" si="105"/>
        <v>1</v>
      </c>
      <c r="N521" s="635"/>
      <c r="O521" s="21">
        <f t="shared" si="106"/>
        <v>1</v>
      </c>
      <c r="P521" s="635"/>
      <c r="Q521" s="21">
        <f t="shared" si="107"/>
        <v>1</v>
      </c>
      <c r="R521" s="21">
        <f t="shared" si="108"/>
        <v>0</v>
      </c>
      <c r="S521" s="308">
        <f t="shared" si="109"/>
        <v>0</v>
      </c>
    </row>
    <row r="522" spans="1:19">
      <c r="A522" s="142"/>
      <c r="B522" s="52"/>
      <c r="C522" s="21">
        <f t="shared" si="100"/>
        <v>1</v>
      </c>
      <c r="D522" s="635"/>
      <c r="E522" s="21">
        <f t="shared" si="101"/>
        <v>0.02</v>
      </c>
      <c r="F522" s="635"/>
      <c r="G522" s="21">
        <f t="shared" si="102"/>
        <v>1</v>
      </c>
      <c r="H522" s="635"/>
      <c r="I522" s="21">
        <f t="shared" si="103"/>
        <v>1</v>
      </c>
      <c r="J522" s="635"/>
      <c r="K522" s="21">
        <f t="shared" si="104"/>
        <v>1</v>
      </c>
      <c r="L522" s="635"/>
      <c r="M522" s="21">
        <f t="shared" si="105"/>
        <v>1</v>
      </c>
      <c r="N522" s="635"/>
      <c r="O522" s="21">
        <f t="shared" si="106"/>
        <v>1</v>
      </c>
      <c r="P522" s="635"/>
      <c r="Q522" s="21">
        <f t="shared" si="107"/>
        <v>1</v>
      </c>
      <c r="R522" s="21">
        <f t="shared" si="108"/>
        <v>0</v>
      </c>
      <c r="S522" s="308">
        <f t="shared" si="109"/>
        <v>0</v>
      </c>
    </row>
    <row r="523" spans="1:19">
      <c r="A523" s="142"/>
      <c r="B523" s="52"/>
      <c r="C523" s="21">
        <f t="shared" si="100"/>
        <v>1</v>
      </c>
      <c r="D523" s="635"/>
      <c r="E523" s="21">
        <f t="shared" si="101"/>
        <v>0.02</v>
      </c>
      <c r="F523" s="635"/>
      <c r="G523" s="21">
        <f t="shared" si="102"/>
        <v>1</v>
      </c>
      <c r="H523" s="635"/>
      <c r="I523" s="21">
        <f t="shared" si="103"/>
        <v>1</v>
      </c>
      <c r="J523" s="635"/>
      <c r="K523" s="21">
        <f t="shared" si="104"/>
        <v>1</v>
      </c>
      <c r="L523" s="635"/>
      <c r="M523" s="21">
        <f t="shared" si="105"/>
        <v>1</v>
      </c>
      <c r="N523" s="635"/>
      <c r="O523" s="21">
        <f t="shared" si="106"/>
        <v>1</v>
      </c>
      <c r="P523" s="635"/>
      <c r="Q523" s="21">
        <f t="shared" si="107"/>
        <v>1</v>
      </c>
      <c r="R523" s="21">
        <f t="shared" si="108"/>
        <v>0</v>
      </c>
      <c r="S523" s="308">
        <f t="shared" si="109"/>
        <v>0</v>
      </c>
    </row>
    <row r="524" spans="1:19">
      <c r="A524" s="142"/>
      <c r="B524" s="52"/>
      <c r="C524" s="21">
        <f t="shared" si="100"/>
        <v>1</v>
      </c>
      <c r="D524" s="635"/>
      <c r="E524" s="21">
        <f t="shared" si="101"/>
        <v>0.02</v>
      </c>
      <c r="F524" s="635"/>
      <c r="G524" s="21">
        <f t="shared" si="102"/>
        <v>1</v>
      </c>
      <c r="H524" s="635"/>
      <c r="I524" s="21">
        <f t="shared" si="103"/>
        <v>1</v>
      </c>
      <c r="J524" s="635"/>
      <c r="K524" s="21">
        <f t="shared" si="104"/>
        <v>1</v>
      </c>
      <c r="L524" s="635"/>
      <c r="M524" s="21">
        <f t="shared" si="105"/>
        <v>1</v>
      </c>
      <c r="N524" s="635"/>
      <c r="O524" s="21">
        <f t="shared" si="106"/>
        <v>1</v>
      </c>
      <c r="P524" s="635"/>
      <c r="Q524" s="21">
        <f t="shared" si="107"/>
        <v>1</v>
      </c>
      <c r="R524" s="21">
        <f t="shared" si="108"/>
        <v>0</v>
      </c>
      <c r="S524" s="308">
        <f t="shared" si="109"/>
        <v>0</v>
      </c>
    </row>
  </sheetData>
  <sheetProtection algorithmName="SHA-512" hashValue="vfKklcjfbzWa6OoNuFjprohmgq3Rcu/7WhvoK1ljLsl03GYCCaFZXmJdJz03ySkThjBHSDaQW+oNtGjUumQtPA==" saltValue="Q/d5xpZqvA/TsY3H5kyJyA==" spinCount="100000"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pageSetup paperSize="9" orientation="portrait" horizontalDpi="300" verticalDpi="300"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39</v>
      </c>
      <c r="C2" s="1984" t="s">
        <v>2074</v>
      </c>
      <c r="D2" s="1984" t="s">
        <v>2075</v>
      </c>
      <c r="E2" s="2396">
        <f ca="1">SUMIF(E6:E13,"&lt;&gt;#ref!",E6:E13)</f>
        <v>81.709999999999994</v>
      </c>
      <c r="F2" s="2542"/>
      <c r="G2" s="2542"/>
      <c r="H2" s="2542"/>
      <c r="I2" s="2542"/>
      <c r="J2" s="2542"/>
      <c r="K2" s="2542"/>
      <c r="L2" s="2542"/>
      <c r="M2" s="2542"/>
      <c r="N2" s="2542"/>
      <c r="O2" s="2542"/>
      <c r="P2" s="2542"/>
    </row>
    <row r="3" spans="1:16" ht="15.6">
      <c r="A3" s="1984" t="s">
        <v>2076</v>
      </c>
      <c r="B3" s="2386">
        <f ca="1">ROUND(B2*10000/E2,0)</f>
        <v>4773</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39</v>
      </c>
      <c r="C6" s="1984" t="s">
        <v>2074</v>
      </c>
      <c r="D6" s="2542"/>
      <c r="E6" s="2396">
        <f ca="1">SUMIF(INDIRECT("'"&amp;A6&amp;"'"&amp;"!C:C"),"建筑面积",INDIRECT("'"&amp;A6&amp;"'"&amp;"!D:D"))</f>
        <v>81.709999999999994</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9A38E-3637-47D7-9EF3-65092C865013}">
  <sheetPr>
    <tabColor rgb="FF7030A0"/>
  </sheetPr>
  <dimension ref="A1:Y158"/>
  <sheetViews>
    <sheetView tabSelected="1" topLeftCell="L1" workbookViewId="0">
      <selection activeCell="M158" sqref="M158:Q158"/>
    </sheetView>
  </sheetViews>
  <sheetFormatPr defaultRowHeight="14.4"/>
  <cols>
    <col min="1" max="1" width="6.77734375" customWidth="1"/>
    <col min="2" max="2" width="18.5546875" style="3167" customWidth="1"/>
    <col min="3" max="3" width="21" style="3167" customWidth="1"/>
    <col min="4" max="4" width="22.77734375" style="3167" customWidth="1"/>
    <col min="12" max="12" width="16.33203125" customWidth="1"/>
    <col min="13" max="13" width="11.6640625" customWidth="1"/>
    <col min="14" max="14" width="12.21875" customWidth="1"/>
    <col min="15" max="15" width="11.44140625" customWidth="1"/>
    <col min="16" max="16" width="14.5546875" customWidth="1"/>
    <col min="17" max="17" width="16.109375" customWidth="1"/>
  </cols>
  <sheetData>
    <row r="1" spans="1:25">
      <c r="A1" s="3168" t="s">
        <v>3894</v>
      </c>
      <c r="B1" s="3169" t="s">
        <v>3416</v>
      </c>
      <c r="C1" s="3169" t="s">
        <v>3417</v>
      </c>
      <c r="D1" s="3169" t="s">
        <v>3418</v>
      </c>
      <c r="E1" s="3168" t="s">
        <v>3419</v>
      </c>
      <c r="F1" s="3168" t="s">
        <v>3420</v>
      </c>
      <c r="G1" s="3168" t="s">
        <v>3421</v>
      </c>
      <c r="H1" s="3168" t="s">
        <v>3422</v>
      </c>
      <c r="I1" s="3168" t="s">
        <v>3423</v>
      </c>
      <c r="J1" s="3168" t="s">
        <v>3424</v>
      </c>
      <c r="K1" s="3168" t="s">
        <v>2541</v>
      </c>
      <c r="L1" t="str">
        <f>典型户型修正!S23</f>
        <v>总价</v>
      </c>
      <c r="M1" t="str">
        <f>典型户型修正!T22</f>
        <v>增值税及附加</v>
      </c>
      <c r="N1" s="3549" t="str">
        <f>典型户型修正!U22</f>
        <v>印花税</v>
      </c>
      <c r="O1" t="str">
        <f>典型户型修正!V22</f>
        <v>土地增值税</v>
      </c>
      <c r="P1" t="str">
        <f>典型户型修正!W23</f>
        <v>税费合计</v>
      </c>
      <c r="Q1" t="str">
        <f>典型户型修正!X23</f>
        <v>净值</v>
      </c>
    </row>
    <row r="2" spans="1:25" ht="36" customHeight="1">
      <c r="A2" s="3170">
        <v>1</v>
      </c>
      <c r="B2" s="3169" t="s">
        <v>3425</v>
      </c>
      <c r="C2" s="3169" t="s">
        <v>3426</v>
      </c>
      <c r="D2" s="3169" t="s">
        <v>3427</v>
      </c>
      <c r="E2" s="3168" t="s">
        <v>3428</v>
      </c>
      <c r="F2" s="3168" t="s">
        <v>3429</v>
      </c>
      <c r="G2" s="3170">
        <v>2</v>
      </c>
      <c r="H2" s="3168" t="s">
        <v>3430</v>
      </c>
      <c r="I2" s="3168" t="s">
        <v>3431</v>
      </c>
      <c r="J2" s="3170">
        <v>182.27</v>
      </c>
      <c r="K2" s="3168" t="s">
        <v>2810</v>
      </c>
      <c r="L2">
        <f ca="1">典型户型修正!S25</f>
        <v>170.56829999999999</v>
      </c>
      <c r="M2">
        <f ca="1">典型户型修正!T25</f>
        <v>8.9344999999999999</v>
      </c>
      <c r="N2">
        <f ca="1">典型户型修正!U25</f>
        <v>8.5300000000000001E-2</v>
      </c>
      <c r="O2">
        <f ca="1">典型户型修正!V25</f>
        <v>8.1222999999999992</v>
      </c>
      <c r="P2">
        <f ca="1">典型户型修正!W25</f>
        <v>17.142099999999999</v>
      </c>
      <c r="Q2">
        <f ca="1">典型户型修正!X25</f>
        <v>153.42619999999999</v>
      </c>
      <c r="U2" s="1405" t="s">
        <v>3896</v>
      </c>
      <c r="V2">
        <f>SUM(J2:J27)</f>
        <v>2004.8700000000006</v>
      </c>
      <c r="X2" s="1405" t="s">
        <v>3964</v>
      </c>
      <c r="Y2" s="3182" t="s">
        <v>3971</v>
      </c>
    </row>
    <row r="3" spans="1:25" ht="28.8">
      <c r="A3" s="3170">
        <v>2</v>
      </c>
      <c r="B3" s="3169" t="s">
        <v>3432</v>
      </c>
      <c r="C3" s="3171"/>
      <c r="D3" s="3169" t="s">
        <v>3433</v>
      </c>
      <c r="E3" s="3168" t="s">
        <v>3428</v>
      </c>
      <c r="F3" s="3168" t="s">
        <v>3429</v>
      </c>
      <c r="G3" s="3170">
        <v>2</v>
      </c>
      <c r="H3" s="3168" t="s">
        <v>3434</v>
      </c>
      <c r="I3" s="3168" t="s">
        <v>3431</v>
      </c>
      <c r="J3" s="3170">
        <v>75.75</v>
      </c>
      <c r="K3" s="3168" t="s">
        <v>2810</v>
      </c>
      <c r="L3">
        <f ca="1">典型户型修正!S26</f>
        <v>71.606499999999997</v>
      </c>
      <c r="M3">
        <f ca="1">典型户型修正!T26</f>
        <v>3.7507999999999999</v>
      </c>
      <c r="N3">
        <f ca="1">典型户型修正!U26</f>
        <v>3.5799999999999998E-2</v>
      </c>
      <c r="O3">
        <f ca="1">典型户型修正!V26</f>
        <v>3.4098000000000002</v>
      </c>
      <c r="P3">
        <f ca="1">典型户型修正!W26</f>
        <v>7.1964000000000006</v>
      </c>
      <c r="Q3">
        <f ca="1">典型户型修正!X26</f>
        <v>64.4101</v>
      </c>
      <c r="U3" s="1405" t="s">
        <v>3897</v>
      </c>
      <c r="V3">
        <f>SUM(J28:J53)</f>
        <v>2004.9600000000005</v>
      </c>
      <c r="X3" s="1405" t="s">
        <v>3966</v>
      </c>
      <c r="Y3" s="1405" t="s">
        <v>3967</v>
      </c>
    </row>
    <row r="4" spans="1:25" ht="28.8">
      <c r="A4" s="3170">
        <v>3</v>
      </c>
      <c r="B4" s="3177" t="s">
        <v>3435</v>
      </c>
      <c r="C4" s="3178"/>
      <c r="D4" s="3177" t="s">
        <v>3436</v>
      </c>
      <c r="E4" s="3179" t="s">
        <v>3428</v>
      </c>
      <c r="F4" s="3179" t="s">
        <v>3429</v>
      </c>
      <c r="G4" s="3180">
        <v>2</v>
      </c>
      <c r="H4" s="3179" t="s">
        <v>3437</v>
      </c>
      <c r="I4" s="3179" t="s">
        <v>3431</v>
      </c>
      <c r="J4" s="3180">
        <v>81.709999999999994</v>
      </c>
      <c r="K4" s="3179" t="s">
        <v>2810</v>
      </c>
      <c r="L4">
        <f ca="1">典型户型修正!S24</f>
        <v>77.240499999999997</v>
      </c>
      <c r="M4">
        <f ca="1">典型户型修正!T24</f>
        <v>4.0458999999999996</v>
      </c>
      <c r="N4">
        <f ca="1">典型户型修正!U24</f>
        <v>3.8600000000000002E-2</v>
      </c>
      <c r="O4">
        <f ca="1">典型户型修正!V24</f>
        <v>3.6781000000000001</v>
      </c>
      <c r="P4">
        <f ca="1">典型户型修正!W24</f>
        <v>7.7625999999999991</v>
      </c>
      <c r="Q4">
        <f ca="1">典型户型修正!X24</f>
        <v>69.477900000000005</v>
      </c>
      <c r="T4" s="3199" t="s">
        <v>3993</v>
      </c>
      <c r="U4" s="1405" t="s">
        <v>3898</v>
      </c>
      <c r="V4">
        <f>SUM(J54:J79)</f>
        <v>2004.9600000000005</v>
      </c>
      <c r="X4" s="1405" t="s">
        <v>3969</v>
      </c>
      <c r="Y4" s="1405" t="s">
        <v>3970</v>
      </c>
    </row>
    <row r="5" spans="1:25" ht="28.8">
      <c r="A5" s="3170">
        <v>4</v>
      </c>
      <c r="B5" s="3169" t="s">
        <v>3438</v>
      </c>
      <c r="C5" s="3171"/>
      <c r="D5" s="3169" t="s">
        <v>3439</v>
      </c>
      <c r="E5" s="3168" t="s">
        <v>3428</v>
      </c>
      <c r="F5" s="3168" t="s">
        <v>3429</v>
      </c>
      <c r="G5" s="3170">
        <v>2</v>
      </c>
      <c r="H5" s="3168" t="s">
        <v>3440</v>
      </c>
      <c r="I5" s="3168" t="s">
        <v>3431</v>
      </c>
      <c r="J5" s="3170">
        <v>76.430000000000007</v>
      </c>
      <c r="K5" s="3168" t="s">
        <v>2810</v>
      </c>
      <c r="L5">
        <f ca="1">典型户型修正!S28</f>
        <v>72.249300000000005</v>
      </c>
      <c r="M5">
        <f ca="1">典型户型修正!T28</f>
        <v>3.7845</v>
      </c>
      <c r="N5">
        <f ca="1">典型户型修正!U28</f>
        <v>3.61E-2</v>
      </c>
      <c r="O5">
        <f ca="1">典型户型修正!V28</f>
        <v>3.4403999999999999</v>
      </c>
      <c r="P5">
        <f ca="1">典型户型修正!W28</f>
        <v>7.2609999999999992</v>
      </c>
      <c r="Q5">
        <f ca="1">典型户型修正!X28</f>
        <v>64.98830000000001</v>
      </c>
      <c r="U5" s="1405" t="s">
        <v>3899</v>
      </c>
      <c r="V5">
        <f>SUM(J80:J105)</f>
        <v>2004.9600000000005</v>
      </c>
      <c r="X5" s="1405">
        <f>7/3</f>
        <v>2.3333333333333335</v>
      </c>
    </row>
    <row r="6" spans="1:25" ht="28.8">
      <c r="A6" s="3170">
        <v>5</v>
      </c>
      <c r="B6" s="3169" t="s">
        <v>3441</v>
      </c>
      <c r="C6" s="3171"/>
      <c r="D6" s="3169" t="s">
        <v>3442</v>
      </c>
      <c r="E6" s="3168" t="s">
        <v>3428</v>
      </c>
      <c r="F6" s="3168" t="s">
        <v>3429</v>
      </c>
      <c r="G6" s="3170">
        <v>2</v>
      </c>
      <c r="H6" s="3168" t="s">
        <v>3443</v>
      </c>
      <c r="I6" s="3168" t="s">
        <v>3431</v>
      </c>
      <c r="J6" s="3170">
        <v>73</v>
      </c>
      <c r="K6" s="3168" t="s">
        <v>2810</v>
      </c>
      <c r="L6">
        <f ca="1">典型户型修正!S29</f>
        <v>69.006900000000002</v>
      </c>
      <c r="M6">
        <f ca="1">典型户型修正!T29</f>
        <v>3.6145999999999998</v>
      </c>
      <c r="N6">
        <f ca="1">典型户型修正!U29</f>
        <v>3.4500000000000003E-2</v>
      </c>
      <c r="O6">
        <f ca="1">典型户型修正!V29</f>
        <v>3.286</v>
      </c>
      <c r="P6">
        <f ca="1">典型户型修正!W29</f>
        <v>6.9351000000000003</v>
      </c>
      <c r="Q6">
        <f ca="1">典型户型修正!X29</f>
        <v>62.071800000000003</v>
      </c>
      <c r="U6" s="1405" t="s">
        <v>3900</v>
      </c>
      <c r="V6">
        <f>SUM(J106:J131)</f>
        <v>2007.98</v>
      </c>
    </row>
    <row r="7" spans="1:25" ht="28.8">
      <c r="A7" s="3170">
        <v>6</v>
      </c>
      <c r="B7" s="3169" t="s">
        <v>3444</v>
      </c>
      <c r="C7" s="3171"/>
      <c r="D7" s="3169" t="s">
        <v>3445</v>
      </c>
      <c r="E7" s="3168" t="s">
        <v>3428</v>
      </c>
      <c r="F7" s="3168" t="s">
        <v>3429</v>
      </c>
      <c r="G7" s="3170">
        <v>2</v>
      </c>
      <c r="H7" s="3168" t="s">
        <v>3446</v>
      </c>
      <c r="I7" s="3168" t="s">
        <v>3431</v>
      </c>
      <c r="J7" s="3170">
        <v>78.45</v>
      </c>
      <c r="K7" s="3168" t="s">
        <v>2810</v>
      </c>
      <c r="L7">
        <f ca="1">典型户型修正!S30</f>
        <v>74.158799999999999</v>
      </c>
      <c r="M7">
        <f ca="1">典型户型修正!T30</f>
        <v>3.8845000000000001</v>
      </c>
      <c r="N7">
        <f ca="1">典型户型修正!U30</f>
        <v>3.7100000000000001E-2</v>
      </c>
      <c r="O7">
        <f ca="1">典型户型修正!V30</f>
        <v>3.5314000000000001</v>
      </c>
      <c r="P7">
        <f ca="1">典型户型修正!W30</f>
        <v>7.4530000000000003</v>
      </c>
      <c r="Q7">
        <f ca="1">典型户型修正!X30</f>
        <v>66.705799999999996</v>
      </c>
      <c r="U7" s="1405" t="s">
        <v>3901</v>
      </c>
      <c r="V7">
        <f>SUM(J132:J157)</f>
        <v>2007.98</v>
      </c>
    </row>
    <row r="8" spans="1:25" ht="28.8">
      <c r="A8" s="3170">
        <v>7</v>
      </c>
      <c r="B8" s="3169" t="s">
        <v>3447</v>
      </c>
      <c r="C8" s="3171"/>
      <c r="D8" s="3169" t="s">
        <v>3448</v>
      </c>
      <c r="E8" s="3168" t="s">
        <v>3428</v>
      </c>
      <c r="F8" s="3168" t="s">
        <v>3429</v>
      </c>
      <c r="G8" s="3170">
        <v>2</v>
      </c>
      <c r="H8" s="3168" t="s">
        <v>3449</v>
      </c>
      <c r="I8" s="3168" t="s">
        <v>3431</v>
      </c>
      <c r="J8" s="3170">
        <v>75.959999999999994</v>
      </c>
      <c r="K8" s="3168" t="s">
        <v>2810</v>
      </c>
      <c r="L8">
        <f ca="1">典型户型修正!S31</f>
        <v>71.805000000000007</v>
      </c>
      <c r="M8">
        <f ca="1">典型户型修正!T31</f>
        <v>3.7612000000000001</v>
      </c>
      <c r="N8">
        <f ca="1">典型户型修正!U31</f>
        <v>3.5900000000000001E-2</v>
      </c>
      <c r="O8">
        <f ca="1">典型户型修正!V31</f>
        <v>3.4192999999999998</v>
      </c>
      <c r="P8">
        <f ca="1">典型户型修正!W31</f>
        <v>7.2164000000000001</v>
      </c>
      <c r="Q8">
        <f ca="1">典型户型修正!X31</f>
        <v>64.588600000000014</v>
      </c>
      <c r="V8">
        <f>SUM(V2:V7)</f>
        <v>12035.710000000001</v>
      </c>
    </row>
    <row r="9" spans="1:25" ht="28.8">
      <c r="A9" s="3170">
        <v>8</v>
      </c>
      <c r="B9" s="3169" t="s">
        <v>3450</v>
      </c>
      <c r="C9" s="3171"/>
      <c r="D9" s="3169" t="s">
        <v>3451</v>
      </c>
      <c r="E9" s="3168" t="s">
        <v>3428</v>
      </c>
      <c r="F9" s="3168" t="s">
        <v>3429</v>
      </c>
      <c r="G9" s="3170">
        <v>2</v>
      </c>
      <c r="H9" s="3168" t="s">
        <v>3452</v>
      </c>
      <c r="I9" s="3168" t="s">
        <v>3431</v>
      </c>
      <c r="J9" s="3170">
        <v>75.959999999999994</v>
      </c>
      <c r="K9" s="3168" t="s">
        <v>2810</v>
      </c>
      <c r="L9">
        <f ca="1">典型户型修正!S32</f>
        <v>71.805000000000007</v>
      </c>
      <c r="M9">
        <f ca="1">典型户型修正!T32</f>
        <v>3.7612000000000001</v>
      </c>
      <c r="N9">
        <f ca="1">典型户型修正!U32</f>
        <v>3.5900000000000001E-2</v>
      </c>
      <c r="O9">
        <f ca="1">典型户型修正!V32</f>
        <v>3.4192999999999998</v>
      </c>
      <c r="P9">
        <f ca="1">典型户型修正!W32</f>
        <v>7.2164000000000001</v>
      </c>
      <c r="Q9">
        <f ca="1">典型户型修正!X32</f>
        <v>64.588600000000014</v>
      </c>
    </row>
    <row r="10" spans="1:25" ht="28.8">
      <c r="A10" s="3170">
        <v>9</v>
      </c>
      <c r="B10" s="3169" t="s">
        <v>3453</v>
      </c>
      <c r="C10" s="3171"/>
      <c r="D10" s="3169" t="s">
        <v>3454</v>
      </c>
      <c r="E10" s="3168" t="s">
        <v>3428</v>
      </c>
      <c r="F10" s="3168" t="s">
        <v>3429</v>
      </c>
      <c r="G10" s="3170">
        <v>2</v>
      </c>
      <c r="H10" s="3168" t="s">
        <v>3455</v>
      </c>
      <c r="I10" s="3168" t="s">
        <v>3431</v>
      </c>
      <c r="J10" s="3170">
        <v>78.45</v>
      </c>
      <c r="K10" s="3168" t="s">
        <v>2810</v>
      </c>
      <c r="L10">
        <f ca="1">典型户型修正!S33</f>
        <v>74.158799999999999</v>
      </c>
      <c r="M10">
        <f ca="1">典型户型修正!T33</f>
        <v>3.8845000000000001</v>
      </c>
      <c r="N10">
        <f ca="1">典型户型修正!U33</f>
        <v>3.7100000000000001E-2</v>
      </c>
      <c r="O10">
        <f ca="1">典型户型修正!V33</f>
        <v>3.5314000000000001</v>
      </c>
      <c r="P10">
        <f ca="1">典型户型修正!W33</f>
        <v>7.4530000000000003</v>
      </c>
      <c r="Q10">
        <f ca="1">典型户型修正!X33</f>
        <v>66.705799999999996</v>
      </c>
    </row>
    <row r="11" spans="1:25" ht="28.8">
      <c r="A11" s="3170">
        <v>10</v>
      </c>
      <c r="B11" s="3169" t="s">
        <v>3456</v>
      </c>
      <c r="C11" s="3171"/>
      <c r="D11" s="3169" t="s">
        <v>3457</v>
      </c>
      <c r="E11" s="3168" t="s">
        <v>3428</v>
      </c>
      <c r="F11" s="3168" t="s">
        <v>3429</v>
      </c>
      <c r="G11" s="3170">
        <v>2</v>
      </c>
      <c r="H11" s="3168" t="s">
        <v>3458</v>
      </c>
      <c r="I11" s="3168" t="s">
        <v>3431</v>
      </c>
      <c r="J11" s="3170">
        <v>73.47</v>
      </c>
      <c r="K11" s="3168" t="s">
        <v>2810</v>
      </c>
      <c r="L11">
        <f ca="1">典型户型修正!S34</f>
        <v>69.4512</v>
      </c>
      <c r="M11">
        <f ca="1">典型户型修正!T34</f>
        <v>3.6379000000000001</v>
      </c>
      <c r="N11">
        <f ca="1">典型户型修正!U34</f>
        <v>3.4700000000000002E-2</v>
      </c>
      <c r="O11">
        <f ca="1">典型户型修正!V34</f>
        <v>3.3071999999999999</v>
      </c>
      <c r="P11">
        <f ca="1">典型户型修正!W34</f>
        <v>6.9798</v>
      </c>
      <c r="Q11">
        <f ca="1">典型户型修正!X34</f>
        <v>62.471400000000003</v>
      </c>
    </row>
    <row r="12" spans="1:25" ht="28.8">
      <c r="A12" s="3170">
        <v>11</v>
      </c>
      <c r="B12" s="3169" t="s">
        <v>3459</v>
      </c>
      <c r="C12" s="3171"/>
      <c r="D12" s="3169" t="s">
        <v>3460</v>
      </c>
      <c r="E12" s="3168" t="s">
        <v>3428</v>
      </c>
      <c r="F12" s="3168" t="s">
        <v>3429</v>
      </c>
      <c r="G12" s="3170">
        <v>2</v>
      </c>
      <c r="H12" s="3168" t="s">
        <v>3461</v>
      </c>
      <c r="I12" s="3168" t="s">
        <v>3431</v>
      </c>
      <c r="J12" s="3170">
        <v>75.959999999999994</v>
      </c>
      <c r="K12" s="3168" t="s">
        <v>2810</v>
      </c>
      <c r="L12">
        <f ca="1">典型户型修正!S35</f>
        <v>71.805000000000007</v>
      </c>
      <c r="M12">
        <f ca="1">典型户型修正!T35</f>
        <v>3.7612000000000001</v>
      </c>
      <c r="N12">
        <f ca="1">典型户型修正!U35</f>
        <v>3.5900000000000001E-2</v>
      </c>
      <c r="O12">
        <f ca="1">典型户型修正!V35</f>
        <v>3.4192999999999998</v>
      </c>
      <c r="P12">
        <f ca="1">典型户型修正!W35</f>
        <v>7.2164000000000001</v>
      </c>
      <c r="Q12">
        <f ca="1">典型户型修正!X35</f>
        <v>64.588600000000014</v>
      </c>
    </row>
    <row r="13" spans="1:25" ht="28.8">
      <c r="A13" s="3170">
        <v>12</v>
      </c>
      <c r="B13" s="3169" t="s">
        <v>3462</v>
      </c>
      <c r="C13" s="3171"/>
      <c r="D13" s="3169" t="s">
        <v>3463</v>
      </c>
      <c r="E13" s="3168" t="s">
        <v>3428</v>
      </c>
      <c r="F13" s="3168" t="s">
        <v>3429</v>
      </c>
      <c r="G13" s="3170">
        <v>2</v>
      </c>
      <c r="H13" s="3168" t="s">
        <v>3464</v>
      </c>
      <c r="I13" s="3168" t="s">
        <v>3431</v>
      </c>
      <c r="J13" s="3170">
        <v>83.52</v>
      </c>
      <c r="K13" s="3168" t="s">
        <v>2810</v>
      </c>
      <c r="L13">
        <f ca="1">典型户型修正!S36</f>
        <v>78.951499999999996</v>
      </c>
      <c r="M13">
        <f ca="1">典型户型修正!T36</f>
        <v>4.1356000000000002</v>
      </c>
      <c r="N13">
        <f ca="1">典型户型修正!U36</f>
        <v>3.95E-2</v>
      </c>
      <c r="O13">
        <f ca="1">典型户型修正!V36</f>
        <v>3.7595999999999998</v>
      </c>
      <c r="P13">
        <f ca="1">典型户型修正!W36</f>
        <v>7.9347000000000003</v>
      </c>
      <c r="Q13">
        <f ca="1">典型户型修正!X36</f>
        <v>71.016799999999989</v>
      </c>
    </row>
    <row r="14" spans="1:25" ht="28.8">
      <c r="A14" s="3170">
        <v>13</v>
      </c>
      <c r="B14" s="3169" t="s">
        <v>3465</v>
      </c>
      <c r="C14" s="3171"/>
      <c r="D14" s="3169" t="s">
        <v>3466</v>
      </c>
      <c r="E14" s="3168" t="s">
        <v>3428</v>
      </c>
      <c r="F14" s="3168" t="s">
        <v>3429</v>
      </c>
      <c r="G14" s="3170">
        <v>2</v>
      </c>
      <c r="H14" s="3168" t="s">
        <v>3467</v>
      </c>
      <c r="I14" s="3168" t="s">
        <v>3431</v>
      </c>
      <c r="J14" s="3170">
        <v>89.88</v>
      </c>
      <c r="K14" s="3168" t="s">
        <v>2810</v>
      </c>
      <c r="L14">
        <f ca="1">典型户型修正!S37</f>
        <v>84.9636</v>
      </c>
      <c r="M14">
        <f ca="1">典型户型修正!T37</f>
        <v>4.4504999999999999</v>
      </c>
      <c r="N14">
        <f ca="1">典型户型修正!U37</f>
        <v>4.2500000000000003E-2</v>
      </c>
      <c r="O14">
        <f ca="1">典型户型修正!V37</f>
        <v>4.0458999999999996</v>
      </c>
      <c r="P14">
        <f ca="1">典型户型修正!W37</f>
        <v>8.5388999999999999</v>
      </c>
      <c r="Q14">
        <f ca="1">典型户型修正!X37</f>
        <v>76.424700000000001</v>
      </c>
    </row>
    <row r="15" spans="1:25" ht="28.8">
      <c r="A15" s="3170">
        <v>14</v>
      </c>
      <c r="B15" s="3169" t="s">
        <v>3468</v>
      </c>
      <c r="C15" s="3171"/>
      <c r="D15" s="3169" t="s">
        <v>3469</v>
      </c>
      <c r="E15" s="3168" t="s">
        <v>3428</v>
      </c>
      <c r="F15" s="3168" t="s">
        <v>3429</v>
      </c>
      <c r="G15" s="3170">
        <v>2</v>
      </c>
      <c r="H15" s="3168" t="s">
        <v>3470</v>
      </c>
      <c r="I15" s="3168" t="s">
        <v>3431</v>
      </c>
      <c r="J15" s="3170">
        <v>174.94</v>
      </c>
      <c r="K15" s="3168" t="s">
        <v>2810</v>
      </c>
      <c r="L15">
        <f ca="1">典型户型修正!S38</f>
        <v>163.7089</v>
      </c>
      <c r="M15">
        <f ca="1">典型户型修正!T38</f>
        <v>8.5752000000000006</v>
      </c>
      <c r="N15">
        <f ca="1">典型户型修正!U38</f>
        <v>8.1900000000000001E-2</v>
      </c>
      <c r="O15">
        <f ca="1">典型户型修正!V38</f>
        <v>7.7957000000000001</v>
      </c>
      <c r="P15">
        <f ca="1">典型户型修正!W38</f>
        <v>16.4528</v>
      </c>
      <c r="Q15">
        <f ca="1">典型户型修正!X38</f>
        <v>147.2561</v>
      </c>
    </row>
    <row r="16" spans="1:25" ht="28.8">
      <c r="A16" s="3170">
        <v>15</v>
      </c>
      <c r="B16" s="3169" t="s">
        <v>3471</v>
      </c>
      <c r="C16" s="3171"/>
      <c r="D16" s="3169" t="s">
        <v>3472</v>
      </c>
      <c r="E16" s="3168" t="s">
        <v>3428</v>
      </c>
      <c r="F16" s="3168" t="s">
        <v>3429</v>
      </c>
      <c r="G16" s="3170">
        <v>2</v>
      </c>
      <c r="H16" s="3168" t="s">
        <v>3473</v>
      </c>
      <c r="I16" s="3168" t="s">
        <v>3431</v>
      </c>
      <c r="J16" s="3170">
        <v>71.52</v>
      </c>
      <c r="K16" s="3168" t="s">
        <v>2810</v>
      </c>
      <c r="L16">
        <f ca="1">典型户型修正!S39</f>
        <v>67.607900000000001</v>
      </c>
      <c r="M16">
        <f ca="1">典型户型修正!T39</f>
        <v>3.5413999999999999</v>
      </c>
      <c r="N16">
        <f ca="1">典型户型修正!U39</f>
        <v>3.3799999999999997E-2</v>
      </c>
      <c r="O16">
        <f ca="1">典型户型修正!V39</f>
        <v>3.2193999999999998</v>
      </c>
      <c r="P16">
        <f ca="1">典型户型修正!W39</f>
        <v>6.7945999999999991</v>
      </c>
      <c r="Q16">
        <f ca="1">典型户型修正!X39</f>
        <v>60.813299999999998</v>
      </c>
    </row>
    <row r="17" spans="1:17" ht="28.8">
      <c r="A17" s="3170">
        <v>16</v>
      </c>
      <c r="B17" s="3169" t="s">
        <v>3474</v>
      </c>
      <c r="C17" s="3171"/>
      <c r="D17" s="3169" t="s">
        <v>3475</v>
      </c>
      <c r="E17" s="3168" t="s">
        <v>3428</v>
      </c>
      <c r="F17" s="3168" t="s">
        <v>3429</v>
      </c>
      <c r="G17" s="3170">
        <v>2</v>
      </c>
      <c r="H17" s="3168" t="s">
        <v>3476</v>
      </c>
      <c r="I17" s="3168" t="s">
        <v>3431</v>
      </c>
      <c r="J17" s="3170">
        <v>63.07</v>
      </c>
      <c r="K17" s="3168" t="s">
        <v>2810</v>
      </c>
      <c r="L17">
        <f ca="1">典型户型修正!S40</f>
        <v>59.620100000000001</v>
      </c>
      <c r="M17">
        <f ca="1">典型户型修正!T40</f>
        <v>3.1230000000000002</v>
      </c>
      <c r="N17">
        <f ca="1">典型户型修正!U40</f>
        <v>2.98E-2</v>
      </c>
      <c r="O17">
        <f ca="1">典型户型修正!V40</f>
        <v>2.8391000000000002</v>
      </c>
      <c r="P17">
        <f ca="1">典型户型修正!W40</f>
        <v>5.9919000000000002</v>
      </c>
      <c r="Q17">
        <f ca="1">典型户型修正!X40</f>
        <v>53.6282</v>
      </c>
    </row>
    <row r="18" spans="1:17" ht="28.8">
      <c r="A18" s="3170">
        <v>17</v>
      </c>
      <c r="B18" s="3169" t="s">
        <v>3477</v>
      </c>
      <c r="C18" s="3171"/>
      <c r="D18" s="3169" t="s">
        <v>3478</v>
      </c>
      <c r="E18" s="3168" t="s">
        <v>3428</v>
      </c>
      <c r="F18" s="3168" t="s">
        <v>3429</v>
      </c>
      <c r="G18" s="3170">
        <v>2</v>
      </c>
      <c r="H18" s="3168" t="s">
        <v>3479</v>
      </c>
      <c r="I18" s="3168" t="s">
        <v>3431</v>
      </c>
      <c r="J18" s="3170">
        <v>54.75</v>
      </c>
      <c r="K18" s="3168" t="s">
        <v>2810</v>
      </c>
      <c r="L18">
        <f ca="1">典型户型修正!S41</f>
        <v>51.755200000000002</v>
      </c>
      <c r="M18">
        <f ca="1">典型户型修正!T41</f>
        <v>2.7109999999999999</v>
      </c>
      <c r="N18">
        <f ca="1">典型户型修正!U41</f>
        <v>2.5899999999999999E-2</v>
      </c>
      <c r="O18">
        <f ca="1">典型户型修正!V41</f>
        <v>2.4645000000000001</v>
      </c>
      <c r="P18">
        <f ca="1">典型户型修正!W41</f>
        <v>5.2013999999999996</v>
      </c>
      <c r="Q18">
        <f ca="1">典型户型修正!X41</f>
        <v>46.553800000000003</v>
      </c>
    </row>
    <row r="19" spans="1:17" ht="28.8">
      <c r="A19" s="3170">
        <v>18</v>
      </c>
      <c r="B19" s="3169" t="s">
        <v>3480</v>
      </c>
      <c r="C19" s="3171"/>
      <c r="D19" s="3169" t="s">
        <v>3481</v>
      </c>
      <c r="E19" s="3168" t="s">
        <v>3428</v>
      </c>
      <c r="F19" s="3168" t="s">
        <v>3429</v>
      </c>
      <c r="G19" s="3170">
        <v>2</v>
      </c>
      <c r="H19" s="3168" t="s">
        <v>3482</v>
      </c>
      <c r="I19" s="3168" t="s">
        <v>3431</v>
      </c>
      <c r="J19" s="3170">
        <v>54.75</v>
      </c>
      <c r="K19" s="3168" t="s">
        <v>2810</v>
      </c>
      <c r="L19">
        <f ca="1">典型户型修正!S42</f>
        <v>51.755200000000002</v>
      </c>
      <c r="M19">
        <f ca="1">典型户型修正!T42</f>
        <v>2.7109999999999999</v>
      </c>
      <c r="N19">
        <f ca="1">典型户型修正!U42</f>
        <v>2.5899999999999999E-2</v>
      </c>
      <c r="O19">
        <f ca="1">典型户型修正!V42</f>
        <v>2.4645000000000001</v>
      </c>
      <c r="P19">
        <f ca="1">典型户型修正!W42</f>
        <v>5.2013999999999996</v>
      </c>
      <c r="Q19">
        <f ca="1">典型户型修正!X42</f>
        <v>46.553800000000003</v>
      </c>
    </row>
    <row r="20" spans="1:17" ht="28.8">
      <c r="A20" s="3170">
        <v>19</v>
      </c>
      <c r="B20" s="3169" t="s">
        <v>3483</v>
      </c>
      <c r="C20" s="3171"/>
      <c r="D20" s="3169" t="s">
        <v>3484</v>
      </c>
      <c r="E20" s="3168" t="s">
        <v>3428</v>
      </c>
      <c r="F20" s="3168" t="s">
        <v>3429</v>
      </c>
      <c r="G20" s="3170">
        <v>2</v>
      </c>
      <c r="H20" s="3168" t="s">
        <v>3485</v>
      </c>
      <c r="I20" s="3168" t="s">
        <v>3431</v>
      </c>
      <c r="J20" s="3170">
        <v>54.75</v>
      </c>
      <c r="K20" s="3168" t="s">
        <v>2810</v>
      </c>
      <c r="L20">
        <f ca="1">典型户型修正!S43</f>
        <v>51.755200000000002</v>
      </c>
      <c r="M20">
        <f ca="1">典型户型修正!T43</f>
        <v>2.7109999999999999</v>
      </c>
      <c r="N20">
        <f ca="1">典型户型修正!U43</f>
        <v>2.5899999999999999E-2</v>
      </c>
      <c r="O20">
        <f ca="1">典型户型修正!V43</f>
        <v>2.4645000000000001</v>
      </c>
      <c r="P20">
        <f ca="1">典型户型修正!W43</f>
        <v>5.2013999999999996</v>
      </c>
      <c r="Q20">
        <f ca="1">典型户型修正!X43</f>
        <v>46.553800000000003</v>
      </c>
    </row>
    <row r="21" spans="1:17" ht="28.8">
      <c r="A21" s="3170">
        <v>20</v>
      </c>
      <c r="B21" s="3169" t="s">
        <v>3486</v>
      </c>
      <c r="C21" s="3171"/>
      <c r="D21" s="3169" t="s">
        <v>3487</v>
      </c>
      <c r="E21" s="3168" t="s">
        <v>3428</v>
      </c>
      <c r="F21" s="3168" t="s">
        <v>3429</v>
      </c>
      <c r="G21" s="3170">
        <v>2</v>
      </c>
      <c r="H21" s="3168" t="s">
        <v>3488</v>
      </c>
      <c r="I21" s="3168" t="s">
        <v>3431</v>
      </c>
      <c r="J21" s="3170">
        <v>54.75</v>
      </c>
      <c r="K21" s="3168" t="s">
        <v>2810</v>
      </c>
      <c r="L21">
        <f ca="1">典型户型修正!S44</f>
        <v>51.755200000000002</v>
      </c>
      <c r="M21">
        <f ca="1">典型户型修正!T44</f>
        <v>2.7109999999999999</v>
      </c>
      <c r="N21">
        <f ca="1">典型户型修正!U44</f>
        <v>2.5899999999999999E-2</v>
      </c>
      <c r="O21">
        <f ca="1">典型户型修正!V44</f>
        <v>2.4645000000000001</v>
      </c>
      <c r="P21">
        <f ca="1">典型户型修正!W44</f>
        <v>5.2013999999999996</v>
      </c>
      <c r="Q21">
        <f ca="1">典型户型修正!X44</f>
        <v>46.553800000000003</v>
      </c>
    </row>
    <row r="22" spans="1:17" ht="28.8">
      <c r="A22" s="3170">
        <v>21</v>
      </c>
      <c r="B22" s="3169" t="s">
        <v>3489</v>
      </c>
      <c r="C22" s="3171"/>
      <c r="D22" s="3169" t="s">
        <v>3490</v>
      </c>
      <c r="E22" s="3168" t="s">
        <v>3428</v>
      </c>
      <c r="F22" s="3168" t="s">
        <v>3429</v>
      </c>
      <c r="G22" s="3170">
        <v>2</v>
      </c>
      <c r="H22" s="3168" t="s">
        <v>3491</v>
      </c>
      <c r="I22" s="3168" t="s">
        <v>3431</v>
      </c>
      <c r="J22" s="3170">
        <v>54.75</v>
      </c>
      <c r="K22" s="3168" t="s">
        <v>2810</v>
      </c>
      <c r="L22">
        <f ca="1">典型户型修正!S45</f>
        <v>51.755200000000002</v>
      </c>
      <c r="M22">
        <f ca="1">典型户型修正!T45</f>
        <v>2.7109999999999999</v>
      </c>
      <c r="N22">
        <f ca="1">典型户型修正!U45</f>
        <v>2.5899999999999999E-2</v>
      </c>
      <c r="O22">
        <f ca="1">典型户型修正!V45</f>
        <v>2.4645000000000001</v>
      </c>
      <c r="P22">
        <f ca="1">典型户型修正!W45</f>
        <v>5.2013999999999996</v>
      </c>
      <c r="Q22">
        <f ca="1">典型户型修正!X45</f>
        <v>46.553800000000003</v>
      </c>
    </row>
    <row r="23" spans="1:17" ht="28.8">
      <c r="A23" s="3170">
        <v>22</v>
      </c>
      <c r="B23" s="3169" t="s">
        <v>3492</v>
      </c>
      <c r="C23" s="3171"/>
      <c r="D23" s="3169" t="s">
        <v>3493</v>
      </c>
      <c r="E23" s="3168" t="s">
        <v>3428</v>
      </c>
      <c r="F23" s="3168" t="s">
        <v>3429</v>
      </c>
      <c r="G23" s="3170">
        <v>2</v>
      </c>
      <c r="H23" s="3168" t="s">
        <v>3494</v>
      </c>
      <c r="I23" s="3168" t="s">
        <v>3431</v>
      </c>
      <c r="J23" s="3170">
        <v>54.75</v>
      </c>
      <c r="K23" s="3168" t="s">
        <v>2810</v>
      </c>
      <c r="L23">
        <f ca="1">典型户型修正!S46</f>
        <v>51.755200000000002</v>
      </c>
      <c r="M23">
        <f ca="1">典型户型修正!T46</f>
        <v>2.7109999999999999</v>
      </c>
      <c r="N23">
        <f ca="1">典型户型修正!U46</f>
        <v>2.5899999999999999E-2</v>
      </c>
      <c r="O23">
        <f ca="1">典型户型修正!V46</f>
        <v>2.4645000000000001</v>
      </c>
      <c r="P23">
        <f ca="1">典型户型修正!W46</f>
        <v>5.2013999999999996</v>
      </c>
      <c r="Q23">
        <f ca="1">典型户型修正!X46</f>
        <v>46.553800000000003</v>
      </c>
    </row>
    <row r="24" spans="1:17" ht="28.8">
      <c r="A24" s="3170">
        <v>23</v>
      </c>
      <c r="B24" s="3169" t="s">
        <v>3495</v>
      </c>
      <c r="C24" s="3171"/>
      <c r="D24" s="3169" t="s">
        <v>3496</v>
      </c>
      <c r="E24" s="3168" t="s">
        <v>3428</v>
      </c>
      <c r="F24" s="3168" t="s">
        <v>3429</v>
      </c>
      <c r="G24" s="3170">
        <v>2</v>
      </c>
      <c r="H24" s="3168" t="s">
        <v>3497</v>
      </c>
      <c r="I24" s="3168" t="s">
        <v>3431</v>
      </c>
      <c r="J24" s="3170">
        <v>54.75</v>
      </c>
      <c r="K24" s="3168" t="s">
        <v>2810</v>
      </c>
      <c r="L24">
        <f ca="1">典型户型修正!S47</f>
        <v>51.755200000000002</v>
      </c>
      <c r="M24">
        <f ca="1">典型户型修正!T47</f>
        <v>2.7109999999999999</v>
      </c>
      <c r="N24">
        <f ca="1">典型户型修正!U47</f>
        <v>2.5899999999999999E-2</v>
      </c>
      <c r="O24">
        <f ca="1">典型户型修正!V47</f>
        <v>2.4645000000000001</v>
      </c>
      <c r="P24">
        <f ca="1">典型户型修正!W47</f>
        <v>5.2013999999999996</v>
      </c>
      <c r="Q24">
        <f ca="1">典型户型修正!X47</f>
        <v>46.553800000000003</v>
      </c>
    </row>
    <row r="25" spans="1:17" ht="28.8">
      <c r="A25" s="3170">
        <v>24</v>
      </c>
      <c r="B25" s="3169" t="s">
        <v>3498</v>
      </c>
      <c r="C25" s="3171"/>
      <c r="D25" s="3169" t="s">
        <v>3499</v>
      </c>
      <c r="E25" s="3168" t="s">
        <v>3428</v>
      </c>
      <c r="F25" s="3168" t="s">
        <v>3429</v>
      </c>
      <c r="G25" s="3170">
        <v>2</v>
      </c>
      <c r="H25" s="3168" t="s">
        <v>3500</v>
      </c>
      <c r="I25" s="3168" t="s">
        <v>3431</v>
      </c>
      <c r="J25" s="3170">
        <v>54.75</v>
      </c>
      <c r="K25" s="3168" t="s">
        <v>2810</v>
      </c>
      <c r="L25">
        <f ca="1">典型户型修正!S48</f>
        <v>51.755200000000002</v>
      </c>
      <c r="M25">
        <f ca="1">典型户型修正!T48</f>
        <v>2.7109999999999999</v>
      </c>
      <c r="N25">
        <f ca="1">典型户型修正!U48</f>
        <v>2.5899999999999999E-2</v>
      </c>
      <c r="O25">
        <f ca="1">典型户型修正!V48</f>
        <v>2.4645000000000001</v>
      </c>
      <c r="P25">
        <f ca="1">典型户型修正!W48</f>
        <v>5.2013999999999996</v>
      </c>
      <c r="Q25">
        <f ca="1">典型户型修正!X48</f>
        <v>46.553800000000003</v>
      </c>
    </row>
    <row r="26" spans="1:17" ht="28.8">
      <c r="A26" s="3170">
        <v>25</v>
      </c>
      <c r="B26" s="3169" t="s">
        <v>3501</v>
      </c>
      <c r="C26" s="3171"/>
      <c r="D26" s="3169" t="s">
        <v>3502</v>
      </c>
      <c r="E26" s="3168" t="s">
        <v>3428</v>
      </c>
      <c r="F26" s="3168" t="s">
        <v>3429</v>
      </c>
      <c r="G26" s="3170">
        <v>2</v>
      </c>
      <c r="H26" s="3168" t="s">
        <v>3503</v>
      </c>
      <c r="I26" s="3168" t="s">
        <v>3431</v>
      </c>
      <c r="J26" s="3170">
        <v>62.39</v>
      </c>
      <c r="K26" s="3168" t="s">
        <v>2810</v>
      </c>
      <c r="L26">
        <f ca="1">典型户型修正!S49</f>
        <v>58.9773</v>
      </c>
      <c r="M26">
        <f ca="1">典型户型修正!T49</f>
        <v>3.0893000000000002</v>
      </c>
      <c r="N26">
        <f ca="1">典型户型修正!U49</f>
        <v>2.9499999999999998E-2</v>
      </c>
      <c r="O26">
        <f ca="1">典型户型修正!V49</f>
        <v>2.8083999999999998</v>
      </c>
      <c r="P26">
        <f ca="1">典型户型修正!W49</f>
        <v>5.9272</v>
      </c>
      <c r="Q26">
        <f ca="1">典型户型修正!X49</f>
        <v>53.0501</v>
      </c>
    </row>
    <row r="27" spans="1:17" ht="28.8">
      <c r="A27" s="3170">
        <v>26</v>
      </c>
      <c r="B27" s="3169" t="s">
        <v>3504</v>
      </c>
      <c r="C27" s="3171"/>
      <c r="D27" s="3169" t="s">
        <v>3505</v>
      </c>
      <c r="E27" s="3168" t="s">
        <v>3428</v>
      </c>
      <c r="F27" s="3168" t="s">
        <v>3429</v>
      </c>
      <c r="G27" s="3170">
        <v>2</v>
      </c>
      <c r="H27" s="3168" t="s">
        <v>3506</v>
      </c>
      <c r="I27" s="3168" t="s">
        <v>3431</v>
      </c>
      <c r="J27" s="3170">
        <v>74.14</v>
      </c>
      <c r="K27" s="3168" t="s">
        <v>2810</v>
      </c>
      <c r="L27">
        <f ca="1">典型户型修正!S50</f>
        <v>70.084500000000006</v>
      </c>
      <c r="M27">
        <f ca="1">典型户型修正!T50</f>
        <v>3.6711</v>
      </c>
      <c r="N27">
        <f ca="1">典型户型修正!U50</f>
        <v>3.5000000000000003E-2</v>
      </c>
      <c r="O27">
        <f ca="1">典型户型修正!V50</f>
        <v>3.3374000000000001</v>
      </c>
      <c r="P27">
        <f ca="1">典型户型修正!W50</f>
        <v>7.0434999999999999</v>
      </c>
      <c r="Q27">
        <f ca="1">典型户型修正!X50</f>
        <v>63.041000000000004</v>
      </c>
    </row>
    <row r="28" spans="1:17" ht="28.8">
      <c r="A28" s="3170">
        <v>27</v>
      </c>
      <c r="B28" s="3169" t="s">
        <v>3507</v>
      </c>
      <c r="C28" s="3171"/>
      <c r="D28" s="3169" t="s">
        <v>3957</v>
      </c>
      <c r="E28" s="3168" t="s">
        <v>3428</v>
      </c>
      <c r="F28" s="3168" t="s">
        <v>3429</v>
      </c>
      <c r="G28" s="3170">
        <v>3</v>
      </c>
      <c r="H28" s="3168" t="s">
        <v>3958</v>
      </c>
      <c r="I28" s="3168" t="s">
        <v>3431</v>
      </c>
      <c r="J28" s="3170">
        <v>182.27</v>
      </c>
      <c r="K28" s="3168" t="s">
        <v>2810</v>
      </c>
      <c r="L28">
        <f ca="1">典型户型修正!S51</f>
        <v>172.2816</v>
      </c>
      <c r="M28">
        <f ca="1">典型户型修正!T51</f>
        <v>9.0243000000000002</v>
      </c>
      <c r="N28">
        <f ca="1">典型户型修正!U51</f>
        <v>8.6099999999999996E-2</v>
      </c>
      <c r="O28">
        <f ca="1">典型户型修正!V51</f>
        <v>8.2039000000000009</v>
      </c>
      <c r="P28">
        <f ca="1">典型户型修正!W51</f>
        <v>17.314300000000003</v>
      </c>
      <c r="Q28">
        <f ca="1">典型户型修正!X51</f>
        <v>154.96729999999999</v>
      </c>
    </row>
    <row r="29" spans="1:17" ht="28.8">
      <c r="A29" s="3170">
        <v>28</v>
      </c>
      <c r="B29" s="3169" t="s">
        <v>3508</v>
      </c>
      <c r="C29" s="3171"/>
      <c r="D29" s="3169" t="s">
        <v>3521</v>
      </c>
      <c r="E29" s="3168" t="s">
        <v>3428</v>
      </c>
      <c r="F29" s="3168" t="s">
        <v>3429</v>
      </c>
      <c r="G29" s="3170">
        <v>3</v>
      </c>
      <c r="H29" s="3168" t="s">
        <v>3509</v>
      </c>
      <c r="I29" s="3168" t="s">
        <v>3431</v>
      </c>
      <c r="J29" s="3170">
        <v>75.75</v>
      </c>
      <c r="K29" s="3168" t="s">
        <v>2810</v>
      </c>
      <c r="L29">
        <f ca="1">典型户型修正!S52</f>
        <v>72.326099999999997</v>
      </c>
      <c r="M29">
        <f ca="1">典型户型修正!T52</f>
        <v>3.7885</v>
      </c>
      <c r="N29">
        <f ca="1">典型户型修正!U52</f>
        <v>3.6200000000000003E-2</v>
      </c>
      <c r="O29">
        <f ca="1">典型户型修正!V52</f>
        <v>3.4441000000000002</v>
      </c>
      <c r="P29">
        <f ca="1">典型户型修正!W52</f>
        <v>7.2688000000000006</v>
      </c>
      <c r="Q29">
        <f ca="1">典型户型修正!X52</f>
        <v>65.057299999999998</v>
      </c>
    </row>
    <row r="30" spans="1:17" ht="28.8">
      <c r="A30" s="3170">
        <v>29</v>
      </c>
      <c r="B30" s="3169" t="s">
        <v>3510</v>
      </c>
      <c r="C30" s="3171"/>
      <c r="D30" s="3169" t="s">
        <v>3522</v>
      </c>
      <c r="E30" s="3168" t="s">
        <v>3428</v>
      </c>
      <c r="F30" s="3168" t="s">
        <v>3429</v>
      </c>
      <c r="G30" s="3170">
        <v>3</v>
      </c>
      <c r="H30" s="3168" t="s">
        <v>3511</v>
      </c>
      <c r="I30" s="3168" t="s">
        <v>3431</v>
      </c>
      <c r="J30" s="3170">
        <v>81.709999999999994</v>
      </c>
      <c r="K30" s="3168" t="s">
        <v>2810</v>
      </c>
      <c r="L30">
        <f ca="1">典型户型修正!S53</f>
        <v>78.0167</v>
      </c>
      <c r="M30">
        <f ca="1">典型户型修正!T53</f>
        <v>4.0865999999999998</v>
      </c>
      <c r="N30">
        <f ca="1">典型户型修正!U53</f>
        <v>3.9E-2</v>
      </c>
      <c r="O30">
        <f ca="1">典型户型修正!V53</f>
        <v>3.7151000000000001</v>
      </c>
      <c r="P30">
        <f ca="1">典型户型修正!W53</f>
        <v>7.8407</v>
      </c>
      <c r="Q30">
        <f ca="1">典型户型修正!X53</f>
        <v>70.176000000000002</v>
      </c>
    </row>
    <row r="31" spans="1:17" ht="28.8">
      <c r="A31" s="3170">
        <v>30</v>
      </c>
      <c r="B31" s="3169" t="s">
        <v>3512</v>
      </c>
      <c r="C31" s="3171"/>
      <c r="D31" s="3169" t="s">
        <v>3523</v>
      </c>
      <c r="E31" s="3168" t="s">
        <v>3428</v>
      </c>
      <c r="F31" s="3168" t="s">
        <v>3429</v>
      </c>
      <c r="G31" s="3170">
        <v>3</v>
      </c>
      <c r="H31" s="3168" t="s">
        <v>3513</v>
      </c>
      <c r="I31" s="3168" t="s">
        <v>3431</v>
      </c>
      <c r="J31" s="3170">
        <v>76.430000000000007</v>
      </c>
      <c r="K31" s="3168" t="s">
        <v>2810</v>
      </c>
      <c r="L31">
        <f ca="1">典型户型修正!S54</f>
        <v>72.975399999999993</v>
      </c>
      <c r="M31">
        <f ca="1">典型户型修正!T54</f>
        <v>3.8224999999999998</v>
      </c>
      <c r="N31">
        <f ca="1">典型户型修正!U54</f>
        <v>3.6499999999999998E-2</v>
      </c>
      <c r="O31">
        <f ca="1">典型户型修正!V54</f>
        <v>3.4750000000000001</v>
      </c>
      <c r="P31">
        <f ca="1">典型户型修正!W54</f>
        <v>7.3339999999999996</v>
      </c>
      <c r="Q31">
        <f ca="1">典型户型修正!X54</f>
        <v>65.64139999999999</v>
      </c>
    </row>
    <row r="32" spans="1:17" ht="28.8">
      <c r="A32" s="3170">
        <v>31</v>
      </c>
      <c r="B32" s="3169" t="s">
        <v>3514</v>
      </c>
      <c r="C32" s="3171"/>
      <c r="D32" s="3169" t="s">
        <v>3524</v>
      </c>
      <c r="E32" s="3168" t="s">
        <v>3428</v>
      </c>
      <c r="F32" s="3168" t="s">
        <v>3429</v>
      </c>
      <c r="G32" s="3170">
        <v>3</v>
      </c>
      <c r="H32" s="3168" t="s">
        <v>3515</v>
      </c>
      <c r="I32" s="3168" t="s">
        <v>3431</v>
      </c>
      <c r="J32" s="3170">
        <v>73</v>
      </c>
      <c r="K32" s="3168" t="s">
        <v>2810</v>
      </c>
      <c r="L32">
        <f ca="1">典型户型修正!S55</f>
        <v>69.700400000000002</v>
      </c>
      <c r="M32">
        <f ca="1">典型户型修正!T55</f>
        <v>3.6509999999999998</v>
      </c>
      <c r="N32">
        <f ca="1">典型户型修正!U55</f>
        <v>3.49E-2</v>
      </c>
      <c r="O32">
        <f ca="1">典型户型修正!V55</f>
        <v>3.3191000000000002</v>
      </c>
      <c r="P32">
        <f ca="1">典型户型修正!W55</f>
        <v>7.0049999999999999</v>
      </c>
      <c r="Q32">
        <f ca="1">典型户型修正!X55</f>
        <v>62.695399999999999</v>
      </c>
    </row>
    <row r="33" spans="1:17" ht="28.8">
      <c r="A33" s="3170">
        <v>32</v>
      </c>
      <c r="B33" s="3169" t="s">
        <v>3516</v>
      </c>
      <c r="C33" s="3171"/>
      <c r="D33" s="3169" t="s">
        <v>3525</v>
      </c>
      <c r="E33" s="3168" t="s">
        <v>3428</v>
      </c>
      <c r="F33" s="3168" t="s">
        <v>3429</v>
      </c>
      <c r="G33" s="3170">
        <v>3</v>
      </c>
      <c r="H33" s="3168" t="s">
        <v>3517</v>
      </c>
      <c r="I33" s="3168" t="s">
        <v>3431</v>
      </c>
      <c r="J33" s="3170">
        <v>78.45</v>
      </c>
      <c r="K33" s="3168" t="s">
        <v>2810</v>
      </c>
      <c r="L33">
        <f ca="1">典型户型修正!S56</f>
        <v>74.9041</v>
      </c>
      <c r="M33">
        <f ca="1">典型户型修正!T56</f>
        <v>3.9235000000000002</v>
      </c>
      <c r="N33">
        <f ca="1">典型户型修正!U56</f>
        <v>3.7499999999999999E-2</v>
      </c>
      <c r="O33">
        <f ca="1">典型户型修正!V56</f>
        <v>3.5669</v>
      </c>
      <c r="P33">
        <f ca="1">典型户型修正!W56</f>
        <v>7.5279000000000007</v>
      </c>
      <c r="Q33">
        <f ca="1">典型户型修正!X56</f>
        <v>67.376199999999997</v>
      </c>
    </row>
    <row r="34" spans="1:17" ht="28.8">
      <c r="A34" s="3170">
        <v>33</v>
      </c>
      <c r="B34" s="3169" t="s">
        <v>3518</v>
      </c>
      <c r="C34" s="3171"/>
      <c r="D34" s="3169" t="s">
        <v>3526</v>
      </c>
      <c r="E34" s="3168" t="s">
        <v>3428</v>
      </c>
      <c r="F34" s="3168" t="s">
        <v>3429</v>
      </c>
      <c r="G34" s="3170">
        <v>3</v>
      </c>
      <c r="H34" s="3168" t="s">
        <v>3519</v>
      </c>
      <c r="I34" s="3168" t="s">
        <v>3431</v>
      </c>
      <c r="J34" s="3170">
        <v>75.959999999999994</v>
      </c>
      <c r="K34" s="3168" t="s">
        <v>2810</v>
      </c>
      <c r="L34">
        <f ca="1">典型户型修正!S57</f>
        <v>72.526600000000002</v>
      </c>
      <c r="M34">
        <f ca="1">典型户型修正!T57</f>
        <v>3.7989999999999999</v>
      </c>
      <c r="N34">
        <f ca="1">典型户型修正!U57</f>
        <v>3.6299999999999999E-2</v>
      </c>
      <c r="O34">
        <f ca="1">典型户型修正!V57</f>
        <v>3.4535999999999998</v>
      </c>
      <c r="P34">
        <f ca="1">典型户型修正!W57</f>
        <v>7.2888999999999999</v>
      </c>
      <c r="Q34">
        <f ca="1">典型户型修正!X57</f>
        <v>65.237700000000004</v>
      </c>
    </row>
    <row r="35" spans="1:17" ht="28.8">
      <c r="A35" s="3170">
        <v>34</v>
      </c>
      <c r="B35" s="3169" t="s">
        <v>3520</v>
      </c>
      <c r="C35" s="3171"/>
      <c r="D35" s="3169" t="s">
        <v>3527</v>
      </c>
      <c r="E35" s="3168" t="s">
        <v>3428</v>
      </c>
      <c r="F35" s="3168" t="s">
        <v>3429</v>
      </c>
      <c r="G35" s="3170">
        <v>3</v>
      </c>
      <c r="H35" s="3168" t="s">
        <v>3528</v>
      </c>
      <c r="I35" s="3168" t="s">
        <v>3431</v>
      </c>
      <c r="J35" s="3170">
        <v>75.959999999999994</v>
      </c>
      <c r="K35" s="3168" t="s">
        <v>2810</v>
      </c>
      <c r="L35">
        <f ca="1">典型户型修正!S58</f>
        <v>72.526600000000002</v>
      </c>
      <c r="M35">
        <f ca="1">典型户型修正!T58</f>
        <v>3.7989999999999999</v>
      </c>
      <c r="N35">
        <f ca="1">典型户型修正!U58</f>
        <v>3.6299999999999999E-2</v>
      </c>
      <c r="O35">
        <f ca="1">典型户型修正!V58</f>
        <v>3.4535999999999998</v>
      </c>
      <c r="P35">
        <f ca="1">典型户型修正!W58</f>
        <v>7.2888999999999999</v>
      </c>
      <c r="Q35">
        <f ca="1">典型户型修正!X58</f>
        <v>65.237700000000004</v>
      </c>
    </row>
    <row r="36" spans="1:17" ht="28.8">
      <c r="A36" s="3170">
        <v>35</v>
      </c>
      <c r="B36" s="3169" t="s">
        <v>3529</v>
      </c>
      <c r="C36" s="3171"/>
      <c r="D36" s="3169" t="s">
        <v>3530</v>
      </c>
      <c r="E36" s="3168" t="s">
        <v>3428</v>
      </c>
      <c r="F36" s="3168" t="s">
        <v>3429</v>
      </c>
      <c r="G36" s="3170">
        <v>3</v>
      </c>
      <c r="H36" s="3168" t="s">
        <v>3531</v>
      </c>
      <c r="I36" s="3168" t="s">
        <v>3431</v>
      </c>
      <c r="J36" s="3170">
        <v>78.45</v>
      </c>
      <c r="K36" s="3168" t="s">
        <v>2810</v>
      </c>
      <c r="L36">
        <f ca="1">典型户型修正!S59</f>
        <v>74.9041</v>
      </c>
      <c r="M36">
        <f ca="1">典型户型修正!T59</f>
        <v>3.9235000000000002</v>
      </c>
      <c r="N36">
        <f ca="1">典型户型修正!U59</f>
        <v>3.7499999999999999E-2</v>
      </c>
      <c r="O36">
        <f ca="1">典型户型修正!V59</f>
        <v>3.5669</v>
      </c>
      <c r="P36">
        <f ca="1">典型户型修正!W59</f>
        <v>7.5279000000000007</v>
      </c>
      <c r="Q36">
        <f ca="1">典型户型修正!X59</f>
        <v>67.376199999999997</v>
      </c>
    </row>
    <row r="37" spans="1:17" ht="28.8">
      <c r="A37" s="3170">
        <v>36</v>
      </c>
      <c r="B37" s="3169" t="s">
        <v>3532</v>
      </c>
      <c r="C37" s="3171"/>
      <c r="D37" s="3169" t="s">
        <v>3533</v>
      </c>
      <c r="E37" s="3168" t="s">
        <v>3428</v>
      </c>
      <c r="F37" s="3168" t="s">
        <v>3429</v>
      </c>
      <c r="G37" s="3170">
        <v>3</v>
      </c>
      <c r="H37" s="3168" t="s">
        <v>3534</v>
      </c>
      <c r="I37" s="3168" t="s">
        <v>3431</v>
      </c>
      <c r="J37" s="3170">
        <v>73.47</v>
      </c>
      <c r="K37" s="3168" t="s">
        <v>2810</v>
      </c>
      <c r="L37">
        <f ca="1">典型户型修正!S60</f>
        <v>70.149199999999993</v>
      </c>
      <c r="M37">
        <f ca="1">典型户型修正!T60</f>
        <v>3.6745000000000001</v>
      </c>
      <c r="N37">
        <f ca="1">典型户型修正!U60</f>
        <v>3.5099999999999999E-2</v>
      </c>
      <c r="O37">
        <f ca="1">典型户型修正!V60</f>
        <v>3.3403999999999998</v>
      </c>
      <c r="P37">
        <f ca="1">典型户型修正!W60</f>
        <v>7.05</v>
      </c>
      <c r="Q37">
        <f ca="1">典型户型修正!X60</f>
        <v>63.099199999999996</v>
      </c>
    </row>
    <row r="38" spans="1:17" ht="28.8">
      <c r="A38" s="3170">
        <v>37</v>
      </c>
      <c r="B38" s="3169" t="s">
        <v>3535</v>
      </c>
      <c r="C38" s="3171"/>
      <c r="D38" s="3169" t="s">
        <v>3536</v>
      </c>
      <c r="E38" s="3168" t="s">
        <v>3428</v>
      </c>
      <c r="F38" s="3168" t="s">
        <v>3429</v>
      </c>
      <c r="G38" s="3170">
        <v>3</v>
      </c>
      <c r="H38" s="3168" t="s">
        <v>3537</v>
      </c>
      <c r="I38" s="3168" t="s">
        <v>3431</v>
      </c>
      <c r="J38" s="3170">
        <v>75.959999999999994</v>
      </c>
      <c r="K38" s="3168" t="s">
        <v>2810</v>
      </c>
      <c r="L38">
        <f ca="1">典型户型修正!S61</f>
        <v>72.526600000000002</v>
      </c>
      <c r="M38">
        <f ca="1">典型户型修正!T61</f>
        <v>3.7989999999999999</v>
      </c>
      <c r="N38">
        <f ca="1">典型户型修正!U61</f>
        <v>3.6299999999999999E-2</v>
      </c>
      <c r="O38">
        <f ca="1">典型户型修正!V61</f>
        <v>3.4535999999999998</v>
      </c>
      <c r="P38">
        <f ca="1">典型户型修正!W61</f>
        <v>7.2888999999999999</v>
      </c>
      <c r="Q38">
        <f ca="1">典型户型修正!X61</f>
        <v>65.237700000000004</v>
      </c>
    </row>
    <row r="39" spans="1:17" ht="28.8">
      <c r="A39" s="3170">
        <v>38</v>
      </c>
      <c r="B39" s="3169" t="s">
        <v>3538</v>
      </c>
      <c r="C39" s="3171"/>
      <c r="D39" s="3169" t="s">
        <v>3539</v>
      </c>
      <c r="E39" s="3168" t="s">
        <v>3428</v>
      </c>
      <c r="F39" s="3168" t="s">
        <v>3429</v>
      </c>
      <c r="G39" s="3170">
        <v>3</v>
      </c>
      <c r="H39" s="3168" t="s">
        <v>3540</v>
      </c>
      <c r="I39" s="3168" t="s">
        <v>3431</v>
      </c>
      <c r="J39" s="3170">
        <v>83.52</v>
      </c>
      <c r="K39" s="3168" t="s">
        <v>2810</v>
      </c>
      <c r="L39">
        <f ca="1">典型户型修正!S62</f>
        <v>79.744900000000001</v>
      </c>
      <c r="M39">
        <f ca="1">典型户型修正!T62</f>
        <v>4.1771000000000003</v>
      </c>
      <c r="N39">
        <f ca="1">典型户型修正!U62</f>
        <v>3.9899999999999998E-2</v>
      </c>
      <c r="O39">
        <f ca="1">典型户型修正!V62</f>
        <v>3.7974000000000001</v>
      </c>
      <c r="P39">
        <f ca="1">典型户型修正!W62</f>
        <v>8.0144000000000002</v>
      </c>
      <c r="Q39">
        <f ca="1">典型户型修正!X62</f>
        <v>71.730500000000006</v>
      </c>
    </row>
    <row r="40" spans="1:17" ht="28.8">
      <c r="A40" s="3170">
        <v>39</v>
      </c>
      <c r="B40" s="3169" t="s">
        <v>3541</v>
      </c>
      <c r="C40" s="3171"/>
      <c r="D40" s="3169" t="s">
        <v>3542</v>
      </c>
      <c r="E40" s="3168" t="s">
        <v>3428</v>
      </c>
      <c r="F40" s="3168" t="s">
        <v>3429</v>
      </c>
      <c r="G40" s="3170">
        <v>3</v>
      </c>
      <c r="H40" s="3168" t="s">
        <v>3543</v>
      </c>
      <c r="I40" s="3168" t="s">
        <v>3431</v>
      </c>
      <c r="J40" s="3170">
        <v>89.88</v>
      </c>
      <c r="K40" s="3168" t="s">
        <v>2810</v>
      </c>
      <c r="L40">
        <f ca="1">典型户型修正!S63</f>
        <v>85.817400000000006</v>
      </c>
      <c r="M40">
        <f ca="1">典型户型修正!T63</f>
        <v>4.4951999999999996</v>
      </c>
      <c r="N40">
        <f ca="1">典型户型修正!U63</f>
        <v>4.2900000000000001E-2</v>
      </c>
      <c r="O40">
        <f ca="1">典型户型修正!V63</f>
        <v>4.0865</v>
      </c>
      <c r="P40">
        <f ca="1">典型户型修正!W63</f>
        <v>8.6246000000000009</v>
      </c>
      <c r="Q40">
        <f ca="1">典型户型修正!X63</f>
        <v>77.192800000000005</v>
      </c>
    </row>
    <row r="41" spans="1:17" ht="28.8">
      <c r="A41" s="3170">
        <v>40</v>
      </c>
      <c r="B41" s="3169" t="s">
        <v>3544</v>
      </c>
      <c r="C41" s="3171"/>
      <c r="D41" s="3169" t="s">
        <v>3545</v>
      </c>
      <c r="E41" s="3168" t="s">
        <v>3428</v>
      </c>
      <c r="F41" s="3168" t="s">
        <v>3429</v>
      </c>
      <c r="G41" s="3170">
        <v>3</v>
      </c>
      <c r="H41" s="3168" t="s">
        <v>3546</v>
      </c>
      <c r="I41" s="3168" t="s">
        <v>3431</v>
      </c>
      <c r="J41" s="3170">
        <v>174.94</v>
      </c>
      <c r="K41" s="3168" t="s">
        <v>2810</v>
      </c>
      <c r="L41">
        <f ca="1">典型户型修正!S64</f>
        <v>165.35329999999999</v>
      </c>
      <c r="M41">
        <f ca="1">典型户型修正!T64</f>
        <v>8.6614000000000004</v>
      </c>
      <c r="N41">
        <f ca="1">典型户型修正!U64</f>
        <v>8.2699999999999996E-2</v>
      </c>
      <c r="O41">
        <f ca="1">典型户型修正!V64</f>
        <v>7.8739999999999997</v>
      </c>
      <c r="P41">
        <f ca="1">典型户型修正!W64</f>
        <v>16.618099999999998</v>
      </c>
      <c r="Q41">
        <f ca="1">典型户型修正!X64</f>
        <v>148.73519999999999</v>
      </c>
    </row>
    <row r="42" spans="1:17" ht="28.8">
      <c r="A42" s="3170">
        <v>41</v>
      </c>
      <c r="B42" s="3169" t="s">
        <v>3547</v>
      </c>
      <c r="C42" s="3171"/>
      <c r="D42" s="3169" t="s">
        <v>3548</v>
      </c>
      <c r="E42" s="3168" t="s">
        <v>3428</v>
      </c>
      <c r="F42" s="3168" t="s">
        <v>3429</v>
      </c>
      <c r="G42" s="3170">
        <v>3</v>
      </c>
      <c r="H42" s="3168" t="s">
        <v>3549</v>
      </c>
      <c r="I42" s="3168" t="s">
        <v>3431</v>
      </c>
      <c r="J42" s="3170">
        <v>71.61</v>
      </c>
      <c r="K42" s="3168" t="s">
        <v>2810</v>
      </c>
      <c r="L42">
        <f ca="1">典型户型修正!S65</f>
        <v>68.373199999999997</v>
      </c>
      <c r="M42">
        <f ca="1">典型户型修正!T65</f>
        <v>3.5815000000000001</v>
      </c>
      <c r="N42">
        <f ca="1">典型户型修正!U65</f>
        <v>3.4200000000000001E-2</v>
      </c>
      <c r="O42">
        <f ca="1">典型户型修正!V65</f>
        <v>3.2559</v>
      </c>
      <c r="P42">
        <f ca="1">典型户型修正!W65</f>
        <v>6.8715999999999999</v>
      </c>
      <c r="Q42">
        <f ca="1">典型户型修正!X65</f>
        <v>61.501599999999996</v>
      </c>
    </row>
    <row r="43" spans="1:17" ht="28.8">
      <c r="A43" s="3170">
        <v>42</v>
      </c>
      <c r="B43" s="3169" t="s">
        <v>3550</v>
      </c>
      <c r="C43" s="3171"/>
      <c r="D43" s="3169" t="s">
        <v>3551</v>
      </c>
      <c r="E43" s="3168" t="s">
        <v>3428</v>
      </c>
      <c r="F43" s="3168" t="s">
        <v>3429</v>
      </c>
      <c r="G43" s="3170">
        <v>3</v>
      </c>
      <c r="H43" s="3168" t="s">
        <v>3552</v>
      </c>
      <c r="I43" s="3168" t="s">
        <v>3431</v>
      </c>
      <c r="J43" s="3170">
        <v>63.07</v>
      </c>
      <c r="K43" s="3168" t="s">
        <v>2810</v>
      </c>
      <c r="L43">
        <f ca="1">典型户型修正!S66</f>
        <v>60.219200000000001</v>
      </c>
      <c r="M43">
        <f ca="1">典型户型修正!T66</f>
        <v>3.1543000000000001</v>
      </c>
      <c r="N43">
        <f ca="1">典型户型修正!U66</f>
        <v>3.0099999999999998E-2</v>
      </c>
      <c r="O43">
        <f ca="1">典型户型修正!V66</f>
        <v>2.8675999999999999</v>
      </c>
      <c r="P43">
        <f ca="1">典型户型修正!W66</f>
        <v>6.0519999999999996</v>
      </c>
      <c r="Q43">
        <f ca="1">典型户型修正!X66</f>
        <v>54.167200000000001</v>
      </c>
    </row>
    <row r="44" spans="1:17" ht="28.8">
      <c r="A44" s="3170">
        <v>43</v>
      </c>
      <c r="B44" s="3169" t="s">
        <v>3553</v>
      </c>
      <c r="C44" s="3171"/>
      <c r="D44" s="3169" t="s">
        <v>3554</v>
      </c>
      <c r="E44" s="3168" t="s">
        <v>3428</v>
      </c>
      <c r="F44" s="3168" t="s">
        <v>3429</v>
      </c>
      <c r="G44" s="3170">
        <v>3</v>
      </c>
      <c r="H44" s="3168" t="s">
        <v>3555</v>
      </c>
      <c r="I44" s="3168" t="s">
        <v>3431</v>
      </c>
      <c r="J44" s="3170">
        <v>54.75</v>
      </c>
      <c r="K44" s="3168" t="s">
        <v>2810</v>
      </c>
      <c r="L44">
        <f ca="1">典型户型修正!S67</f>
        <v>52.275300000000001</v>
      </c>
      <c r="M44">
        <f ca="1">典型户型修正!T67</f>
        <v>2.7382</v>
      </c>
      <c r="N44">
        <f ca="1">典型户型修正!U67</f>
        <v>2.6100000000000002E-2</v>
      </c>
      <c r="O44">
        <f ca="1">典型户型修正!V67</f>
        <v>2.4893000000000001</v>
      </c>
      <c r="P44">
        <f ca="1">典型户型修正!W67</f>
        <v>5.2536000000000005</v>
      </c>
      <c r="Q44">
        <f ca="1">典型户型修正!X67</f>
        <v>47.021700000000003</v>
      </c>
    </row>
    <row r="45" spans="1:17" ht="28.8">
      <c r="A45" s="3170">
        <v>44</v>
      </c>
      <c r="B45" s="3169" t="s">
        <v>3556</v>
      </c>
      <c r="C45" s="3171"/>
      <c r="D45" s="3169" t="s">
        <v>3557</v>
      </c>
      <c r="E45" s="3168" t="s">
        <v>3428</v>
      </c>
      <c r="F45" s="3168" t="s">
        <v>3429</v>
      </c>
      <c r="G45" s="3170">
        <v>3</v>
      </c>
      <c r="H45" s="3168" t="s">
        <v>3558</v>
      </c>
      <c r="I45" s="3168" t="s">
        <v>3431</v>
      </c>
      <c r="J45" s="3170">
        <v>54.75</v>
      </c>
      <c r="K45" s="3168" t="s">
        <v>2810</v>
      </c>
      <c r="L45">
        <f ca="1">典型户型修正!S68</f>
        <v>52.275300000000001</v>
      </c>
      <c r="M45">
        <f ca="1">典型户型修正!T68</f>
        <v>2.7382</v>
      </c>
      <c r="N45">
        <f ca="1">典型户型修正!U68</f>
        <v>2.6100000000000002E-2</v>
      </c>
      <c r="O45">
        <f ca="1">典型户型修正!V68</f>
        <v>2.4893000000000001</v>
      </c>
      <c r="P45">
        <f ca="1">典型户型修正!W68</f>
        <v>5.2536000000000005</v>
      </c>
      <c r="Q45">
        <f ca="1">典型户型修正!X68</f>
        <v>47.021700000000003</v>
      </c>
    </row>
    <row r="46" spans="1:17" ht="28.8">
      <c r="A46" s="3170">
        <v>45</v>
      </c>
      <c r="B46" s="3169" t="s">
        <v>3559</v>
      </c>
      <c r="C46" s="3171"/>
      <c r="D46" s="3169" t="s">
        <v>3560</v>
      </c>
      <c r="E46" s="3168" t="s">
        <v>3428</v>
      </c>
      <c r="F46" s="3168" t="s">
        <v>3429</v>
      </c>
      <c r="G46" s="3170">
        <v>3</v>
      </c>
      <c r="H46" s="3168" t="s">
        <v>3561</v>
      </c>
      <c r="I46" s="3168" t="s">
        <v>3431</v>
      </c>
      <c r="J46" s="3170">
        <v>54.75</v>
      </c>
      <c r="K46" s="3168" t="s">
        <v>2810</v>
      </c>
      <c r="L46">
        <f ca="1">典型户型修正!S69</f>
        <v>52.275300000000001</v>
      </c>
      <c r="M46">
        <f ca="1">典型户型修正!T69</f>
        <v>2.7382</v>
      </c>
      <c r="N46">
        <f ca="1">典型户型修正!U69</f>
        <v>2.6100000000000002E-2</v>
      </c>
      <c r="O46">
        <f ca="1">典型户型修正!V69</f>
        <v>2.4893000000000001</v>
      </c>
      <c r="P46">
        <f ca="1">典型户型修正!W69</f>
        <v>5.2536000000000005</v>
      </c>
      <c r="Q46">
        <f ca="1">典型户型修正!X69</f>
        <v>47.021700000000003</v>
      </c>
    </row>
    <row r="47" spans="1:17" ht="28.8">
      <c r="A47" s="3170">
        <v>46</v>
      </c>
      <c r="B47" s="3169" t="s">
        <v>3562</v>
      </c>
      <c r="C47" s="3171"/>
      <c r="D47" s="3169" t="s">
        <v>3563</v>
      </c>
      <c r="E47" s="3168" t="s">
        <v>3428</v>
      </c>
      <c r="F47" s="3168" t="s">
        <v>3429</v>
      </c>
      <c r="G47" s="3170">
        <v>3</v>
      </c>
      <c r="H47" s="3168" t="s">
        <v>3564</v>
      </c>
      <c r="I47" s="3168" t="s">
        <v>3431</v>
      </c>
      <c r="J47" s="3170">
        <v>54.75</v>
      </c>
      <c r="K47" s="3168" t="s">
        <v>2810</v>
      </c>
      <c r="L47">
        <f ca="1">典型户型修正!S70</f>
        <v>52.275300000000001</v>
      </c>
      <c r="M47">
        <f ca="1">典型户型修正!T70</f>
        <v>2.7382</v>
      </c>
      <c r="N47">
        <f ca="1">典型户型修正!U70</f>
        <v>2.6100000000000002E-2</v>
      </c>
      <c r="O47">
        <f ca="1">典型户型修正!V70</f>
        <v>2.4893000000000001</v>
      </c>
      <c r="P47">
        <f ca="1">典型户型修正!W70</f>
        <v>5.2536000000000005</v>
      </c>
      <c r="Q47">
        <f ca="1">典型户型修正!X70</f>
        <v>47.021700000000003</v>
      </c>
    </row>
    <row r="48" spans="1:17" ht="28.8">
      <c r="A48" s="3170">
        <v>47</v>
      </c>
      <c r="B48" s="3169" t="s">
        <v>3565</v>
      </c>
      <c r="C48" s="3171"/>
      <c r="D48" s="3169" t="s">
        <v>3566</v>
      </c>
      <c r="E48" s="3168" t="s">
        <v>3428</v>
      </c>
      <c r="F48" s="3168" t="s">
        <v>3429</v>
      </c>
      <c r="G48" s="3170">
        <v>3</v>
      </c>
      <c r="H48" s="3168" t="s">
        <v>3567</v>
      </c>
      <c r="I48" s="3168" t="s">
        <v>3431</v>
      </c>
      <c r="J48" s="3170">
        <v>54.75</v>
      </c>
      <c r="K48" s="3168" t="s">
        <v>2810</v>
      </c>
      <c r="L48">
        <f ca="1">典型户型修正!S71</f>
        <v>52.275300000000001</v>
      </c>
      <c r="M48">
        <f ca="1">典型户型修正!T71</f>
        <v>2.7382</v>
      </c>
      <c r="N48">
        <f ca="1">典型户型修正!U71</f>
        <v>2.6100000000000002E-2</v>
      </c>
      <c r="O48">
        <f ca="1">典型户型修正!V71</f>
        <v>2.4893000000000001</v>
      </c>
      <c r="P48">
        <f ca="1">典型户型修正!W71</f>
        <v>5.2536000000000005</v>
      </c>
      <c r="Q48">
        <f ca="1">典型户型修正!X71</f>
        <v>47.021700000000003</v>
      </c>
    </row>
    <row r="49" spans="1:17" ht="28.8">
      <c r="A49" s="3170">
        <v>48</v>
      </c>
      <c r="B49" s="3169" t="s">
        <v>3568</v>
      </c>
      <c r="C49" s="3171"/>
      <c r="D49" s="3169" t="s">
        <v>3569</v>
      </c>
      <c r="E49" s="3168" t="s">
        <v>3428</v>
      </c>
      <c r="F49" s="3168" t="s">
        <v>3429</v>
      </c>
      <c r="G49" s="3170">
        <v>3</v>
      </c>
      <c r="H49" s="3168" t="s">
        <v>3570</v>
      </c>
      <c r="I49" s="3168" t="s">
        <v>3431</v>
      </c>
      <c r="J49" s="3170">
        <v>54.75</v>
      </c>
      <c r="K49" s="3168" t="s">
        <v>2810</v>
      </c>
      <c r="L49">
        <f ca="1">典型户型修正!S72</f>
        <v>52.275300000000001</v>
      </c>
      <c r="M49">
        <f ca="1">典型户型修正!T72</f>
        <v>2.7382</v>
      </c>
      <c r="N49">
        <f ca="1">典型户型修正!U72</f>
        <v>2.6100000000000002E-2</v>
      </c>
      <c r="O49">
        <f ca="1">典型户型修正!V72</f>
        <v>2.4893000000000001</v>
      </c>
      <c r="P49">
        <f ca="1">典型户型修正!W72</f>
        <v>5.2536000000000005</v>
      </c>
      <c r="Q49">
        <f ca="1">典型户型修正!X72</f>
        <v>47.021700000000003</v>
      </c>
    </row>
    <row r="50" spans="1:17" ht="28.8">
      <c r="A50" s="3170">
        <v>49</v>
      </c>
      <c r="B50" s="3169" t="s">
        <v>3571</v>
      </c>
      <c r="C50" s="3171"/>
      <c r="D50" s="3169" t="s">
        <v>3572</v>
      </c>
      <c r="E50" s="3168" t="s">
        <v>3428</v>
      </c>
      <c r="F50" s="3168" t="s">
        <v>3429</v>
      </c>
      <c r="G50" s="3170">
        <v>3</v>
      </c>
      <c r="H50" s="3168" t="s">
        <v>3573</v>
      </c>
      <c r="I50" s="3168" t="s">
        <v>3431</v>
      </c>
      <c r="J50" s="3170">
        <v>54.75</v>
      </c>
      <c r="K50" s="3168" t="s">
        <v>2810</v>
      </c>
      <c r="L50">
        <f ca="1">典型户型修正!S73</f>
        <v>52.275300000000001</v>
      </c>
      <c r="M50">
        <f ca="1">典型户型修正!T73</f>
        <v>2.7382</v>
      </c>
      <c r="N50">
        <f ca="1">典型户型修正!U73</f>
        <v>2.6100000000000002E-2</v>
      </c>
      <c r="O50">
        <f ca="1">典型户型修正!V73</f>
        <v>2.4893000000000001</v>
      </c>
      <c r="P50">
        <f ca="1">典型户型修正!W73</f>
        <v>5.2536000000000005</v>
      </c>
      <c r="Q50">
        <f ca="1">典型户型修正!X73</f>
        <v>47.021700000000003</v>
      </c>
    </row>
    <row r="51" spans="1:17" ht="28.8">
      <c r="A51" s="3170">
        <v>50</v>
      </c>
      <c r="B51" s="3169" t="s">
        <v>3574</v>
      </c>
      <c r="C51" s="3171"/>
      <c r="D51" s="3169" t="s">
        <v>3575</v>
      </c>
      <c r="E51" s="3168" t="s">
        <v>3428</v>
      </c>
      <c r="F51" s="3168" t="s">
        <v>3429</v>
      </c>
      <c r="G51" s="3170">
        <v>3</v>
      </c>
      <c r="H51" s="3168" t="s">
        <v>3576</v>
      </c>
      <c r="I51" s="3168" t="s">
        <v>3431</v>
      </c>
      <c r="J51" s="3170">
        <v>54.75</v>
      </c>
      <c r="K51" s="3168" t="s">
        <v>2810</v>
      </c>
      <c r="L51">
        <f ca="1">典型户型修正!S74</f>
        <v>52.275300000000001</v>
      </c>
      <c r="M51">
        <f ca="1">典型户型修正!T74</f>
        <v>2.7382</v>
      </c>
      <c r="N51">
        <f ca="1">典型户型修正!U74</f>
        <v>2.6100000000000002E-2</v>
      </c>
      <c r="O51">
        <f ca="1">典型户型修正!V74</f>
        <v>2.4893000000000001</v>
      </c>
      <c r="P51">
        <f ca="1">典型户型修正!W74</f>
        <v>5.2536000000000005</v>
      </c>
      <c r="Q51">
        <f ca="1">典型户型修正!X74</f>
        <v>47.021700000000003</v>
      </c>
    </row>
    <row r="52" spans="1:17" ht="28.8">
      <c r="A52" s="3170">
        <v>51</v>
      </c>
      <c r="B52" s="3169" t="s">
        <v>3577</v>
      </c>
      <c r="C52" s="3171"/>
      <c r="D52" s="3169" t="s">
        <v>3578</v>
      </c>
      <c r="E52" s="3168" t="s">
        <v>3428</v>
      </c>
      <c r="F52" s="3168" t="s">
        <v>3429</v>
      </c>
      <c r="G52" s="3170">
        <v>3</v>
      </c>
      <c r="H52" s="3168" t="s">
        <v>3579</v>
      </c>
      <c r="I52" s="3168" t="s">
        <v>3431</v>
      </c>
      <c r="J52" s="3170">
        <v>62.39</v>
      </c>
      <c r="K52" s="3168" t="s">
        <v>2810</v>
      </c>
      <c r="L52">
        <f ca="1">典型户型修正!S75</f>
        <v>59.57</v>
      </c>
      <c r="M52">
        <f ca="1">典型户型修正!T75</f>
        <v>3.1202999999999999</v>
      </c>
      <c r="N52">
        <f ca="1">典型户型修正!U75</f>
        <v>2.98E-2</v>
      </c>
      <c r="O52">
        <f ca="1">典型户型修正!V75</f>
        <v>2.8367</v>
      </c>
      <c r="P52">
        <f ca="1">典型户型修正!W75</f>
        <v>5.9867999999999997</v>
      </c>
      <c r="Q52">
        <f ca="1">典型户型修正!X75</f>
        <v>53.583199999999998</v>
      </c>
    </row>
    <row r="53" spans="1:17" ht="28.8">
      <c r="A53" s="3170">
        <v>52</v>
      </c>
      <c r="B53" s="3169" t="s">
        <v>3580</v>
      </c>
      <c r="C53" s="3171"/>
      <c r="D53" s="3169" t="s">
        <v>3581</v>
      </c>
      <c r="E53" s="3168" t="s">
        <v>3428</v>
      </c>
      <c r="F53" s="3168" t="s">
        <v>3429</v>
      </c>
      <c r="G53" s="3170">
        <v>3</v>
      </c>
      <c r="H53" s="3168" t="s">
        <v>3582</v>
      </c>
      <c r="I53" s="3168" t="s">
        <v>3431</v>
      </c>
      <c r="J53" s="3170">
        <v>74.14</v>
      </c>
      <c r="K53" s="3168" t="s">
        <v>2810</v>
      </c>
      <c r="L53">
        <f ca="1">典型户型修正!S76</f>
        <v>70.788899999999998</v>
      </c>
      <c r="M53">
        <f ca="1">典型户型修正!T76</f>
        <v>3.7080000000000002</v>
      </c>
      <c r="N53">
        <f ca="1">典型户型修正!U76</f>
        <v>3.5400000000000001E-2</v>
      </c>
      <c r="O53">
        <f ca="1">典型户型修正!V76</f>
        <v>3.3708999999999998</v>
      </c>
      <c r="P53">
        <f ca="1">典型户型修正!W76</f>
        <v>7.1143000000000001</v>
      </c>
      <c r="Q53">
        <f ca="1">典型户型修正!X76</f>
        <v>63.674599999999998</v>
      </c>
    </row>
    <row r="54" spans="1:17" ht="28.8">
      <c r="A54" s="3170">
        <v>53</v>
      </c>
      <c r="B54" s="3169" t="s">
        <v>3583</v>
      </c>
      <c r="C54" s="3171"/>
      <c r="D54" s="3169" t="s">
        <v>3584</v>
      </c>
      <c r="E54" s="3168" t="s">
        <v>3428</v>
      </c>
      <c r="F54" s="3168" t="s">
        <v>3429</v>
      </c>
      <c r="G54" s="3170">
        <v>4</v>
      </c>
      <c r="H54" s="3168" t="s">
        <v>3585</v>
      </c>
      <c r="I54" s="3168" t="s">
        <v>3431</v>
      </c>
      <c r="J54" s="3170">
        <v>182.27</v>
      </c>
      <c r="K54" s="3168" t="s">
        <v>2810</v>
      </c>
      <c r="L54">
        <f ca="1">典型户型修正!S77</f>
        <v>172.2816</v>
      </c>
      <c r="M54">
        <f ca="1">典型户型修正!T77</f>
        <v>9.0243000000000002</v>
      </c>
      <c r="N54">
        <f ca="1">典型户型修正!U77</f>
        <v>8.6099999999999996E-2</v>
      </c>
      <c r="O54">
        <f ca="1">典型户型修正!V77</f>
        <v>8.2039000000000009</v>
      </c>
      <c r="P54">
        <f ca="1">典型户型修正!W77</f>
        <v>17.314300000000003</v>
      </c>
      <c r="Q54">
        <f ca="1">典型户型修正!X77</f>
        <v>154.96729999999999</v>
      </c>
    </row>
    <row r="55" spans="1:17" ht="28.8">
      <c r="A55" s="3170">
        <v>54</v>
      </c>
      <c r="B55" s="3169" t="s">
        <v>3586</v>
      </c>
      <c r="C55" s="3171"/>
      <c r="D55" s="3169" t="s">
        <v>3587</v>
      </c>
      <c r="E55" s="3168" t="s">
        <v>3428</v>
      </c>
      <c r="F55" s="3168" t="s">
        <v>3429</v>
      </c>
      <c r="G55" s="3170">
        <v>4</v>
      </c>
      <c r="H55" s="3168" t="s">
        <v>3588</v>
      </c>
      <c r="I55" s="3168" t="s">
        <v>3431</v>
      </c>
      <c r="J55" s="3170">
        <v>75.75</v>
      </c>
      <c r="K55" s="3168" t="s">
        <v>2810</v>
      </c>
      <c r="L55">
        <f ca="1">典型户型修正!S78</f>
        <v>72.326099999999997</v>
      </c>
      <c r="M55">
        <f ca="1">典型户型修正!T78</f>
        <v>3.7885</v>
      </c>
      <c r="N55">
        <f ca="1">典型户型修正!U78</f>
        <v>3.6200000000000003E-2</v>
      </c>
      <c r="O55">
        <f ca="1">典型户型修正!V78</f>
        <v>3.4441000000000002</v>
      </c>
      <c r="P55">
        <f ca="1">典型户型修正!W78</f>
        <v>7.2688000000000006</v>
      </c>
      <c r="Q55">
        <f ca="1">典型户型修正!X78</f>
        <v>65.057299999999998</v>
      </c>
    </row>
    <row r="56" spans="1:17" ht="28.8">
      <c r="A56" s="3170">
        <v>55</v>
      </c>
      <c r="B56" s="3169" t="s">
        <v>3590</v>
      </c>
      <c r="C56" s="3171"/>
      <c r="D56" s="3169" t="s">
        <v>3589</v>
      </c>
      <c r="E56" s="3168" t="s">
        <v>3428</v>
      </c>
      <c r="F56" s="3168" t="s">
        <v>3429</v>
      </c>
      <c r="G56" s="3170">
        <v>4</v>
      </c>
      <c r="H56" s="3168" t="s">
        <v>3591</v>
      </c>
      <c r="I56" s="3168" t="s">
        <v>3431</v>
      </c>
      <c r="J56" s="3170">
        <v>81.709999999999994</v>
      </c>
      <c r="K56" s="3168" t="s">
        <v>2810</v>
      </c>
      <c r="L56">
        <f ca="1">典型户型修正!S79</f>
        <v>78.0167</v>
      </c>
      <c r="M56">
        <f ca="1">典型户型修正!T79</f>
        <v>4.0865999999999998</v>
      </c>
      <c r="N56">
        <f ca="1">典型户型修正!U79</f>
        <v>3.9E-2</v>
      </c>
      <c r="O56">
        <f ca="1">典型户型修正!V79</f>
        <v>3.7151000000000001</v>
      </c>
      <c r="P56">
        <f ca="1">典型户型修正!W79</f>
        <v>7.8407</v>
      </c>
      <c r="Q56">
        <f ca="1">典型户型修正!X79</f>
        <v>70.176000000000002</v>
      </c>
    </row>
    <row r="57" spans="1:17" ht="28.8">
      <c r="A57" s="3170">
        <v>56</v>
      </c>
      <c r="B57" s="3169" t="s">
        <v>3592</v>
      </c>
      <c r="C57" s="3171"/>
      <c r="D57" s="3169" t="s">
        <v>3593</v>
      </c>
      <c r="E57" s="3168" t="s">
        <v>3428</v>
      </c>
      <c r="F57" s="3168" t="s">
        <v>3429</v>
      </c>
      <c r="G57" s="3170">
        <v>4</v>
      </c>
      <c r="H57" s="3168" t="s">
        <v>3594</v>
      </c>
      <c r="I57" s="3168" t="s">
        <v>3431</v>
      </c>
      <c r="J57" s="3170">
        <v>76.430000000000007</v>
      </c>
      <c r="K57" s="3168" t="s">
        <v>2810</v>
      </c>
      <c r="L57">
        <f ca="1">典型户型修正!S80</f>
        <v>72.975399999999993</v>
      </c>
      <c r="M57">
        <f ca="1">典型户型修正!T80</f>
        <v>3.8224999999999998</v>
      </c>
      <c r="N57">
        <f ca="1">典型户型修正!U80</f>
        <v>3.6499999999999998E-2</v>
      </c>
      <c r="O57">
        <f ca="1">典型户型修正!V80</f>
        <v>3.4750000000000001</v>
      </c>
      <c r="P57">
        <f ca="1">典型户型修正!W80</f>
        <v>7.3339999999999996</v>
      </c>
      <c r="Q57">
        <f ca="1">典型户型修正!X80</f>
        <v>65.64139999999999</v>
      </c>
    </row>
    <row r="58" spans="1:17" ht="28.8">
      <c r="A58" s="3170">
        <v>57</v>
      </c>
      <c r="B58" s="3169" t="s">
        <v>3595</v>
      </c>
      <c r="C58" s="3171"/>
      <c r="D58" s="3169" t="s">
        <v>3596</v>
      </c>
      <c r="E58" s="3168" t="s">
        <v>3428</v>
      </c>
      <c r="F58" s="3168" t="s">
        <v>3429</v>
      </c>
      <c r="G58" s="3170">
        <v>4</v>
      </c>
      <c r="H58" s="3168" t="s">
        <v>3597</v>
      </c>
      <c r="I58" s="3168" t="s">
        <v>3431</v>
      </c>
      <c r="J58" s="3170">
        <v>73</v>
      </c>
      <c r="K58" s="3168" t="s">
        <v>2810</v>
      </c>
      <c r="L58">
        <f ca="1">典型户型修正!S81</f>
        <v>69.700400000000002</v>
      </c>
      <c r="M58">
        <f ca="1">典型户型修正!T81</f>
        <v>3.6509999999999998</v>
      </c>
      <c r="N58">
        <f ca="1">典型户型修正!U81</f>
        <v>3.49E-2</v>
      </c>
      <c r="O58">
        <f ca="1">典型户型修正!V81</f>
        <v>3.3191000000000002</v>
      </c>
      <c r="P58">
        <f ca="1">典型户型修正!W81</f>
        <v>7.0049999999999999</v>
      </c>
      <c r="Q58">
        <f ca="1">典型户型修正!X81</f>
        <v>62.695399999999999</v>
      </c>
    </row>
    <row r="59" spans="1:17" ht="28.8">
      <c r="A59" s="3170">
        <v>58</v>
      </c>
      <c r="B59" s="3169" t="s">
        <v>3598</v>
      </c>
      <c r="C59" s="3171"/>
      <c r="D59" s="3169" t="s">
        <v>3599</v>
      </c>
      <c r="E59" s="3168" t="s">
        <v>3428</v>
      </c>
      <c r="F59" s="3168" t="s">
        <v>3429</v>
      </c>
      <c r="G59" s="3170">
        <v>4</v>
      </c>
      <c r="H59" s="3168" t="s">
        <v>3600</v>
      </c>
      <c r="I59" s="3168" t="s">
        <v>3431</v>
      </c>
      <c r="J59" s="3170">
        <v>78.45</v>
      </c>
      <c r="K59" s="3168" t="s">
        <v>2810</v>
      </c>
      <c r="L59">
        <f ca="1">典型户型修正!S82</f>
        <v>74.9041</v>
      </c>
      <c r="M59">
        <f ca="1">典型户型修正!T82</f>
        <v>3.9235000000000002</v>
      </c>
      <c r="N59">
        <f ca="1">典型户型修正!U82</f>
        <v>3.7499999999999999E-2</v>
      </c>
      <c r="O59">
        <f ca="1">典型户型修正!V82</f>
        <v>3.5669</v>
      </c>
      <c r="P59">
        <f ca="1">典型户型修正!W82</f>
        <v>7.5279000000000007</v>
      </c>
      <c r="Q59">
        <f ca="1">典型户型修正!X82</f>
        <v>67.376199999999997</v>
      </c>
    </row>
    <row r="60" spans="1:17" ht="28.8">
      <c r="A60" s="3170">
        <v>59</v>
      </c>
      <c r="B60" s="3169" t="s">
        <v>3601</v>
      </c>
      <c r="C60" s="3171"/>
      <c r="D60" s="3169" t="s">
        <v>3602</v>
      </c>
      <c r="E60" s="3168" t="s">
        <v>3428</v>
      </c>
      <c r="F60" s="3168" t="s">
        <v>3429</v>
      </c>
      <c r="G60" s="3170">
        <v>4</v>
      </c>
      <c r="H60" s="3168" t="s">
        <v>3603</v>
      </c>
      <c r="I60" s="3168" t="s">
        <v>3431</v>
      </c>
      <c r="J60" s="3170">
        <v>75.959999999999994</v>
      </c>
      <c r="K60" s="3168" t="s">
        <v>2810</v>
      </c>
      <c r="L60">
        <f ca="1">典型户型修正!S83</f>
        <v>72.526600000000002</v>
      </c>
      <c r="M60">
        <f ca="1">典型户型修正!T83</f>
        <v>3.7989999999999999</v>
      </c>
      <c r="N60">
        <f ca="1">典型户型修正!U83</f>
        <v>3.6299999999999999E-2</v>
      </c>
      <c r="O60">
        <f ca="1">典型户型修正!V83</f>
        <v>3.4535999999999998</v>
      </c>
      <c r="P60">
        <f ca="1">典型户型修正!W83</f>
        <v>7.2888999999999999</v>
      </c>
      <c r="Q60">
        <f ca="1">典型户型修正!X83</f>
        <v>65.237700000000004</v>
      </c>
    </row>
    <row r="61" spans="1:17" ht="28.8">
      <c r="A61" s="3170">
        <v>60</v>
      </c>
      <c r="B61" s="3169" t="s">
        <v>3604</v>
      </c>
      <c r="C61" s="3171"/>
      <c r="D61" s="3169" t="s">
        <v>3605</v>
      </c>
      <c r="E61" s="3168" t="s">
        <v>3428</v>
      </c>
      <c r="F61" s="3168" t="s">
        <v>3429</v>
      </c>
      <c r="G61" s="3170">
        <v>4</v>
      </c>
      <c r="H61" s="3168" t="s">
        <v>3606</v>
      </c>
      <c r="I61" s="3168" t="s">
        <v>3431</v>
      </c>
      <c r="J61" s="3170">
        <v>75.959999999999994</v>
      </c>
      <c r="K61" s="3168" t="s">
        <v>2810</v>
      </c>
      <c r="L61">
        <f ca="1">典型户型修正!S84</f>
        <v>72.526600000000002</v>
      </c>
      <c r="M61">
        <f ca="1">典型户型修正!T84</f>
        <v>3.7989999999999999</v>
      </c>
      <c r="N61">
        <f ca="1">典型户型修正!U84</f>
        <v>3.6299999999999999E-2</v>
      </c>
      <c r="O61">
        <f ca="1">典型户型修正!V84</f>
        <v>3.4535999999999998</v>
      </c>
      <c r="P61">
        <f ca="1">典型户型修正!W84</f>
        <v>7.2888999999999999</v>
      </c>
      <c r="Q61">
        <f ca="1">典型户型修正!X84</f>
        <v>65.237700000000004</v>
      </c>
    </row>
    <row r="62" spans="1:17" ht="28.8">
      <c r="A62" s="3170">
        <v>61</v>
      </c>
      <c r="B62" s="3169" t="s">
        <v>3607</v>
      </c>
      <c r="C62" s="3171"/>
      <c r="D62" s="3169" t="s">
        <v>3608</v>
      </c>
      <c r="E62" s="3168" t="s">
        <v>3428</v>
      </c>
      <c r="F62" s="3168" t="s">
        <v>3429</v>
      </c>
      <c r="G62" s="3170">
        <v>4</v>
      </c>
      <c r="H62" s="3168" t="s">
        <v>3609</v>
      </c>
      <c r="I62" s="3168" t="s">
        <v>3431</v>
      </c>
      <c r="J62" s="3170">
        <v>78.45</v>
      </c>
      <c r="K62" s="3168" t="s">
        <v>2810</v>
      </c>
      <c r="L62">
        <f ca="1">典型户型修正!S85</f>
        <v>74.9041</v>
      </c>
      <c r="M62">
        <f ca="1">典型户型修正!T85</f>
        <v>3.9235000000000002</v>
      </c>
      <c r="N62">
        <f ca="1">典型户型修正!U85</f>
        <v>3.7499999999999999E-2</v>
      </c>
      <c r="O62">
        <f ca="1">典型户型修正!V85</f>
        <v>3.5669</v>
      </c>
      <c r="P62">
        <f ca="1">典型户型修正!W85</f>
        <v>7.5279000000000007</v>
      </c>
      <c r="Q62">
        <f ca="1">典型户型修正!X85</f>
        <v>67.376199999999997</v>
      </c>
    </row>
    <row r="63" spans="1:17" ht="28.8">
      <c r="A63" s="3170">
        <v>62</v>
      </c>
      <c r="B63" s="3169" t="s">
        <v>3610</v>
      </c>
      <c r="C63" s="3171"/>
      <c r="D63" s="3169" t="s">
        <v>3611</v>
      </c>
      <c r="E63" s="3168" t="s">
        <v>3428</v>
      </c>
      <c r="F63" s="3168" t="s">
        <v>3429</v>
      </c>
      <c r="G63" s="3170">
        <v>4</v>
      </c>
      <c r="H63" s="3168" t="s">
        <v>3612</v>
      </c>
      <c r="I63" s="3168" t="s">
        <v>3431</v>
      </c>
      <c r="J63" s="3170">
        <v>73.47</v>
      </c>
      <c r="K63" s="3168" t="s">
        <v>2810</v>
      </c>
      <c r="L63">
        <f ca="1">典型户型修正!S86</f>
        <v>70.149199999999993</v>
      </c>
      <c r="M63">
        <f ca="1">典型户型修正!T86</f>
        <v>3.6745000000000001</v>
      </c>
      <c r="N63">
        <f ca="1">典型户型修正!U86</f>
        <v>3.5099999999999999E-2</v>
      </c>
      <c r="O63">
        <f ca="1">典型户型修正!V86</f>
        <v>3.3403999999999998</v>
      </c>
      <c r="P63">
        <f ca="1">典型户型修正!W86</f>
        <v>7.05</v>
      </c>
      <c r="Q63">
        <f ca="1">典型户型修正!X86</f>
        <v>63.099199999999996</v>
      </c>
    </row>
    <row r="64" spans="1:17" ht="28.8">
      <c r="A64" s="3170">
        <v>63</v>
      </c>
      <c r="B64" s="3169" t="s">
        <v>3613</v>
      </c>
      <c r="C64" s="3171"/>
      <c r="D64" s="3169" t="s">
        <v>3614</v>
      </c>
      <c r="E64" s="3168" t="s">
        <v>3428</v>
      </c>
      <c r="F64" s="3168" t="s">
        <v>3429</v>
      </c>
      <c r="G64" s="3170">
        <v>4</v>
      </c>
      <c r="H64" s="3168" t="s">
        <v>3615</v>
      </c>
      <c r="I64" s="3168" t="s">
        <v>3431</v>
      </c>
      <c r="J64" s="3170">
        <v>75.959999999999994</v>
      </c>
      <c r="K64" s="3168" t="s">
        <v>2810</v>
      </c>
      <c r="L64">
        <f ca="1">典型户型修正!S87</f>
        <v>72.526600000000002</v>
      </c>
      <c r="M64">
        <f ca="1">典型户型修正!T87</f>
        <v>3.7989999999999999</v>
      </c>
      <c r="N64">
        <f ca="1">典型户型修正!U87</f>
        <v>3.6299999999999999E-2</v>
      </c>
      <c r="O64">
        <f ca="1">典型户型修正!V87</f>
        <v>3.4535999999999998</v>
      </c>
      <c r="P64">
        <f ca="1">典型户型修正!W87</f>
        <v>7.2888999999999999</v>
      </c>
      <c r="Q64">
        <f ca="1">典型户型修正!X87</f>
        <v>65.237700000000004</v>
      </c>
    </row>
    <row r="65" spans="1:17" ht="28.8">
      <c r="A65" s="3170">
        <v>64</v>
      </c>
      <c r="B65" s="3169" t="s">
        <v>3616</v>
      </c>
      <c r="C65" s="3171"/>
      <c r="D65" s="3169" t="s">
        <v>3617</v>
      </c>
      <c r="E65" s="3168" t="s">
        <v>3428</v>
      </c>
      <c r="F65" s="3168" t="s">
        <v>3429</v>
      </c>
      <c r="G65" s="3170">
        <v>4</v>
      </c>
      <c r="H65" s="3168" t="s">
        <v>3618</v>
      </c>
      <c r="I65" s="3168" t="s">
        <v>3431</v>
      </c>
      <c r="J65" s="3170">
        <v>83.52</v>
      </c>
      <c r="K65" s="3168" t="s">
        <v>2810</v>
      </c>
      <c r="L65">
        <f ca="1">典型户型修正!S88</f>
        <v>79.744900000000001</v>
      </c>
      <c r="M65">
        <f ca="1">典型户型修正!T88</f>
        <v>4.1771000000000003</v>
      </c>
      <c r="N65">
        <f ca="1">典型户型修正!U88</f>
        <v>3.9899999999999998E-2</v>
      </c>
      <c r="O65">
        <f ca="1">典型户型修正!V88</f>
        <v>3.7974000000000001</v>
      </c>
      <c r="P65">
        <f ca="1">典型户型修正!W88</f>
        <v>8.0144000000000002</v>
      </c>
      <c r="Q65">
        <f ca="1">典型户型修正!X88</f>
        <v>71.730500000000006</v>
      </c>
    </row>
    <row r="66" spans="1:17" ht="28.8">
      <c r="A66" s="3170">
        <v>65</v>
      </c>
      <c r="B66" s="3169" t="s">
        <v>3619</v>
      </c>
      <c r="C66" s="3171"/>
      <c r="D66" s="3169" t="s">
        <v>3620</v>
      </c>
      <c r="E66" s="3168" t="s">
        <v>3428</v>
      </c>
      <c r="F66" s="3168" t="s">
        <v>3429</v>
      </c>
      <c r="G66" s="3170">
        <v>4</v>
      </c>
      <c r="H66" s="3168" t="s">
        <v>3621</v>
      </c>
      <c r="I66" s="3168" t="s">
        <v>3431</v>
      </c>
      <c r="J66" s="3170">
        <v>89.88</v>
      </c>
      <c r="K66" s="3168" t="s">
        <v>2810</v>
      </c>
      <c r="L66">
        <f ca="1">典型户型修正!S89</f>
        <v>85.817400000000006</v>
      </c>
      <c r="M66">
        <f ca="1">典型户型修正!T89</f>
        <v>4.4951999999999996</v>
      </c>
      <c r="N66">
        <f ca="1">典型户型修正!U89</f>
        <v>4.2900000000000001E-2</v>
      </c>
      <c r="O66">
        <f ca="1">典型户型修正!V89</f>
        <v>4.0865</v>
      </c>
      <c r="P66">
        <f ca="1">典型户型修正!W89</f>
        <v>8.6246000000000009</v>
      </c>
      <c r="Q66">
        <f ca="1">典型户型修正!X89</f>
        <v>77.192800000000005</v>
      </c>
    </row>
    <row r="67" spans="1:17" ht="28.8">
      <c r="A67" s="3170">
        <v>66</v>
      </c>
      <c r="B67" s="3169" t="s">
        <v>3622</v>
      </c>
      <c r="C67" s="3171"/>
      <c r="D67" s="3169" t="s">
        <v>3623</v>
      </c>
      <c r="E67" s="3168" t="s">
        <v>3428</v>
      </c>
      <c r="F67" s="3168" t="s">
        <v>3429</v>
      </c>
      <c r="G67" s="3170">
        <v>4</v>
      </c>
      <c r="H67" s="3168" t="s">
        <v>3624</v>
      </c>
      <c r="I67" s="3168" t="s">
        <v>3431</v>
      </c>
      <c r="J67" s="3170">
        <v>174.94</v>
      </c>
      <c r="K67" s="3168" t="s">
        <v>2810</v>
      </c>
      <c r="L67">
        <f ca="1">典型户型修正!S90</f>
        <v>165.35329999999999</v>
      </c>
      <c r="M67">
        <f ca="1">典型户型修正!T90</f>
        <v>8.6614000000000004</v>
      </c>
      <c r="N67">
        <f ca="1">典型户型修正!U90</f>
        <v>8.2699999999999996E-2</v>
      </c>
      <c r="O67">
        <f ca="1">典型户型修正!V90</f>
        <v>7.8739999999999997</v>
      </c>
      <c r="P67">
        <f ca="1">典型户型修正!W90</f>
        <v>16.618099999999998</v>
      </c>
      <c r="Q67">
        <f ca="1">典型户型修正!X90</f>
        <v>148.73519999999999</v>
      </c>
    </row>
    <row r="68" spans="1:17" ht="28.8">
      <c r="A68" s="3170">
        <v>67</v>
      </c>
      <c r="B68" s="3169" t="s">
        <v>3625</v>
      </c>
      <c r="C68" s="3171"/>
      <c r="D68" s="3169" t="s">
        <v>3626</v>
      </c>
      <c r="E68" s="3168" t="s">
        <v>3428</v>
      </c>
      <c r="F68" s="3168" t="s">
        <v>3429</v>
      </c>
      <c r="G68" s="3170">
        <v>4</v>
      </c>
      <c r="H68" s="3168" t="s">
        <v>3627</v>
      </c>
      <c r="I68" s="3168" t="s">
        <v>3431</v>
      </c>
      <c r="J68" s="3170">
        <v>71.61</v>
      </c>
      <c r="K68" s="3168" t="s">
        <v>2810</v>
      </c>
      <c r="L68">
        <f ca="1">典型户型修正!S91</f>
        <v>68.373199999999997</v>
      </c>
      <c r="M68">
        <f ca="1">典型户型修正!T91</f>
        <v>3.5815000000000001</v>
      </c>
      <c r="N68">
        <f ca="1">典型户型修正!U91</f>
        <v>3.4200000000000001E-2</v>
      </c>
      <c r="O68">
        <f ca="1">典型户型修正!V91</f>
        <v>3.2559</v>
      </c>
      <c r="P68">
        <f ca="1">典型户型修正!W91</f>
        <v>6.8715999999999999</v>
      </c>
      <c r="Q68">
        <f ca="1">典型户型修正!X91</f>
        <v>61.501599999999996</v>
      </c>
    </row>
    <row r="69" spans="1:17" ht="28.8">
      <c r="A69" s="3170">
        <v>68</v>
      </c>
      <c r="B69" s="3169" t="s">
        <v>3628</v>
      </c>
      <c r="C69" s="3171"/>
      <c r="D69" s="3169" t="s">
        <v>3629</v>
      </c>
      <c r="E69" s="3168" t="s">
        <v>3428</v>
      </c>
      <c r="F69" s="3168" t="s">
        <v>3429</v>
      </c>
      <c r="G69" s="3170">
        <v>4</v>
      </c>
      <c r="H69" s="3168" t="s">
        <v>3630</v>
      </c>
      <c r="I69" s="3168" t="s">
        <v>3431</v>
      </c>
      <c r="J69" s="3170">
        <v>63.07</v>
      </c>
      <c r="K69" s="3168" t="s">
        <v>2810</v>
      </c>
      <c r="L69">
        <f ca="1">典型户型修正!S92</f>
        <v>60.219200000000001</v>
      </c>
      <c r="M69">
        <f ca="1">典型户型修正!T92</f>
        <v>3.1543000000000001</v>
      </c>
      <c r="N69">
        <f ca="1">典型户型修正!U92</f>
        <v>3.0099999999999998E-2</v>
      </c>
      <c r="O69">
        <f ca="1">典型户型修正!V92</f>
        <v>2.8675999999999999</v>
      </c>
      <c r="P69">
        <f ca="1">典型户型修正!W92</f>
        <v>6.0519999999999996</v>
      </c>
      <c r="Q69">
        <f ca="1">典型户型修正!X92</f>
        <v>54.167200000000001</v>
      </c>
    </row>
    <row r="70" spans="1:17" ht="28.8">
      <c r="A70" s="3170">
        <v>69</v>
      </c>
      <c r="B70" s="3169" t="s">
        <v>3631</v>
      </c>
      <c r="C70" s="3171"/>
      <c r="D70" s="3169" t="s">
        <v>3632</v>
      </c>
      <c r="E70" s="3168" t="s">
        <v>3428</v>
      </c>
      <c r="F70" s="3168" t="s">
        <v>3429</v>
      </c>
      <c r="G70" s="3170">
        <v>4</v>
      </c>
      <c r="H70" s="3168" t="s">
        <v>3633</v>
      </c>
      <c r="I70" s="3168" t="s">
        <v>3431</v>
      </c>
      <c r="J70" s="3170">
        <v>54.75</v>
      </c>
      <c r="K70" s="3168" t="s">
        <v>2810</v>
      </c>
      <c r="L70">
        <f ca="1">典型户型修正!S93</f>
        <v>52.275300000000001</v>
      </c>
      <c r="M70">
        <f ca="1">典型户型修正!T93</f>
        <v>2.7382</v>
      </c>
      <c r="N70">
        <f ca="1">典型户型修正!U93</f>
        <v>2.6100000000000002E-2</v>
      </c>
      <c r="O70">
        <f ca="1">典型户型修正!V93</f>
        <v>2.4893000000000001</v>
      </c>
      <c r="P70">
        <f ca="1">典型户型修正!W93</f>
        <v>5.2536000000000005</v>
      </c>
      <c r="Q70">
        <f ca="1">典型户型修正!X93</f>
        <v>47.021700000000003</v>
      </c>
    </row>
    <row r="71" spans="1:17" ht="28.8">
      <c r="A71" s="3170">
        <v>70</v>
      </c>
      <c r="B71" s="3169" t="s">
        <v>3634</v>
      </c>
      <c r="C71" s="3171"/>
      <c r="D71" s="3169" t="s">
        <v>3635</v>
      </c>
      <c r="E71" s="3168" t="s">
        <v>3428</v>
      </c>
      <c r="F71" s="3168" t="s">
        <v>3429</v>
      </c>
      <c r="G71" s="3170">
        <v>4</v>
      </c>
      <c r="H71" s="3168" t="s">
        <v>3636</v>
      </c>
      <c r="I71" s="3168" t="s">
        <v>3431</v>
      </c>
      <c r="J71" s="3170">
        <v>54.75</v>
      </c>
      <c r="K71" s="3168" t="s">
        <v>2810</v>
      </c>
      <c r="L71">
        <f ca="1">典型户型修正!S94</f>
        <v>52.275300000000001</v>
      </c>
      <c r="M71">
        <f ca="1">典型户型修正!T94</f>
        <v>2.7382</v>
      </c>
      <c r="N71">
        <f ca="1">典型户型修正!U94</f>
        <v>2.6100000000000002E-2</v>
      </c>
      <c r="O71">
        <f ca="1">典型户型修正!V94</f>
        <v>2.4893000000000001</v>
      </c>
      <c r="P71">
        <f ca="1">典型户型修正!W94</f>
        <v>5.2536000000000005</v>
      </c>
      <c r="Q71">
        <f ca="1">典型户型修正!X94</f>
        <v>47.021700000000003</v>
      </c>
    </row>
    <row r="72" spans="1:17" ht="28.8">
      <c r="A72" s="3170">
        <v>71</v>
      </c>
      <c r="B72" s="3169" t="s">
        <v>3637</v>
      </c>
      <c r="C72" s="3171"/>
      <c r="D72" s="3169" t="s">
        <v>3638</v>
      </c>
      <c r="E72" s="3168" t="s">
        <v>3428</v>
      </c>
      <c r="F72" s="3168" t="s">
        <v>3429</v>
      </c>
      <c r="G72" s="3170">
        <v>4</v>
      </c>
      <c r="H72" s="3168" t="s">
        <v>3639</v>
      </c>
      <c r="I72" s="3168" t="s">
        <v>3431</v>
      </c>
      <c r="J72" s="3170">
        <v>54.75</v>
      </c>
      <c r="K72" s="3168" t="s">
        <v>2810</v>
      </c>
      <c r="L72">
        <f ca="1">典型户型修正!S95</f>
        <v>52.275300000000001</v>
      </c>
      <c r="M72">
        <f ca="1">典型户型修正!T95</f>
        <v>2.7382</v>
      </c>
      <c r="N72">
        <f ca="1">典型户型修正!U95</f>
        <v>2.6100000000000002E-2</v>
      </c>
      <c r="O72">
        <f ca="1">典型户型修正!V95</f>
        <v>2.4893000000000001</v>
      </c>
      <c r="P72">
        <f ca="1">典型户型修正!W95</f>
        <v>5.2536000000000005</v>
      </c>
      <c r="Q72">
        <f ca="1">典型户型修正!X95</f>
        <v>47.021700000000003</v>
      </c>
    </row>
    <row r="73" spans="1:17" ht="28.8">
      <c r="A73" s="3170">
        <v>72</v>
      </c>
      <c r="B73" s="3169" t="s">
        <v>3640</v>
      </c>
      <c r="C73" s="3171"/>
      <c r="D73" s="3169" t="s">
        <v>3641</v>
      </c>
      <c r="E73" s="3168" t="s">
        <v>3428</v>
      </c>
      <c r="F73" s="3168" t="s">
        <v>3429</v>
      </c>
      <c r="G73" s="3170">
        <v>4</v>
      </c>
      <c r="H73" s="3168" t="s">
        <v>3642</v>
      </c>
      <c r="I73" s="3168" t="s">
        <v>3431</v>
      </c>
      <c r="J73" s="3170">
        <v>54.75</v>
      </c>
      <c r="K73" s="3168" t="s">
        <v>2810</v>
      </c>
      <c r="L73">
        <f ca="1">典型户型修正!S96</f>
        <v>52.275300000000001</v>
      </c>
      <c r="M73">
        <f ca="1">典型户型修正!T96</f>
        <v>2.7382</v>
      </c>
      <c r="N73">
        <f ca="1">典型户型修正!U96</f>
        <v>2.6100000000000002E-2</v>
      </c>
      <c r="O73">
        <f ca="1">典型户型修正!V96</f>
        <v>2.4893000000000001</v>
      </c>
      <c r="P73">
        <f ca="1">典型户型修正!W96</f>
        <v>5.2536000000000005</v>
      </c>
      <c r="Q73">
        <f ca="1">典型户型修正!X96</f>
        <v>47.021700000000003</v>
      </c>
    </row>
    <row r="74" spans="1:17" ht="28.8">
      <c r="A74" s="3170">
        <v>73</v>
      </c>
      <c r="B74" s="3169" t="s">
        <v>3643</v>
      </c>
      <c r="C74" s="3171"/>
      <c r="D74" s="3169" t="s">
        <v>3644</v>
      </c>
      <c r="E74" s="3168" t="s">
        <v>3428</v>
      </c>
      <c r="F74" s="3168" t="s">
        <v>3429</v>
      </c>
      <c r="G74" s="3170">
        <v>4</v>
      </c>
      <c r="H74" s="3168" t="s">
        <v>3645</v>
      </c>
      <c r="I74" s="3168" t="s">
        <v>3431</v>
      </c>
      <c r="J74" s="3170">
        <v>54.75</v>
      </c>
      <c r="K74" s="3168" t="s">
        <v>2810</v>
      </c>
      <c r="L74">
        <f ca="1">典型户型修正!S97</f>
        <v>52.275300000000001</v>
      </c>
      <c r="M74">
        <f ca="1">典型户型修正!T97</f>
        <v>2.7382</v>
      </c>
      <c r="N74">
        <f ca="1">典型户型修正!U97</f>
        <v>2.6100000000000002E-2</v>
      </c>
      <c r="O74">
        <f ca="1">典型户型修正!V97</f>
        <v>2.4893000000000001</v>
      </c>
      <c r="P74">
        <f ca="1">典型户型修正!W97</f>
        <v>5.2536000000000005</v>
      </c>
      <c r="Q74">
        <f ca="1">典型户型修正!X97</f>
        <v>47.021700000000003</v>
      </c>
    </row>
    <row r="75" spans="1:17" ht="28.8">
      <c r="A75" s="3170">
        <v>74</v>
      </c>
      <c r="B75" s="3169" t="s">
        <v>3646</v>
      </c>
      <c r="C75" s="3171"/>
      <c r="D75" s="3169" t="s">
        <v>3647</v>
      </c>
      <c r="E75" s="3168" t="s">
        <v>3428</v>
      </c>
      <c r="F75" s="3168" t="s">
        <v>3429</v>
      </c>
      <c r="G75" s="3170">
        <v>4</v>
      </c>
      <c r="H75" s="3168" t="s">
        <v>3648</v>
      </c>
      <c r="I75" s="3168" t="s">
        <v>3431</v>
      </c>
      <c r="J75" s="3170">
        <v>54.75</v>
      </c>
      <c r="K75" s="3168" t="s">
        <v>2810</v>
      </c>
      <c r="L75">
        <f ca="1">典型户型修正!S98</f>
        <v>52.275300000000001</v>
      </c>
      <c r="M75">
        <f ca="1">典型户型修正!T98</f>
        <v>2.7382</v>
      </c>
      <c r="N75">
        <f ca="1">典型户型修正!U98</f>
        <v>2.6100000000000002E-2</v>
      </c>
      <c r="O75">
        <f ca="1">典型户型修正!V98</f>
        <v>2.4893000000000001</v>
      </c>
      <c r="P75">
        <f ca="1">典型户型修正!W98</f>
        <v>5.2536000000000005</v>
      </c>
      <c r="Q75">
        <f ca="1">典型户型修正!X98</f>
        <v>47.021700000000003</v>
      </c>
    </row>
    <row r="76" spans="1:17" ht="28.8">
      <c r="A76" s="3170">
        <v>75</v>
      </c>
      <c r="B76" s="3169" t="s">
        <v>3649</v>
      </c>
      <c r="C76" s="3171"/>
      <c r="D76" s="3169" t="s">
        <v>3650</v>
      </c>
      <c r="E76" s="3168" t="s">
        <v>3428</v>
      </c>
      <c r="F76" s="3168" t="s">
        <v>3429</v>
      </c>
      <c r="G76" s="3170">
        <v>4</v>
      </c>
      <c r="H76" s="3168" t="s">
        <v>3651</v>
      </c>
      <c r="I76" s="3168" t="s">
        <v>3431</v>
      </c>
      <c r="J76" s="3170">
        <v>54.75</v>
      </c>
      <c r="K76" s="3168" t="s">
        <v>2810</v>
      </c>
      <c r="L76">
        <f ca="1">典型户型修正!S99</f>
        <v>52.275300000000001</v>
      </c>
      <c r="M76">
        <f ca="1">典型户型修正!T99</f>
        <v>2.7382</v>
      </c>
      <c r="N76">
        <f ca="1">典型户型修正!U99</f>
        <v>2.6100000000000002E-2</v>
      </c>
      <c r="O76">
        <f ca="1">典型户型修正!V99</f>
        <v>2.4893000000000001</v>
      </c>
      <c r="P76">
        <f ca="1">典型户型修正!W99</f>
        <v>5.2536000000000005</v>
      </c>
      <c r="Q76">
        <f ca="1">典型户型修正!X99</f>
        <v>47.021700000000003</v>
      </c>
    </row>
    <row r="77" spans="1:17" ht="28.8">
      <c r="A77" s="3170">
        <v>76</v>
      </c>
      <c r="B77" s="3169" t="s">
        <v>3652</v>
      </c>
      <c r="C77" s="3171"/>
      <c r="D77" s="3169" t="s">
        <v>3653</v>
      </c>
      <c r="E77" s="3168" t="s">
        <v>3428</v>
      </c>
      <c r="F77" s="3168" t="s">
        <v>3429</v>
      </c>
      <c r="G77" s="3170">
        <v>4</v>
      </c>
      <c r="H77" s="3168" t="s">
        <v>3654</v>
      </c>
      <c r="I77" s="3168" t="s">
        <v>3431</v>
      </c>
      <c r="J77" s="3170">
        <v>54.75</v>
      </c>
      <c r="K77" s="3168" t="s">
        <v>2810</v>
      </c>
      <c r="L77">
        <f ca="1">典型户型修正!S100</f>
        <v>52.275300000000001</v>
      </c>
      <c r="M77">
        <f ca="1">典型户型修正!T100</f>
        <v>2.7382</v>
      </c>
      <c r="N77">
        <f ca="1">典型户型修正!U100</f>
        <v>2.6100000000000002E-2</v>
      </c>
      <c r="O77">
        <f ca="1">典型户型修正!V100</f>
        <v>2.4893000000000001</v>
      </c>
      <c r="P77">
        <f ca="1">典型户型修正!W100</f>
        <v>5.2536000000000005</v>
      </c>
      <c r="Q77">
        <f ca="1">典型户型修正!X100</f>
        <v>47.021700000000003</v>
      </c>
    </row>
    <row r="78" spans="1:17" ht="28.8">
      <c r="A78" s="3170">
        <v>77</v>
      </c>
      <c r="B78" s="3169" t="s">
        <v>3655</v>
      </c>
      <c r="C78" s="3171"/>
      <c r="D78" s="3169" t="s">
        <v>3656</v>
      </c>
      <c r="E78" s="3168" t="s">
        <v>3428</v>
      </c>
      <c r="F78" s="3168" t="s">
        <v>3429</v>
      </c>
      <c r="G78" s="3170">
        <v>4</v>
      </c>
      <c r="H78" s="3168" t="s">
        <v>3657</v>
      </c>
      <c r="I78" s="3168" t="s">
        <v>3431</v>
      </c>
      <c r="J78" s="3170">
        <v>62.39</v>
      </c>
      <c r="K78" s="3168" t="s">
        <v>2810</v>
      </c>
      <c r="L78">
        <f ca="1">典型户型修正!S101</f>
        <v>59.57</v>
      </c>
      <c r="M78">
        <f ca="1">典型户型修正!T101</f>
        <v>3.1202999999999999</v>
      </c>
      <c r="N78">
        <f ca="1">典型户型修正!U101</f>
        <v>2.98E-2</v>
      </c>
      <c r="O78">
        <f ca="1">典型户型修正!V101</f>
        <v>2.8367</v>
      </c>
      <c r="P78">
        <f ca="1">典型户型修正!W101</f>
        <v>5.9867999999999997</v>
      </c>
      <c r="Q78">
        <f ca="1">典型户型修正!X101</f>
        <v>53.583199999999998</v>
      </c>
    </row>
    <row r="79" spans="1:17" ht="28.8">
      <c r="A79" s="3170">
        <v>78</v>
      </c>
      <c r="B79" s="3169" t="s">
        <v>3658</v>
      </c>
      <c r="C79" s="3171"/>
      <c r="D79" s="3169" t="s">
        <v>3659</v>
      </c>
      <c r="E79" s="3168" t="s">
        <v>3428</v>
      </c>
      <c r="F79" s="3168" t="s">
        <v>3429</v>
      </c>
      <c r="G79" s="3170">
        <v>4</v>
      </c>
      <c r="H79" s="3168" t="s">
        <v>3660</v>
      </c>
      <c r="I79" s="3168" t="s">
        <v>3431</v>
      </c>
      <c r="J79" s="3170">
        <v>74.14</v>
      </c>
      <c r="K79" s="3168" t="s">
        <v>2810</v>
      </c>
      <c r="L79">
        <f ca="1">典型户型修正!S102</f>
        <v>70.788899999999998</v>
      </c>
      <c r="M79">
        <f ca="1">典型户型修正!T102</f>
        <v>3.7080000000000002</v>
      </c>
      <c r="N79">
        <f ca="1">典型户型修正!U102</f>
        <v>3.5400000000000001E-2</v>
      </c>
      <c r="O79">
        <f ca="1">典型户型修正!V102</f>
        <v>3.3708999999999998</v>
      </c>
      <c r="P79">
        <f ca="1">典型户型修正!W102</f>
        <v>7.1143000000000001</v>
      </c>
      <c r="Q79">
        <f ca="1">典型户型修正!X102</f>
        <v>63.674599999999998</v>
      </c>
    </row>
    <row r="80" spans="1:17" ht="28.8">
      <c r="A80" s="3170">
        <v>79</v>
      </c>
      <c r="B80" s="3169" t="s">
        <v>3661</v>
      </c>
      <c r="C80" s="3171"/>
      <c r="D80" s="3169" t="s">
        <v>3662</v>
      </c>
      <c r="E80" s="3168" t="s">
        <v>3428</v>
      </c>
      <c r="F80" s="3168" t="s">
        <v>3429</v>
      </c>
      <c r="G80" s="3170">
        <v>5</v>
      </c>
      <c r="H80" s="3168" t="s">
        <v>3663</v>
      </c>
      <c r="I80" s="3168" t="s">
        <v>3431</v>
      </c>
      <c r="J80" s="3170">
        <v>182.27</v>
      </c>
      <c r="K80" s="3168" t="s">
        <v>2810</v>
      </c>
      <c r="L80">
        <f ca="1">典型户型修正!S103</f>
        <v>172.2816</v>
      </c>
      <c r="M80">
        <f ca="1">典型户型修正!T103</f>
        <v>9.0243000000000002</v>
      </c>
      <c r="N80">
        <f ca="1">典型户型修正!U103</f>
        <v>8.6099999999999996E-2</v>
      </c>
      <c r="O80">
        <f ca="1">典型户型修正!V103</f>
        <v>8.2039000000000009</v>
      </c>
      <c r="P80">
        <f ca="1">典型户型修正!W103</f>
        <v>17.314300000000003</v>
      </c>
      <c r="Q80">
        <f ca="1">典型户型修正!X103</f>
        <v>154.96729999999999</v>
      </c>
    </row>
    <row r="81" spans="1:17" ht="28.8">
      <c r="A81" s="3170">
        <v>80</v>
      </c>
      <c r="B81" s="3169" t="s">
        <v>3664</v>
      </c>
      <c r="C81" s="3171"/>
      <c r="D81" s="3169" t="s">
        <v>3665</v>
      </c>
      <c r="E81" s="3168" t="s">
        <v>3428</v>
      </c>
      <c r="F81" s="3168" t="s">
        <v>3429</v>
      </c>
      <c r="G81" s="3170">
        <v>5</v>
      </c>
      <c r="H81" s="3168" t="s">
        <v>3666</v>
      </c>
      <c r="I81" s="3168" t="s">
        <v>3431</v>
      </c>
      <c r="J81" s="3170">
        <v>75.75</v>
      </c>
      <c r="K81" s="3168" t="s">
        <v>2810</v>
      </c>
      <c r="L81">
        <f ca="1">典型户型修正!S104</f>
        <v>72.326099999999997</v>
      </c>
      <c r="M81">
        <f ca="1">典型户型修正!T104</f>
        <v>3.7885</v>
      </c>
      <c r="N81">
        <f ca="1">典型户型修正!U104</f>
        <v>3.6200000000000003E-2</v>
      </c>
      <c r="O81">
        <f ca="1">典型户型修正!V104</f>
        <v>3.4441000000000002</v>
      </c>
      <c r="P81">
        <f ca="1">典型户型修正!W104</f>
        <v>7.2688000000000006</v>
      </c>
      <c r="Q81">
        <f ca="1">典型户型修正!X104</f>
        <v>65.057299999999998</v>
      </c>
    </row>
    <row r="82" spans="1:17" ht="28.8">
      <c r="A82" s="3170">
        <v>81</v>
      </c>
      <c r="B82" s="3169" t="s">
        <v>3667</v>
      </c>
      <c r="C82" s="3171"/>
      <c r="D82" s="3169" t="s">
        <v>3668</v>
      </c>
      <c r="E82" s="3168" t="s">
        <v>3428</v>
      </c>
      <c r="F82" s="3168" t="s">
        <v>3429</v>
      </c>
      <c r="G82" s="3170">
        <v>5</v>
      </c>
      <c r="H82" s="3168" t="s">
        <v>3669</v>
      </c>
      <c r="I82" s="3168" t="s">
        <v>3431</v>
      </c>
      <c r="J82" s="3170">
        <v>81.709999999999994</v>
      </c>
      <c r="K82" s="3168" t="s">
        <v>2810</v>
      </c>
      <c r="L82">
        <f ca="1">典型户型修正!S105</f>
        <v>78.0167</v>
      </c>
      <c r="M82">
        <f ca="1">典型户型修正!T105</f>
        <v>4.0865999999999998</v>
      </c>
      <c r="N82">
        <f ca="1">典型户型修正!U105</f>
        <v>3.9E-2</v>
      </c>
      <c r="O82">
        <f ca="1">典型户型修正!V105</f>
        <v>3.7151000000000001</v>
      </c>
      <c r="P82">
        <f ca="1">典型户型修正!W105</f>
        <v>7.8407</v>
      </c>
      <c r="Q82">
        <f ca="1">典型户型修正!X105</f>
        <v>70.176000000000002</v>
      </c>
    </row>
    <row r="83" spans="1:17" ht="28.8">
      <c r="A83" s="3170">
        <v>82</v>
      </c>
      <c r="B83" s="3169" t="s">
        <v>3670</v>
      </c>
      <c r="C83" s="3171"/>
      <c r="D83" s="3169" t="s">
        <v>3671</v>
      </c>
      <c r="E83" s="3168" t="s">
        <v>3428</v>
      </c>
      <c r="F83" s="3168" t="s">
        <v>3429</v>
      </c>
      <c r="G83" s="3170">
        <v>5</v>
      </c>
      <c r="H83" s="3168" t="s">
        <v>3672</v>
      </c>
      <c r="I83" s="3168" t="s">
        <v>3431</v>
      </c>
      <c r="J83" s="3170">
        <v>76.430000000000007</v>
      </c>
      <c r="K83" s="3168" t="s">
        <v>2810</v>
      </c>
      <c r="L83">
        <f ca="1">典型户型修正!S106</f>
        <v>72.975399999999993</v>
      </c>
      <c r="M83">
        <f ca="1">典型户型修正!T106</f>
        <v>3.8224999999999998</v>
      </c>
      <c r="N83">
        <f ca="1">典型户型修正!U106</f>
        <v>3.6499999999999998E-2</v>
      </c>
      <c r="O83">
        <f ca="1">典型户型修正!V106</f>
        <v>3.4750000000000001</v>
      </c>
      <c r="P83">
        <f ca="1">典型户型修正!W106</f>
        <v>7.3339999999999996</v>
      </c>
      <c r="Q83">
        <f ca="1">典型户型修正!X106</f>
        <v>65.64139999999999</v>
      </c>
    </row>
    <row r="84" spans="1:17" ht="28.8">
      <c r="A84" s="3170">
        <v>83</v>
      </c>
      <c r="B84" s="3169" t="s">
        <v>3673</v>
      </c>
      <c r="C84" s="3171"/>
      <c r="D84" s="3169" t="s">
        <v>3674</v>
      </c>
      <c r="E84" s="3168" t="s">
        <v>3428</v>
      </c>
      <c r="F84" s="3168" t="s">
        <v>3429</v>
      </c>
      <c r="G84" s="3170">
        <v>5</v>
      </c>
      <c r="H84" s="3168" t="s">
        <v>3675</v>
      </c>
      <c r="I84" s="3168" t="s">
        <v>3431</v>
      </c>
      <c r="J84" s="3170">
        <v>73</v>
      </c>
      <c r="K84" s="3168" t="s">
        <v>2810</v>
      </c>
      <c r="L84">
        <f ca="1">典型户型修正!S107</f>
        <v>69.700400000000002</v>
      </c>
      <c r="M84">
        <f ca="1">典型户型修正!T107</f>
        <v>3.6509999999999998</v>
      </c>
      <c r="N84">
        <f ca="1">典型户型修正!U107</f>
        <v>3.49E-2</v>
      </c>
      <c r="O84">
        <f ca="1">典型户型修正!V107</f>
        <v>3.3191000000000002</v>
      </c>
      <c r="P84">
        <f ca="1">典型户型修正!W107</f>
        <v>7.0049999999999999</v>
      </c>
      <c r="Q84">
        <f ca="1">典型户型修正!X107</f>
        <v>62.695399999999999</v>
      </c>
    </row>
    <row r="85" spans="1:17" ht="28.8">
      <c r="A85" s="3170">
        <v>84</v>
      </c>
      <c r="B85" s="3169" t="s">
        <v>3676</v>
      </c>
      <c r="C85" s="3171"/>
      <c r="D85" s="3169" t="s">
        <v>3677</v>
      </c>
      <c r="E85" s="3168" t="s">
        <v>3428</v>
      </c>
      <c r="F85" s="3168" t="s">
        <v>3429</v>
      </c>
      <c r="G85" s="3170">
        <v>5</v>
      </c>
      <c r="H85" s="3168" t="s">
        <v>3678</v>
      </c>
      <c r="I85" s="3168" t="s">
        <v>3431</v>
      </c>
      <c r="J85" s="3170">
        <v>78.45</v>
      </c>
      <c r="K85" s="3168" t="s">
        <v>2810</v>
      </c>
      <c r="L85">
        <f ca="1">典型户型修正!S108</f>
        <v>74.9041</v>
      </c>
      <c r="M85">
        <f ca="1">典型户型修正!T108</f>
        <v>3.9235000000000002</v>
      </c>
      <c r="N85">
        <f ca="1">典型户型修正!U108</f>
        <v>3.7499999999999999E-2</v>
      </c>
      <c r="O85">
        <f ca="1">典型户型修正!V108</f>
        <v>3.5669</v>
      </c>
      <c r="P85">
        <f ca="1">典型户型修正!W108</f>
        <v>7.5279000000000007</v>
      </c>
      <c r="Q85">
        <f ca="1">典型户型修正!X108</f>
        <v>67.376199999999997</v>
      </c>
    </row>
    <row r="86" spans="1:17" ht="28.8">
      <c r="A86" s="3170">
        <v>85</v>
      </c>
      <c r="B86" s="3169" t="s">
        <v>3681</v>
      </c>
      <c r="C86" s="3171"/>
      <c r="D86" s="3169" t="s">
        <v>3679</v>
      </c>
      <c r="E86" s="3168" t="s">
        <v>3428</v>
      </c>
      <c r="F86" s="3168" t="s">
        <v>3429</v>
      </c>
      <c r="G86" s="3170">
        <v>5</v>
      </c>
      <c r="H86" s="3168" t="s">
        <v>3680</v>
      </c>
      <c r="I86" s="3168" t="s">
        <v>3431</v>
      </c>
      <c r="J86" s="3170">
        <v>75.959999999999994</v>
      </c>
      <c r="K86" s="3168" t="s">
        <v>2810</v>
      </c>
      <c r="L86">
        <f ca="1">典型户型修正!S109</f>
        <v>72.526600000000002</v>
      </c>
      <c r="M86">
        <f ca="1">典型户型修正!T109</f>
        <v>3.7989999999999999</v>
      </c>
      <c r="N86">
        <f ca="1">典型户型修正!U109</f>
        <v>3.6299999999999999E-2</v>
      </c>
      <c r="O86">
        <f ca="1">典型户型修正!V109</f>
        <v>3.4535999999999998</v>
      </c>
      <c r="P86">
        <f ca="1">典型户型修正!W109</f>
        <v>7.2888999999999999</v>
      </c>
      <c r="Q86">
        <f ca="1">典型户型修正!X109</f>
        <v>65.237700000000004</v>
      </c>
    </row>
    <row r="87" spans="1:17" ht="28.8">
      <c r="A87" s="3170">
        <v>86</v>
      </c>
      <c r="B87" s="3169" t="s">
        <v>3682</v>
      </c>
      <c r="C87" s="3171"/>
      <c r="D87" s="3169" t="s">
        <v>3683</v>
      </c>
      <c r="E87" s="3168" t="s">
        <v>3428</v>
      </c>
      <c r="F87" s="3168" t="s">
        <v>3429</v>
      </c>
      <c r="G87" s="3170">
        <v>5</v>
      </c>
      <c r="H87" s="3168" t="s">
        <v>3684</v>
      </c>
      <c r="I87" s="3168" t="s">
        <v>3431</v>
      </c>
      <c r="J87" s="3170">
        <v>75.959999999999994</v>
      </c>
      <c r="K87" s="3168" t="s">
        <v>2810</v>
      </c>
      <c r="L87">
        <f ca="1">典型户型修正!S110</f>
        <v>72.526600000000002</v>
      </c>
      <c r="M87">
        <f ca="1">典型户型修正!T110</f>
        <v>3.7989999999999999</v>
      </c>
      <c r="N87">
        <f ca="1">典型户型修正!U110</f>
        <v>3.6299999999999999E-2</v>
      </c>
      <c r="O87">
        <f ca="1">典型户型修正!V110</f>
        <v>3.4535999999999998</v>
      </c>
      <c r="P87">
        <f ca="1">典型户型修正!W110</f>
        <v>7.2888999999999999</v>
      </c>
      <c r="Q87">
        <f ca="1">典型户型修正!X110</f>
        <v>65.237700000000004</v>
      </c>
    </row>
    <row r="88" spans="1:17" ht="28.8">
      <c r="A88" s="3170">
        <v>87</v>
      </c>
      <c r="B88" s="3169" t="s">
        <v>3685</v>
      </c>
      <c r="C88" s="3171"/>
      <c r="D88" s="3169" t="s">
        <v>3686</v>
      </c>
      <c r="E88" s="3168" t="s">
        <v>3428</v>
      </c>
      <c r="F88" s="3168" t="s">
        <v>3429</v>
      </c>
      <c r="G88" s="3170">
        <v>5</v>
      </c>
      <c r="H88" s="3168" t="s">
        <v>3687</v>
      </c>
      <c r="I88" s="3168" t="s">
        <v>3431</v>
      </c>
      <c r="J88" s="3170">
        <v>78.45</v>
      </c>
      <c r="K88" s="3168" t="s">
        <v>2810</v>
      </c>
      <c r="L88">
        <f ca="1">典型户型修正!S111</f>
        <v>74.9041</v>
      </c>
      <c r="M88">
        <f ca="1">典型户型修正!T111</f>
        <v>3.9235000000000002</v>
      </c>
      <c r="N88">
        <f ca="1">典型户型修正!U111</f>
        <v>3.7499999999999999E-2</v>
      </c>
      <c r="O88">
        <f ca="1">典型户型修正!V111</f>
        <v>3.5669</v>
      </c>
      <c r="P88">
        <f ca="1">典型户型修正!W111</f>
        <v>7.5279000000000007</v>
      </c>
      <c r="Q88">
        <f ca="1">典型户型修正!X111</f>
        <v>67.376199999999997</v>
      </c>
    </row>
    <row r="89" spans="1:17" ht="28.8">
      <c r="A89" s="3170">
        <v>88</v>
      </c>
      <c r="B89" s="3169" t="s">
        <v>3688</v>
      </c>
      <c r="C89" s="3171"/>
      <c r="D89" s="3169" t="s">
        <v>3689</v>
      </c>
      <c r="E89" s="3168" t="s">
        <v>3428</v>
      </c>
      <c r="F89" s="3168" t="s">
        <v>3429</v>
      </c>
      <c r="G89" s="3170">
        <v>5</v>
      </c>
      <c r="H89" s="3168" t="s">
        <v>3690</v>
      </c>
      <c r="I89" s="3168" t="s">
        <v>3431</v>
      </c>
      <c r="J89" s="3170">
        <v>73.47</v>
      </c>
      <c r="K89" s="3168" t="s">
        <v>2810</v>
      </c>
      <c r="L89">
        <f ca="1">典型户型修正!S112</f>
        <v>70.149199999999993</v>
      </c>
      <c r="M89">
        <f ca="1">典型户型修正!T112</f>
        <v>3.6745000000000001</v>
      </c>
      <c r="N89">
        <f ca="1">典型户型修正!U112</f>
        <v>3.5099999999999999E-2</v>
      </c>
      <c r="O89">
        <f ca="1">典型户型修正!V112</f>
        <v>3.3403999999999998</v>
      </c>
      <c r="P89">
        <f ca="1">典型户型修正!W112</f>
        <v>7.05</v>
      </c>
      <c r="Q89">
        <f ca="1">典型户型修正!X112</f>
        <v>63.099199999999996</v>
      </c>
    </row>
    <row r="90" spans="1:17" ht="28.8">
      <c r="A90" s="3170">
        <v>89</v>
      </c>
      <c r="B90" s="3169" t="s">
        <v>3691</v>
      </c>
      <c r="C90" s="3171"/>
      <c r="D90" s="3169" t="s">
        <v>3692</v>
      </c>
      <c r="E90" s="3168" t="s">
        <v>3428</v>
      </c>
      <c r="F90" s="3168" t="s">
        <v>3429</v>
      </c>
      <c r="G90" s="3170">
        <v>5</v>
      </c>
      <c r="H90" s="3168" t="s">
        <v>3693</v>
      </c>
      <c r="I90" s="3168" t="s">
        <v>3431</v>
      </c>
      <c r="J90" s="3170">
        <v>75.959999999999994</v>
      </c>
      <c r="K90" s="3168" t="s">
        <v>2810</v>
      </c>
      <c r="L90">
        <f ca="1">典型户型修正!S113</f>
        <v>72.526600000000002</v>
      </c>
      <c r="M90">
        <f ca="1">典型户型修正!T113</f>
        <v>3.7989999999999999</v>
      </c>
      <c r="N90">
        <f ca="1">典型户型修正!U113</f>
        <v>3.6299999999999999E-2</v>
      </c>
      <c r="O90">
        <f ca="1">典型户型修正!V113</f>
        <v>3.4535999999999998</v>
      </c>
      <c r="P90">
        <f ca="1">典型户型修正!W113</f>
        <v>7.2888999999999999</v>
      </c>
      <c r="Q90">
        <f ca="1">典型户型修正!X113</f>
        <v>65.237700000000004</v>
      </c>
    </row>
    <row r="91" spans="1:17" ht="28.8">
      <c r="A91" s="3170">
        <v>90</v>
      </c>
      <c r="B91" s="3169" t="s">
        <v>3694</v>
      </c>
      <c r="C91" s="3171"/>
      <c r="D91" s="3169" t="s">
        <v>3695</v>
      </c>
      <c r="E91" s="3168" t="s">
        <v>3428</v>
      </c>
      <c r="F91" s="3168" t="s">
        <v>3429</v>
      </c>
      <c r="G91" s="3170">
        <v>5</v>
      </c>
      <c r="H91" s="3168" t="s">
        <v>3696</v>
      </c>
      <c r="I91" s="3168" t="s">
        <v>3431</v>
      </c>
      <c r="J91" s="3170">
        <v>83.52</v>
      </c>
      <c r="K91" s="3168" t="s">
        <v>2810</v>
      </c>
      <c r="L91">
        <f ca="1">典型户型修正!S114</f>
        <v>79.744900000000001</v>
      </c>
      <c r="M91">
        <f ca="1">典型户型修正!T114</f>
        <v>4.1771000000000003</v>
      </c>
      <c r="N91">
        <f ca="1">典型户型修正!U114</f>
        <v>3.9899999999999998E-2</v>
      </c>
      <c r="O91">
        <f ca="1">典型户型修正!V114</f>
        <v>3.7974000000000001</v>
      </c>
      <c r="P91">
        <f ca="1">典型户型修正!W114</f>
        <v>8.0144000000000002</v>
      </c>
      <c r="Q91">
        <f ca="1">典型户型修正!X114</f>
        <v>71.730500000000006</v>
      </c>
    </row>
    <row r="92" spans="1:17" ht="28.8">
      <c r="A92" s="3170">
        <v>91</v>
      </c>
      <c r="B92" s="3169" t="s">
        <v>3699</v>
      </c>
      <c r="C92" s="3171"/>
      <c r="D92" s="3169" t="s">
        <v>3698</v>
      </c>
      <c r="E92" s="3168" t="s">
        <v>3428</v>
      </c>
      <c r="F92" s="3168" t="s">
        <v>3429</v>
      </c>
      <c r="G92" s="3170">
        <v>5</v>
      </c>
      <c r="H92" s="3168" t="s">
        <v>3697</v>
      </c>
      <c r="I92" s="3168" t="s">
        <v>3431</v>
      </c>
      <c r="J92" s="3170">
        <v>89.88</v>
      </c>
      <c r="K92" s="3168" t="s">
        <v>2810</v>
      </c>
      <c r="L92">
        <f ca="1">典型户型修正!S115</f>
        <v>85.817400000000006</v>
      </c>
      <c r="M92">
        <f ca="1">典型户型修正!T115</f>
        <v>4.4951999999999996</v>
      </c>
      <c r="N92">
        <f ca="1">典型户型修正!U115</f>
        <v>4.2900000000000001E-2</v>
      </c>
      <c r="O92">
        <f ca="1">典型户型修正!V115</f>
        <v>4.0865</v>
      </c>
      <c r="P92">
        <f ca="1">典型户型修正!W115</f>
        <v>8.6246000000000009</v>
      </c>
      <c r="Q92">
        <f ca="1">典型户型修正!X115</f>
        <v>77.192800000000005</v>
      </c>
    </row>
    <row r="93" spans="1:17" ht="28.8">
      <c r="A93" s="3170">
        <v>92</v>
      </c>
      <c r="B93" s="3169" t="s">
        <v>3700</v>
      </c>
      <c r="C93" s="3171"/>
      <c r="D93" s="3169" t="s">
        <v>3701</v>
      </c>
      <c r="E93" s="3168" t="s">
        <v>3428</v>
      </c>
      <c r="F93" s="3168" t="s">
        <v>3429</v>
      </c>
      <c r="G93" s="3170">
        <v>5</v>
      </c>
      <c r="H93" s="3168" t="s">
        <v>3702</v>
      </c>
      <c r="I93" s="3168" t="s">
        <v>3431</v>
      </c>
      <c r="J93" s="3170">
        <v>174.94</v>
      </c>
      <c r="K93" s="3168" t="s">
        <v>2810</v>
      </c>
      <c r="L93">
        <f ca="1">典型户型修正!S116</f>
        <v>165.35329999999999</v>
      </c>
      <c r="M93">
        <f ca="1">典型户型修正!T116</f>
        <v>8.6614000000000004</v>
      </c>
      <c r="N93">
        <f ca="1">典型户型修正!U116</f>
        <v>8.2699999999999996E-2</v>
      </c>
      <c r="O93">
        <f ca="1">典型户型修正!V116</f>
        <v>7.8739999999999997</v>
      </c>
      <c r="P93">
        <f ca="1">典型户型修正!W116</f>
        <v>16.618099999999998</v>
      </c>
      <c r="Q93">
        <f ca="1">典型户型修正!X116</f>
        <v>148.73519999999999</v>
      </c>
    </row>
    <row r="94" spans="1:17" ht="28.8">
      <c r="A94" s="3170">
        <v>93</v>
      </c>
      <c r="B94" s="3169" t="s">
        <v>3703</v>
      </c>
      <c r="C94" s="3171"/>
      <c r="D94" s="3169" t="s">
        <v>3704</v>
      </c>
      <c r="E94" s="3168" t="s">
        <v>3428</v>
      </c>
      <c r="F94" s="3168" t="s">
        <v>3429</v>
      </c>
      <c r="G94" s="3170">
        <v>5</v>
      </c>
      <c r="H94" s="3168" t="s">
        <v>3705</v>
      </c>
      <c r="I94" s="3168" t="s">
        <v>3431</v>
      </c>
      <c r="J94" s="3170">
        <v>71.61</v>
      </c>
      <c r="K94" s="3168" t="s">
        <v>2810</v>
      </c>
      <c r="L94">
        <f ca="1">典型户型修正!S117</f>
        <v>68.373199999999997</v>
      </c>
      <c r="M94">
        <f ca="1">典型户型修正!T117</f>
        <v>3.5815000000000001</v>
      </c>
      <c r="N94">
        <f ca="1">典型户型修正!U117</f>
        <v>3.4200000000000001E-2</v>
      </c>
      <c r="O94">
        <f ca="1">典型户型修正!V117</f>
        <v>3.2559</v>
      </c>
      <c r="P94">
        <f ca="1">典型户型修正!W117</f>
        <v>6.8715999999999999</v>
      </c>
      <c r="Q94">
        <f ca="1">典型户型修正!X117</f>
        <v>61.501599999999996</v>
      </c>
    </row>
    <row r="95" spans="1:17" ht="28.8">
      <c r="A95" s="3170">
        <v>94</v>
      </c>
      <c r="B95" s="3169" t="s">
        <v>3706</v>
      </c>
      <c r="C95" s="3171"/>
      <c r="D95" s="3169" t="s">
        <v>3707</v>
      </c>
      <c r="E95" s="3168" t="s">
        <v>3428</v>
      </c>
      <c r="F95" s="3168" t="s">
        <v>3429</v>
      </c>
      <c r="G95" s="3170">
        <v>5</v>
      </c>
      <c r="H95" s="3168" t="s">
        <v>3708</v>
      </c>
      <c r="I95" s="3168" t="s">
        <v>3431</v>
      </c>
      <c r="J95" s="3170">
        <v>63.07</v>
      </c>
      <c r="K95" s="3168" t="s">
        <v>2810</v>
      </c>
      <c r="L95">
        <f ca="1">典型户型修正!S118</f>
        <v>60.219200000000001</v>
      </c>
      <c r="M95">
        <f ca="1">典型户型修正!T118</f>
        <v>3.1543000000000001</v>
      </c>
      <c r="N95">
        <f ca="1">典型户型修正!U118</f>
        <v>3.0099999999999998E-2</v>
      </c>
      <c r="O95">
        <f ca="1">典型户型修正!V118</f>
        <v>2.8675999999999999</v>
      </c>
      <c r="P95">
        <f ca="1">典型户型修正!W118</f>
        <v>6.0519999999999996</v>
      </c>
      <c r="Q95">
        <f ca="1">典型户型修正!X118</f>
        <v>54.167200000000001</v>
      </c>
    </row>
    <row r="96" spans="1:17" ht="28.8">
      <c r="A96" s="3170">
        <v>95</v>
      </c>
      <c r="B96" s="3169" t="s">
        <v>3711</v>
      </c>
      <c r="C96" s="3171"/>
      <c r="D96" s="3169" t="s">
        <v>3710</v>
      </c>
      <c r="E96" s="3168" t="s">
        <v>3428</v>
      </c>
      <c r="F96" s="3168" t="s">
        <v>3429</v>
      </c>
      <c r="G96" s="3170">
        <v>5</v>
      </c>
      <c r="H96" s="3168" t="s">
        <v>3709</v>
      </c>
      <c r="I96" s="3168" t="s">
        <v>3431</v>
      </c>
      <c r="J96" s="3170">
        <v>54.75</v>
      </c>
      <c r="K96" s="3168" t="s">
        <v>2810</v>
      </c>
      <c r="L96">
        <f ca="1">典型户型修正!S119</f>
        <v>52.275300000000001</v>
      </c>
      <c r="M96">
        <f ca="1">典型户型修正!T119</f>
        <v>2.7382</v>
      </c>
      <c r="N96">
        <f ca="1">典型户型修正!U119</f>
        <v>2.6100000000000002E-2</v>
      </c>
      <c r="O96">
        <f ca="1">典型户型修正!V119</f>
        <v>2.4893000000000001</v>
      </c>
      <c r="P96">
        <f ca="1">典型户型修正!W119</f>
        <v>5.2536000000000005</v>
      </c>
      <c r="Q96">
        <f ca="1">典型户型修正!X119</f>
        <v>47.021700000000003</v>
      </c>
    </row>
    <row r="97" spans="1:17" ht="28.8">
      <c r="A97" s="3170">
        <v>96</v>
      </c>
      <c r="B97" s="3169" t="s">
        <v>3714</v>
      </c>
      <c r="C97" s="3171"/>
      <c r="D97" s="3169" t="s">
        <v>3712</v>
      </c>
      <c r="E97" s="3168" t="s">
        <v>3428</v>
      </c>
      <c r="F97" s="3168" t="s">
        <v>3429</v>
      </c>
      <c r="G97" s="3170">
        <v>5</v>
      </c>
      <c r="H97" s="3168" t="s">
        <v>3713</v>
      </c>
      <c r="I97" s="3168" t="s">
        <v>3431</v>
      </c>
      <c r="J97" s="3170">
        <v>54.75</v>
      </c>
      <c r="K97" s="3168" t="s">
        <v>2810</v>
      </c>
      <c r="L97">
        <f ca="1">典型户型修正!S120</f>
        <v>52.275300000000001</v>
      </c>
      <c r="M97">
        <f ca="1">典型户型修正!T120</f>
        <v>2.7382</v>
      </c>
      <c r="N97">
        <f ca="1">典型户型修正!U120</f>
        <v>2.6100000000000002E-2</v>
      </c>
      <c r="O97">
        <f ca="1">典型户型修正!V120</f>
        <v>2.4893000000000001</v>
      </c>
      <c r="P97">
        <f ca="1">典型户型修正!W120</f>
        <v>5.2536000000000005</v>
      </c>
      <c r="Q97">
        <f ca="1">典型户型修正!X120</f>
        <v>47.021700000000003</v>
      </c>
    </row>
    <row r="98" spans="1:17" ht="28.8">
      <c r="A98" s="3170">
        <v>97</v>
      </c>
      <c r="B98" s="3169" t="s">
        <v>3715</v>
      </c>
      <c r="C98" s="3171"/>
      <c r="D98" s="3169" t="s">
        <v>3716</v>
      </c>
      <c r="E98" s="3168" t="s">
        <v>3428</v>
      </c>
      <c r="F98" s="3168" t="s">
        <v>3429</v>
      </c>
      <c r="G98" s="3170">
        <v>5</v>
      </c>
      <c r="H98" s="3168" t="s">
        <v>3717</v>
      </c>
      <c r="I98" s="3168" t="s">
        <v>3431</v>
      </c>
      <c r="J98" s="3170">
        <v>54.75</v>
      </c>
      <c r="K98" s="3168" t="s">
        <v>2810</v>
      </c>
      <c r="L98">
        <f ca="1">典型户型修正!S121</f>
        <v>52.275300000000001</v>
      </c>
      <c r="M98">
        <f ca="1">典型户型修正!T121</f>
        <v>2.7382</v>
      </c>
      <c r="N98">
        <f ca="1">典型户型修正!U121</f>
        <v>2.6100000000000002E-2</v>
      </c>
      <c r="O98">
        <f ca="1">典型户型修正!V121</f>
        <v>2.4893000000000001</v>
      </c>
      <c r="P98">
        <f ca="1">典型户型修正!W121</f>
        <v>5.2536000000000005</v>
      </c>
      <c r="Q98">
        <f ca="1">典型户型修正!X121</f>
        <v>47.021700000000003</v>
      </c>
    </row>
    <row r="99" spans="1:17" ht="28.8">
      <c r="A99" s="3170">
        <v>98</v>
      </c>
      <c r="B99" s="3169" t="s">
        <v>3718</v>
      </c>
      <c r="C99" s="3171"/>
      <c r="D99" s="3169" t="s">
        <v>3719</v>
      </c>
      <c r="E99" s="3168" t="s">
        <v>3428</v>
      </c>
      <c r="F99" s="3168" t="s">
        <v>3429</v>
      </c>
      <c r="G99" s="3170">
        <v>5</v>
      </c>
      <c r="H99" s="3168" t="s">
        <v>3720</v>
      </c>
      <c r="I99" s="3168" t="s">
        <v>3431</v>
      </c>
      <c r="J99" s="3170">
        <v>54.75</v>
      </c>
      <c r="K99" s="3168" t="s">
        <v>2810</v>
      </c>
      <c r="L99">
        <f ca="1">典型户型修正!S122</f>
        <v>52.275300000000001</v>
      </c>
      <c r="M99">
        <f ca="1">典型户型修正!T122</f>
        <v>2.7382</v>
      </c>
      <c r="N99">
        <f ca="1">典型户型修正!U122</f>
        <v>2.6100000000000002E-2</v>
      </c>
      <c r="O99">
        <f ca="1">典型户型修正!V122</f>
        <v>2.4893000000000001</v>
      </c>
      <c r="P99">
        <f ca="1">典型户型修正!W122</f>
        <v>5.2536000000000005</v>
      </c>
      <c r="Q99">
        <f ca="1">典型户型修正!X122</f>
        <v>47.021700000000003</v>
      </c>
    </row>
    <row r="100" spans="1:17" ht="28.8">
      <c r="A100" s="3170">
        <v>99</v>
      </c>
      <c r="B100" s="3169" t="s">
        <v>3723</v>
      </c>
      <c r="C100" s="3171"/>
      <c r="D100" s="3169" t="s">
        <v>3721</v>
      </c>
      <c r="E100" s="3168" t="s">
        <v>3428</v>
      </c>
      <c r="F100" s="3168" t="s">
        <v>3429</v>
      </c>
      <c r="G100" s="3170">
        <v>5</v>
      </c>
      <c r="H100" s="3168" t="s">
        <v>3722</v>
      </c>
      <c r="I100" s="3168" t="s">
        <v>3431</v>
      </c>
      <c r="J100" s="3170">
        <v>54.75</v>
      </c>
      <c r="K100" s="3168" t="s">
        <v>2810</v>
      </c>
      <c r="L100">
        <f ca="1">典型户型修正!S123</f>
        <v>52.275300000000001</v>
      </c>
      <c r="M100">
        <f ca="1">典型户型修正!T123</f>
        <v>2.7382</v>
      </c>
      <c r="N100">
        <f ca="1">典型户型修正!U123</f>
        <v>2.6100000000000002E-2</v>
      </c>
      <c r="O100">
        <f ca="1">典型户型修正!V123</f>
        <v>2.4893000000000001</v>
      </c>
      <c r="P100">
        <f ca="1">典型户型修正!W123</f>
        <v>5.2536000000000005</v>
      </c>
      <c r="Q100">
        <f ca="1">典型户型修正!X123</f>
        <v>47.021700000000003</v>
      </c>
    </row>
    <row r="101" spans="1:17" ht="28.8">
      <c r="A101" s="3170">
        <v>100</v>
      </c>
      <c r="B101" s="3169" t="s">
        <v>3724</v>
      </c>
      <c r="C101" s="3171"/>
      <c r="D101" s="3169" t="s">
        <v>3725</v>
      </c>
      <c r="E101" s="3168" t="s">
        <v>3428</v>
      </c>
      <c r="F101" s="3168" t="s">
        <v>3429</v>
      </c>
      <c r="G101" s="3170">
        <v>5</v>
      </c>
      <c r="H101" s="3168" t="s">
        <v>3726</v>
      </c>
      <c r="I101" s="3168" t="s">
        <v>3431</v>
      </c>
      <c r="J101" s="3170">
        <v>54.75</v>
      </c>
      <c r="K101" s="3168" t="s">
        <v>2810</v>
      </c>
      <c r="L101">
        <f ca="1">典型户型修正!S124</f>
        <v>52.275300000000001</v>
      </c>
      <c r="M101">
        <f ca="1">典型户型修正!T124</f>
        <v>2.7382</v>
      </c>
      <c r="N101">
        <f ca="1">典型户型修正!U124</f>
        <v>2.6100000000000002E-2</v>
      </c>
      <c r="O101">
        <f ca="1">典型户型修正!V124</f>
        <v>2.4893000000000001</v>
      </c>
      <c r="P101">
        <f ca="1">典型户型修正!W124</f>
        <v>5.2536000000000005</v>
      </c>
      <c r="Q101">
        <f ca="1">典型户型修正!X124</f>
        <v>47.021700000000003</v>
      </c>
    </row>
    <row r="102" spans="1:17" ht="28.8">
      <c r="A102" s="3170">
        <v>101</v>
      </c>
      <c r="B102" s="3169" t="s">
        <v>3727</v>
      </c>
      <c r="C102" s="3171"/>
      <c r="D102" s="3169" t="s">
        <v>3728</v>
      </c>
      <c r="E102" s="3168" t="s">
        <v>3428</v>
      </c>
      <c r="F102" s="3168" t="s">
        <v>3429</v>
      </c>
      <c r="G102" s="3170">
        <v>5</v>
      </c>
      <c r="H102" s="3168" t="s">
        <v>3729</v>
      </c>
      <c r="I102" s="3168" t="s">
        <v>3431</v>
      </c>
      <c r="J102" s="3170">
        <v>54.75</v>
      </c>
      <c r="K102" s="3168" t="s">
        <v>2810</v>
      </c>
      <c r="L102">
        <f ca="1">典型户型修正!S125</f>
        <v>52.275300000000001</v>
      </c>
      <c r="M102">
        <f ca="1">典型户型修正!T125</f>
        <v>2.7382</v>
      </c>
      <c r="N102">
        <f ca="1">典型户型修正!U125</f>
        <v>2.6100000000000002E-2</v>
      </c>
      <c r="O102">
        <f ca="1">典型户型修正!V125</f>
        <v>2.4893000000000001</v>
      </c>
      <c r="P102">
        <f ca="1">典型户型修正!W125</f>
        <v>5.2536000000000005</v>
      </c>
      <c r="Q102">
        <f ca="1">典型户型修正!X125</f>
        <v>47.021700000000003</v>
      </c>
    </row>
    <row r="103" spans="1:17" ht="28.8">
      <c r="A103" s="3170">
        <v>102</v>
      </c>
      <c r="B103" s="3169" t="s">
        <v>3730</v>
      </c>
      <c r="C103" s="3171"/>
      <c r="D103" s="3169" t="s">
        <v>3731</v>
      </c>
      <c r="E103" s="3168" t="s">
        <v>3428</v>
      </c>
      <c r="F103" s="3168" t="s">
        <v>3429</v>
      </c>
      <c r="G103" s="3170">
        <v>5</v>
      </c>
      <c r="H103" s="3168" t="s">
        <v>3732</v>
      </c>
      <c r="I103" s="3168" t="s">
        <v>3431</v>
      </c>
      <c r="J103" s="3170">
        <v>54.75</v>
      </c>
      <c r="K103" s="3168" t="s">
        <v>2810</v>
      </c>
      <c r="L103">
        <f ca="1">典型户型修正!S126</f>
        <v>52.275300000000001</v>
      </c>
      <c r="M103">
        <f ca="1">典型户型修正!T126</f>
        <v>2.7382</v>
      </c>
      <c r="N103">
        <f ca="1">典型户型修正!U126</f>
        <v>2.6100000000000002E-2</v>
      </c>
      <c r="O103">
        <f ca="1">典型户型修正!V126</f>
        <v>2.4893000000000001</v>
      </c>
      <c r="P103">
        <f ca="1">典型户型修正!W126</f>
        <v>5.2536000000000005</v>
      </c>
      <c r="Q103">
        <f ca="1">典型户型修正!X126</f>
        <v>47.021700000000003</v>
      </c>
    </row>
    <row r="104" spans="1:17" ht="28.8">
      <c r="A104" s="3170">
        <v>103</v>
      </c>
      <c r="B104" s="3169" t="s">
        <v>3733</v>
      </c>
      <c r="C104" s="3171"/>
      <c r="D104" s="3169" t="s">
        <v>3734</v>
      </c>
      <c r="E104" s="3168" t="s">
        <v>3428</v>
      </c>
      <c r="F104" s="3168" t="s">
        <v>3429</v>
      </c>
      <c r="G104" s="3170">
        <v>5</v>
      </c>
      <c r="H104" s="3168" t="s">
        <v>3735</v>
      </c>
      <c r="I104" s="3168" t="s">
        <v>3431</v>
      </c>
      <c r="J104" s="3170">
        <v>62.39</v>
      </c>
      <c r="K104" s="3168" t="s">
        <v>2810</v>
      </c>
      <c r="L104">
        <f ca="1">典型户型修正!S127</f>
        <v>59.57</v>
      </c>
      <c r="M104">
        <f ca="1">典型户型修正!T127</f>
        <v>3.1202999999999999</v>
      </c>
      <c r="N104">
        <f ca="1">典型户型修正!U127</f>
        <v>2.98E-2</v>
      </c>
      <c r="O104">
        <f ca="1">典型户型修正!V127</f>
        <v>2.8367</v>
      </c>
      <c r="P104">
        <f ca="1">典型户型修正!W127</f>
        <v>5.9867999999999997</v>
      </c>
      <c r="Q104">
        <f ca="1">典型户型修正!X127</f>
        <v>53.583199999999998</v>
      </c>
    </row>
    <row r="105" spans="1:17" ht="28.8">
      <c r="A105" s="3170">
        <v>104</v>
      </c>
      <c r="B105" s="3169" t="s">
        <v>3736</v>
      </c>
      <c r="C105" s="3171"/>
      <c r="D105" s="3169" t="s">
        <v>3737</v>
      </c>
      <c r="E105" s="3168" t="s">
        <v>3428</v>
      </c>
      <c r="F105" s="3168" t="s">
        <v>3429</v>
      </c>
      <c r="G105" s="3170">
        <v>5</v>
      </c>
      <c r="H105" s="3168" t="s">
        <v>3738</v>
      </c>
      <c r="I105" s="3168" t="s">
        <v>3431</v>
      </c>
      <c r="J105" s="3170">
        <v>74.14</v>
      </c>
      <c r="K105" s="3168" t="s">
        <v>2810</v>
      </c>
      <c r="L105">
        <f ca="1">典型户型修正!S128</f>
        <v>70.788899999999998</v>
      </c>
      <c r="M105">
        <f ca="1">典型户型修正!T128</f>
        <v>3.7080000000000002</v>
      </c>
      <c r="N105">
        <f ca="1">典型户型修正!U128</f>
        <v>3.5400000000000001E-2</v>
      </c>
      <c r="O105">
        <f ca="1">典型户型修正!V128</f>
        <v>3.3708999999999998</v>
      </c>
      <c r="P105">
        <f ca="1">典型户型修正!W128</f>
        <v>7.1143000000000001</v>
      </c>
      <c r="Q105">
        <f ca="1">典型户型修正!X128</f>
        <v>63.674599999999998</v>
      </c>
    </row>
    <row r="106" spans="1:17" ht="28.8">
      <c r="A106" s="3170">
        <v>105</v>
      </c>
      <c r="B106" s="3169" t="s">
        <v>3739</v>
      </c>
      <c r="C106" s="3171"/>
      <c r="D106" s="3169" t="s">
        <v>3740</v>
      </c>
      <c r="E106" s="3168" t="s">
        <v>3428</v>
      </c>
      <c r="F106" s="3168" t="s">
        <v>3429</v>
      </c>
      <c r="G106" s="3170">
        <v>6</v>
      </c>
      <c r="H106" s="3168" t="s">
        <v>3741</v>
      </c>
      <c r="I106" s="3168" t="s">
        <v>3431</v>
      </c>
      <c r="J106" s="3170">
        <v>182.4</v>
      </c>
      <c r="K106" s="3168" t="s">
        <v>2810</v>
      </c>
      <c r="L106">
        <f ca="1">典型户型修正!S129</f>
        <v>174.119</v>
      </c>
      <c r="M106">
        <f ca="1">典型户型修正!T129</f>
        <v>9.1204999999999998</v>
      </c>
      <c r="N106">
        <f ca="1">典型户型修正!U129</f>
        <v>8.7099999999999997E-2</v>
      </c>
      <c r="O106">
        <f ca="1">典型户型修正!V129</f>
        <v>8.2913999999999994</v>
      </c>
      <c r="P106">
        <f ca="1">典型户型修正!W129</f>
        <v>17.498999999999999</v>
      </c>
      <c r="Q106">
        <f ca="1">典型户型修正!X129</f>
        <v>156.62</v>
      </c>
    </row>
    <row r="107" spans="1:17" ht="28.8">
      <c r="A107" s="3170">
        <v>106</v>
      </c>
      <c r="B107" s="3169" t="s">
        <v>3744</v>
      </c>
      <c r="C107" s="3171"/>
      <c r="D107" s="3169" t="s">
        <v>3742</v>
      </c>
      <c r="E107" s="3168" t="s">
        <v>3428</v>
      </c>
      <c r="F107" s="3168" t="s">
        <v>3429</v>
      </c>
      <c r="G107" s="3170">
        <v>6</v>
      </c>
      <c r="H107" s="3168" t="s">
        <v>3743</v>
      </c>
      <c r="I107" s="3168" t="s">
        <v>3431</v>
      </c>
      <c r="J107" s="3170">
        <v>75.75</v>
      </c>
      <c r="K107" s="3168" t="s">
        <v>2810</v>
      </c>
      <c r="L107">
        <f ca="1">典型户型修正!S130</f>
        <v>73.038200000000003</v>
      </c>
      <c r="M107">
        <f ca="1">典型户型修正!T130</f>
        <v>3.8258000000000001</v>
      </c>
      <c r="N107">
        <f ca="1">典型户型修正!U130</f>
        <v>3.6499999999999998E-2</v>
      </c>
      <c r="O107">
        <f ca="1">典型户型修正!V130</f>
        <v>3.4780000000000002</v>
      </c>
      <c r="P107">
        <f ca="1">典型户型修正!W130</f>
        <v>7.3403000000000009</v>
      </c>
      <c r="Q107">
        <f ca="1">典型户型修正!X130</f>
        <v>65.697900000000004</v>
      </c>
    </row>
    <row r="108" spans="1:17" ht="28.8">
      <c r="A108" s="3170">
        <v>107</v>
      </c>
      <c r="B108" s="3169" t="s">
        <v>3745</v>
      </c>
      <c r="C108" s="3171"/>
      <c r="D108" s="3169" t="s">
        <v>3746</v>
      </c>
      <c r="E108" s="3168" t="s">
        <v>3428</v>
      </c>
      <c r="F108" s="3168" t="s">
        <v>3429</v>
      </c>
      <c r="G108" s="3170">
        <v>6</v>
      </c>
      <c r="H108" s="3168" t="s">
        <v>3747</v>
      </c>
      <c r="I108" s="3168" t="s">
        <v>3431</v>
      </c>
      <c r="J108" s="3170">
        <v>81.709999999999994</v>
      </c>
      <c r="K108" s="3168" t="s">
        <v>2810</v>
      </c>
      <c r="L108">
        <f ca="1">典型户型修正!S131</f>
        <v>78.784800000000004</v>
      </c>
      <c r="M108">
        <f ca="1">典型户型修正!T131</f>
        <v>4.1268000000000002</v>
      </c>
      <c r="N108">
        <f ca="1">典型户型修正!U131</f>
        <v>3.9399999999999998E-2</v>
      </c>
      <c r="O108">
        <f ca="1">典型户型修正!V131</f>
        <v>3.7517</v>
      </c>
      <c r="P108">
        <f ca="1">典型户型修正!W131</f>
        <v>7.9178999999999995</v>
      </c>
      <c r="Q108">
        <f ca="1">典型户型修正!X131</f>
        <v>70.866900000000001</v>
      </c>
    </row>
    <row r="109" spans="1:17" ht="28.8">
      <c r="A109" s="3170">
        <v>108</v>
      </c>
      <c r="B109" s="3169" t="s">
        <v>3750</v>
      </c>
      <c r="C109" s="3171"/>
      <c r="D109" s="3169" t="s">
        <v>3748</v>
      </c>
      <c r="E109" s="3168" t="s">
        <v>3428</v>
      </c>
      <c r="F109" s="3168" t="s">
        <v>3429</v>
      </c>
      <c r="G109" s="3170">
        <v>6</v>
      </c>
      <c r="H109" s="3168" t="s">
        <v>3749</v>
      </c>
      <c r="I109" s="3168" t="s">
        <v>3431</v>
      </c>
      <c r="J109" s="3170">
        <v>76.430000000000007</v>
      </c>
      <c r="K109" s="3168" t="s">
        <v>2810</v>
      </c>
      <c r="L109">
        <f ca="1">典型户型修正!S132</f>
        <v>73.693799999999996</v>
      </c>
      <c r="M109">
        <f ca="1">典型户型修正!T132</f>
        <v>3.8601999999999999</v>
      </c>
      <c r="N109">
        <f ca="1">典型户型修正!U132</f>
        <v>3.6799999999999999E-2</v>
      </c>
      <c r="O109">
        <f ca="1">典型户型修正!V132</f>
        <v>3.5091999999999999</v>
      </c>
      <c r="P109">
        <f ca="1">典型户型修正!W132</f>
        <v>7.4062000000000001</v>
      </c>
      <c r="Q109">
        <f ca="1">典型户型修正!X132</f>
        <v>66.287599999999998</v>
      </c>
    </row>
    <row r="110" spans="1:17" ht="28.8">
      <c r="A110" s="3170">
        <v>109</v>
      </c>
      <c r="B110" s="3202" t="s">
        <v>3996</v>
      </c>
      <c r="C110" s="3171"/>
      <c r="D110" s="3169" t="s">
        <v>3751</v>
      </c>
      <c r="E110" s="3168" t="s">
        <v>3428</v>
      </c>
      <c r="F110" s="3168" t="s">
        <v>3429</v>
      </c>
      <c r="G110" s="3170">
        <v>6</v>
      </c>
      <c r="H110" s="3168" t="s">
        <v>3752</v>
      </c>
      <c r="I110" s="3168" t="s">
        <v>3431</v>
      </c>
      <c r="J110" s="3170">
        <v>73</v>
      </c>
      <c r="K110" s="3168" t="s">
        <v>2810</v>
      </c>
      <c r="L110">
        <f ca="1">典型户型修正!S133</f>
        <v>70.386600000000001</v>
      </c>
      <c r="M110">
        <f ca="1">典型户型修正!T133</f>
        <v>3.6869000000000001</v>
      </c>
      <c r="N110">
        <f ca="1">典型户型修正!U133</f>
        <v>3.5200000000000002E-2</v>
      </c>
      <c r="O110">
        <f ca="1">典型户型修正!V133</f>
        <v>3.3517000000000001</v>
      </c>
      <c r="P110">
        <f ca="1">典型户型修正!W133</f>
        <v>7.0738000000000003</v>
      </c>
      <c r="Q110">
        <f ca="1">典型户型修正!X133</f>
        <v>63.312800000000003</v>
      </c>
    </row>
    <row r="111" spans="1:17" ht="28.8">
      <c r="A111" s="3170">
        <v>110</v>
      </c>
      <c r="B111" s="3169" t="s">
        <v>3753</v>
      </c>
      <c r="C111" s="3171"/>
      <c r="D111" s="3169" t="s">
        <v>3754</v>
      </c>
      <c r="E111" s="3168" t="s">
        <v>3428</v>
      </c>
      <c r="F111" s="3168" t="s">
        <v>3429</v>
      </c>
      <c r="G111" s="3170">
        <v>6</v>
      </c>
      <c r="H111" s="3168" t="s">
        <v>3755</v>
      </c>
      <c r="I111" s="3168" t="s">
        <v>3431</v>
      </c>
      <c r="J111" s="3170">
        <v>78.45</v>
      </c>
      <c r="K111" s="3168" t="s">
        <v>2810</v>
      </c>
      <c r="L111">
        <f ca="1">典型户型修正!S134</f>
        <v>75.641499999999994</v>
      </c>
      <c r="M111">
        <f ca="1">典型户型修正!T134</f>
        <v>3.9622000000000002</v>
      </c>
      <c r="N111">
        <f ca="1">典型户型修正!U134</f>
        <v>3.78E-2</v>
      </c>
      <c r="O111">
        <f ca="1">典型户型修正!V134</f>
        <v>3.6019999999999999</v>
      </c>
      <c r="P111">
        <f ca="1">典型户型修正!W134</f>
        <v>7.6020000000000003</v>
      </c>
      <c r="Q111">
        <f ca="1">典型户型修正!X134</f>
        <v>68.03949999999999</v>
      </c>
    </row>
    <row r="112" spans="1:17" ht="28.8">
      <c r="A112" s="3170">
        <v>111</v>
      </c>
      <c r="B112" s="3169" t="s">
        <v>3756</v>
      </c>
      <c r="C112" s="3171"/>
      <c r="D112" s="3169" t="s">
        <v>3757</v>
      </c>
      <c r="E112" s="3168" t="s">
        <v>3428</v>
      </c>
      <c r="F112" s="3168" t="s">
        <v>3429</v>
      </c>
      <c r="G112" s="3170">
        <v>6</v>
      </c>
      <c r="H112" s="3168" t="s">
        <v>3758</v>
      </c>
      <c r="I112" s="3168" t="s">
        <v>3431</v>
      </c>
      <c r="J112" s="3170">
        <v>75.959999999999994</v>
      </c>
      <c r="K112" s="3168" t="s">
        <v>2810</v>
      </c>
      <c r="L112">
        <f ca="1">典型户型修正!S135</f>
        <v>73.240600000000001</v>
      </c>
      <c r="M112">
        <f ca="1">典型户型修正!T135</f>
        <v>3.8363999999999998</v>
      </c>
      <c r="N112">
        <f ca="1">典型户型修正!U135</f>
        <v>3.6600000000000001E-2</v>
      </c>
      <c r="O112">
        <f ca="1">典型户型修正!V135</f>
        <v>3.4876</v>
      </c>
      <c r="P112">
        <f ca="1">典型户型修正!W135</f>
        <v>7.3605999999999998</v>
      </c>
      <c r="Q112">
        <f ca="1">典型户型修正!X135</f>
        <v>65.88</v>
      </c>
    </row>
    <row r="113" spans="1:17" ht="28.8">
      <c r="A113" s="3170">
        <v>112</v>
      </c>
      <c r="B113" s="3169" t="s">
        <v>3759</v>
      </c>
      <c r="C113" s="3171"/>
      <c r="D113" s="3169" t="s">
        <v>3760</v>
      </c>
      <c r="E113" s="3168" t="s">
        <v>3428</v>
      </c>
      <c r="F113" s="3168" t="s">
        <v>3429</v>
      </c>
      <c r="G113" s="3170">
        <v>6</v>
      </c>
      <c r="H113" s="3168" t="s">
        <v>3761</v>
      </c>
      <c r="I113" s="3168" t="s">
        <v>3431</v>
      </c>
      <c r="J113" s="3170">
        <v>75.959999999999994</v>
      </c>
      <c r="K113" s="3168" t="s">
        <v>2810</v>
      </c>
      <c r="L113">
        <f ca="1">典型户型修正!S136</f>
        <v>73.240600000000001</v>
      </c>
      <c r="M113">
        <f ca="1">典型户型修正!T136</f>
        <v>3.8363999999999998</v>
      </c>
      <c r="N113">
        <f ca="1">典型户型修正!U136</f>
        <v>3.6600000000000001E-2</v>
      </c>
      <c r="O113">
        <f ca="1">典型户型修正!V136</f>
        <v>3.4876</v>
      </c>
      <c r="P113">
        <f ca="1">典型户型修正!W136</f>
        <v>7.3605999999999998</v>
      </c>
      <c r="Q113">
        <f ca="1">典型户型修正!X136</f>
        <v>65.88</v>
      </c>
    </row>
    <row r="114" spans="1:17" ht="28.8">
      <c r="A114" s="3170">
        <v>113</v>
      </c>
      <c r="B114" s="3169" t="s">
        <v>3762</v>
      </c>
      <c r="C114" s="3171"/>
      <c r="D114" s="3169" t="s">
        <v>3763</v>
      </c>
      <c r="E114" s="3168" t="s">
        <v>3428</v>
      </c>
      <c r="F114" s="3168" t="s">
        <v>3429</v>
      </c>
      <c r="G114" s="3170">
        <v>6</v>
      </c>
      <c r="H114" s="3168" t="s">
        <v>3764</v>
      </c>
      <c r="I114" s="3168" t="s">
        <v>3431</v>
      </c>
      <c r="J114" s="3170">
        <v>78.45</v>
      </c>
      <c r="K114" s="3168" t="s">
        <v>2810</v>
      </c>
      <c r="L114">
        <f ca="1">典型户型修正!S137</f>
        <v>75.641499999999994</v>
      </c>
      <c r="M114">
        <f ca="1">典型户型修正!T137</f>
        <v>3.9622000000000002</v>
      </c>
      <c r="N114">
        <f ca="1">典型户型修正!U137</f>
        <v>3.78E-2</v>
      </c>
      <c r="O114">
        <f ca="1">典型户型修正!V137</f>
        <v>3.6019999999999999</v>
      </c>
      <c r="P114">
        <f ca="1">典型户型修正!W137</f>
        <v>7.6020000000000003</v>
      </c>
      <c r="Q114">
        <f ca="1">典型户型修正!X137</f>
        <v>68.03949999999999</v>
      </c>
    </row>
    <row r="115" spans="1:17" ht="28.8">
      <c r="A115" s="3170">
        <v>114</v>
      </c>
      <c r="B115" s="3169" t="s">
        <v>3765</v>
      </c>
      <c r="C115" s="3171"/>
      <c r="D115" s="3169" t="s">
        <v>3766</v>
      </c>
      <c r="E115" s="3168" t="s">
        <v>3428</v>
      </c>
      <c r="F115" s="3168" t="s">
        <v>3429</v>
      </c>
      <c r="G115" s="3170">
        <v>6</v>
      </c>
      <c r="H115" s="3168" t="s">
        <v>3767</v>
      </c>
      <c r="I115" s="3168" t="s">
        <v>3431</v>
      </c>
      <c r="J115" s="3170">
        <v>73.47</v>
      </c>
      <c r="K115" s="3168" t="s">
        <v>2810</v>
      </c>
      <c r="L115">
        <f ca="1">典型户型修正!S138</f>
        <v>70.839799999999997</v>
      </c>
      <c r="M115">
        <f ca="1">典型户型修正!T138</f>
        <v>3.7107000000000001</v>
      </c>
      <c r="N115">
        <f ca="1">典型户型修正!U138</f>
        <v>3.5400000000000001E-2</v>
      </c>
      <c r="O115">
        <f ca="1">典型户型修正!V138</f>
        <v>3.3733</v>
      </c>
      <c r="P115">
        <f ca="1">典型户型修正!W138</f>
        <v>7.1194000000000006</v>
      </c>
      <c r="Q115">
        <f ca="1">典型户型修正!X138</f>
        <v>63.720399999999998</v>
      </c>
    </row>
    <row r="116" spans="1:17" ht="28.8">
      <c r="A116" s="3170">
        <v>115</v>
      </c>
      <c r="B116" s="3169" t="s">
        <v>3768</v>
      </c>
      <c r="C116" s="3171"/>
      <c r="D116" s="3169" t="s">
        <v>3769</v>
      </c>
      <c r="E116" s="3168" t="s">
        <v>3428</v>
      </c>
      <c r="F116" s="3168" t="s">
        <v>3429</v>
      </c>
      <c r="G116" s="3170">
        <v>6</v>
      </c>
      <c r="H116" s="3168" t="s">
        <v>3770</v>
      </c>
      <c r="I116" s="3168" t="s">
        <v>3431</v>
      </c>
      <c r="J116" s="3170">
        <v>75.959999999999994</v>
      </c>
      <c r="K116" s="3168" t="s">
        <v>2810</v>
      </c>
      <c r="L116">
        <f ca="1">典型户型修正!S139</f>
        <v>73.240600000000001</v>
      </c>
      <c r="M116">
        <f ca="1">典型户型修正!T139</f>
        <v>3.8363999999999998</v>
      </c>
      <c r="N116">
        <f ca="1">典型户型修正!U139</f>
        <v>3.6600000000000001E-2</v>
      </c>
      <c r="O116">
        <f ca="1">典型户型修正!V139</f>
        <v>3.4876</v>
      </c>
      <c r="P116">
        <f ca="1">典型户型修正!W139</f>
        <v>7.3605999999999998</v>
      </c>
      <c r="Q116">
        <f ca="1">典型户型修正!X139</f>
        <v>65.88</v>
      </c>
    </row>
    <row r="117" spans="1:17" ht="28.8">
      <c r="A117" s="3170">
        <v>116</v>
      </c>
      <c r="B117" s="3169" t="s">
        <v>3773</v>
      </c>
      <c r="C117" s="3171"/>
      <c r="D117" s="3169" t="s">
        <v>3771</v>
      </c>
      <c r="E117" s="3168" t="s">
        <v>3428</v>
      </c>
      <c r="F117" s="3168" t="s">
        <v>3429</v>
      </c>
      <c r="G117" s="3170">
        <v>6</v>
      </c>
      <c r="H117" s="3168" t="s">
        <v>3772</v>
      </c>
      <c r="I117" s="3168" t="s">
        <v>3431</v>
      </c>
      <c r="J117" s="3170">
        <v>83.52</v>
      </c>
      <c r="K117" s="3168" t="s">
        <v>2810</v>
      </c>
      <c r="L117">
        <f ca="1">典型户型修正!S140</f>
        <v>80.53</v>
      </c>
      <c r="M117">
        <f ca="1">典型户型修正!T140</f>
        <v>4.2182000000000004</v>
      </c>
      <c r="N117">
        <f ca="1">典型户型修正!U140</f>
        <v>4.0300000000000002E-2</v>
      </c>
      <c r="O117">
        <f ca="1">典型户型修正!V140</f>
        <v>3.8348</v>
      </c>
      <c r="P117">
        <f ca="1">典型户型修正!W140</f>
        <v>8.093300000000001</v>
      </c>
      <c r="Q117">
        <f ca="1">典型户型修正!X140</f>
        <v>72.436700000000002</v>
      </c>
    </row>
    <row r="118" spans="1:17" ht="28.8">
      <c r="A118" s="3170">
        <v>117</v>
      </c>
      <c r="B118" s="3169" t="s">
        <v>3774</v>
      </c>
      <c r="C118" s="3171"/>
      <c r="D118" s="3169" t="s">
        <v>3775</v>
      </c>
      <c r="E118" s="3168" t="s">
        <v>3428</v>
      </c>
      <c r="F118" s="3168" t="s">
        <v>3429</v>
      </c>
      <c r="G118" s="3170">
        <v>6</v>
      </c>
      <c r="H118" s="3168" t="s">
        <v>3776</v>
      </c>
      <c r="I118" s="3168" t="s">
        <v>3431</v>
      </c>
      <c r="J118" s="3170">
        <v>89.88</v>
      </c>
      <c r="K118" s="3168" t="s">
        <v>2810</v>
      </c>
      <c r="L118">
        <f ca="1">典型户型修正!S141</f>
        <v>86.662300000000002</v>
      </c>
      <c r="M118">
        <f ca="1">典型户型修正!T141</f>
        <v>4.5395000000000003</v>
      </c>
      <c r="N118">
        <f ca="1">典型户型修正!U141</f>
        <v>4.3299999999999998E-2</v>
      </c>
      <c r="O118">
        <f ca="1">典型户型修正!V141</f>
        <v>4.1268000000000002</v>
      </c>
      <c r="P118">
        <f ca="1">典型户型修正!W141</f>
        <v>8.7096000000000018</v>
      </c>
      <c r="Q118">
        <f ca="1">典型户型修正!X141</f>
        <v>77.952699999999993</v>
      </c>
    </row>
    <row r="119" spans="1:17" ht="28.8">
      <c r="A119" s="3170">
        <v>118</v>
      </c>
      <c r="B119" s="3169" t="s">
        <v>3779</v>
      </c>
      <c r="C119" s="3171"/>
      <c r="D119" s="3169" t="s">
        <v>3778</v>
      </c>
      <c r="E119" s="3168" t="s">
        <v>3428</v>
      </c>
      <c r="F119" s="3168" t="s">
        <v>3429</v>
      </c>
      <c r="G119" s="3170">
        <v>6</v>
      </c>
      <c r="H119" s="3168" t="s">
        <v>3777</v>
      </c>
      <c r="I119" s="3168" t="s">
        <v>3431</v>
      </c>
      <c r="J119" s="3170">
        <v>174.94</v>
      </c>
      <c r="K119" s="3168" t="s">
        <v>2810</v>
      </c>
      <c r="L119">
        <f ca="1">典型户型修正!S142</f>
        <v>166.99770000000001</v>
      </c>
      <c r="M119">
        <f ca="1">典型户型修正!T142</f>
        <v>8.7475000000000005</v>
      </c>
      <c r="N119">
        <f ca="1">典型户型修正!U142</f>
        <v>8.3500000000000005E-2</v>
      </c>
      <c r="O119">
        <f ca="1">典型户型修正!V142</f>
        <v>7.9523000000000001</v>
      </c>
      <c r="P119">
        <f ca="1">典型户型修正!W142</f>
        <v>16.783300000000001</v>
      </c>
      <c r="Q119">
        <f ca="1">典型户型修正!X142</f>
        <v>150.21440000000001</v>
      </c>
    </row>
    <row r="120" spans="1:17" ht="28.8">
      <c r="A120" s="3170">
        <v>119</v>
      </c>
      <c r="B120" s="3169" t="s">
        <v>3780</v>
      </c>
      <c r="C120" s="3171"/>
      <c r="D120" s="3169" t="s">
        <v>3781</v>
      </c>
      <c r="E120" s="3168" t="s">
        <v>3428</v>
      </c>
      <c r="F120" s="3168" t="s">
        <v>3429</v>
      </c>
      <c r="G120" s="3170">
        <v>6</v>
      </c>
      <c r="H120" s="3168" t="s">
        <v>3782</v>
      </c>
      <c r="I120" s="3168" t="s">
        <v>3431</v>
      </c>
      <c r="J120" s="3170">
        <v>71.61</v>
      </c>
      <c r="K120" s="3168" t="s">
        <v>2810</v>
      </c>
      <c r="L120">
        <f ca="1">典型户型修正!S143</f>
        <v>69.046400000000006</v>
      </c>
      <c r="M120">
        <f ca="1">典型户型修正!T143</f>
        <v>3.6166999999999998</v>
      </c>
      <c r="N120">
        <f ca="1">典型户型修正!U143</f>
        <v>3.4500000000000003E-2</v>
      </c>
      <c r="O120">
        <f ca="1">典型户型修正!V143</f>
        <v>3.2879</v>
      </c>
      <c r="P120">
        <f ca="1">典型户型修正!W143</f>
        <v>6.9390999999999998</v>
      </c>
      <c r="Q120">
        <f ca="1">典型户型修正!X143</f>
        <v>62.107300000000009</v>
      </c>
    </row>
    <row r="121" spans="1:17" ht="28.8">
      <c r="A121" s="3170">
        <v>120</v>
      </c>
      <c r="B121" s="3169" t="s">
        <v>3783</v>
      </c>
      <c r="C121" s="3171"/>
      <c r="D121" s="3169" t="s">
        <v>3784</v>
      </c>
      <c r="E121" s="3168" t="s">
        <v>3428</v>
      </c>
      <c r="F121" s="3168" t="s">
        <v>3429</v>
      </c>
      <c r="G121" s="3170">
        <v>6</v>
      </c>
      <c r="H121" s="3168" t="s">
        <v>3785</v>
      </c>
      <c r="I121" s="3168" t="s">
        <v>3431</v>
      </c>
      <c r="J121" s="3170">
        <v>63.4</v>
      </c>
      <c r="K121" s="3168" t="s">
        <v>2810</v>
      </c>
      <c r="L121">
        <f ca="1">典型户型修正!S144</f>
        <v>61.130299999999998</v>
      </c>
      <c r="M121">
        <f ca="1">典型户型修正!T144</f>
        <v>3.2021000000000002</v>
      </c>
      <c r="N121">
        <f ca="1">典型户型修正!U144</f>
        <v>3.0599999999999999E-2</v>
      </c>
      <c r="O121">
        <f ca="1">典型户型修正!V144</f>
        <v>2.911</v>
      </c>
      <c r="P121">
        <f ca="1">典型户型修正!W144</f>
        <v>6.1437000000000008</v>
      </c>
      <c r="Q121">
        <f ca="1">典型户型修正!X144</f>
        <v>54.986599999999996</v>
      </c>
    </row>
    <row r="122" spans="1:17" ht="28.8">
      <c r="A122" s="3170">
        <v>121</v>
      </c>
      <c r="B122" s="3169" t="s">
        <v>3786</v>
      </c>
      <c r="C122" s="3171"/>
      <c r="D122" s="3169" t="s">
        <v>3787</v>
      </c>
      <c r="E122" s="3168" t="s">
        <v>3428</v>
      </c>
      <c r="F122" s="3168" t="s">
        <v>3429</v>
      </c>
      <c r="G122" s="3170">
        <v>6</v>
      </c>
      <c r="H122" s="3168" t="s">
        <v>3788</v>
      </c>
      <c r="I122" s="3168" t="s">
        <v>3431</v>
      </c>
      <c r="J122" s="3170">
        <v>55.03</v>
      </c>
      <c r="K122" s="3168" t="s">
        <v>2810</v>
      </c>
      <c r="L122">
        <f ca="1">典型户型修正!S145</f>
        <v>53.059899999999999</v>
      </c>
      <c r="M122">
        <f ca="1">典型户型修正!T145</f>
        <v>2.7793000000000001</v>
      </c>
      <c r="N122">
        <f ca="1">典型户型修正!U145</f>
        <v>2.6499999999999999E-2</v>
      </c>
      <c r="O122">
        <f ca="1">典型户型修正!V145</f>
        <v>2.5266999999999999</v>
      </c>
      <c r="P122">
        <f ca="1">典型户型修正!W145</f>
        <v>5.3324999999999996</v>
      </c>
      <c r="Q122">
        <f ca="1">典型户型修正!X145</f>
        <v>47.727400000000003</v>
      </c>
    </row>
    <row r="123" spans="1:17" ht="28.8">
      <c r="A123" s="3170">
        <v>122</v>
      </c>
      <c r="B123" s="3169" t="s">
        <v>3789</v>
      </c>
      <c r="C123" s="3171"/>
      <c r="D123" s="3169" t="s">
        <v>3790</v>
      </c>
      <c r="E123" s="3168" t="s">
        <v>3428</v>
      </c>
      <c r="F123" s="3168" t="s">
        <v>3429</v>
      </c>
      <c r="G123" s="3170">
        <v>6</v>
      </c>
      <c r="H123" s="3168" t="s">
        <v>3791</v>
      </c>
      <c r="I123" s="3168" t="s">
        <v>3431</v>
      </c>
      <c r="J123" s="3170">
        <v>55.03</v>
      </c>
      <c r="K123" s="3168" t="s">
        <v>2810</v>
      </c>
      <c r="L123">
        <f ca="1">典型户型修正!S146</f>
        <v>53.059899999999999</v>
      </c>
      <c r="M123">
        <f ca="1">典型户型修正!T146</f>
        <v>2.7793000000000001</v>
      </c>
      <c r="N123">
        <f ca="1">典型户型修正!U146</f>
        <v>2.6499999999999999E-2</v>
      </c>
      <c r="O123">
        <f ca="1">典型户型修正!V146</f>
        <v>2.5266999999999999</v>
      </c>
      <c r="P123">
        <f ca="1">典型户型修正!W146</f>
        <v>5.3324999999999996</v>
      </c>
      <c r="Q123">
        <f ca="1">典型户型修正!X146</f>
        <v>47.727400000000003</v>
      </c>
    </row>
    <row r="124" spans="1:17" ht="28.8">
      <c r="A124" s="3170">
        <v>123</v>
      </c>
      <c r="B124" s="3169" t="s">
        <v>3792</v>
      </c>
      <c r="C124" s="3171"/>
      <c r="D124" s="3169" t="s">
        <v>3793</v>
      </c>
      <c r="E124" s="3168" t="s">
        <v>3428</v>
      </c>
      <c r="F124" s="3168" t="s">
        <v>3429</v>
      </c>
      <c r="G124" s="3170">
        <v>6</v>
      </c>
      <c r="H124" s="3168" t="s">
        <v>3794</v>
      </c>
      <c r="I124" s="3168" t="s">
        <v>3431</v>
      </c>
      <c r="J124" s="3170">
        <v>55.03</v>
      </c>
      <c r="K124" s="3168" t="s">
        <v>2810</v>
      </c>
      <c r="L124">
        <f ca="1">典型户型修正!S147</f>
        <v>53.059899999999999</v>
      </c>
      <c r="M124">
        <f ca="1">典型户型修正!T147</f>
        <v>2.7793000000000001</v>
      </c>
      <c r="N124">
        <f ca="1">典型户型修正!U147</f>
        <v>2.6499999999999999E-2</v>
      </c>
      <c r="O124">
        <f ca="1">典型户型修正!V147</f>
        <v>2.5266999999999999</v>
      </c>
      <c r="P124">
        <f ca="1">典型户型修正!W147</f>
        <v>5.3324999999999996</v>
      </c>
      <c r="Q124">
        <f ca="1">典型户型修正!X147</f>
        <v>47.727400000000003</v>
      </c>
    </row>
    <row r="125" spans="1:17" ht="28.8">
      <c r="A125" s="3170">
        <v>124</v>
      </c>
      <c r="B125" s="3169" t="s">
        <v>3797</v>
      </c>
      <c r="C125" s="3171"/>
      <c r="D125" s="3169" t="s">
        <v>3795</v>
      </c>
      <c r="E125" s="3168" t="s">
        <v>3428</v>
      </c>
      <c r="F125" s="3168" t="s">
        <v>3429</v>
      </c>
      <c r="G125" s="3170">
        <v>6</v>
      </c>
      <c r="H125" s="3168" t="s">
        <v>3796</v>
      </c>
      <c r="I125" s="3168" t="s">
        <v>3431</v>
      </c>
      <c r="J125" s="3170">
        <v>55.03</v>
      </c>
      <c r="K125" s="3168" t="s">
        <v>2810</v>
      </c>
      <c r="L125">
        <f ca="1">典型户型修正!S148</f>
        <v>53.059899999999999</v>
      </c>
      <c r="M125">
        <f ca="1">典型户型修正!T148</f>
        <v>2.7793000000000001</v>
      </c>
      <c r="N125">
        <f ca="1">典型户型修正!U148</f>
        <v>2.6499999999999999E-2</v>
      </c>
      <c r="O125">
        <f ca="1">典型户型修正!V148</f>
        <v>2.5266999999999999</v>
      </c>
      <c r="P125">
        <f ca="1">典型户型修正!W148</f>
        <v>5.3324999999999996</v>
      </c>
      <c r="Q125">
        <f ca="1">典型户型修正!X148</f>
        <v>47.727400000000003</v>
      </c>
    </row>
    <row r="126" spans="1:17" ht="28.8">
      <c r="A126" s="3170">
        <v>125</v>
      </c>
      <c r="B126" s="3169" t="s">
        <v>3798</v>
      </c>
      <c r="C126" s="3171"/>
      <c r="D126" s="3169" t="s">
        <v>3799</v>
      </c>
      <c r="E126" s="3168" t="s">
        <v>3428</v>
      </c>
      <c r="F126" s="3168" t="s">
        <v>3429</v>
      </c>
      <c r="G126" s="3170">
        <v>6</v>
      </c>
      <c r="H126" s="3168" t="s">
        <v>3800</v>
      </c>
      <c r="I126" s="3168" t="s">
        <v>3431</v>
      </c>
      <c r="J126" s="3170">
        <v>55.03</v>
      </c>
      <c r="K126" s="3168" t="s">
        <v>2810</v>
      </c>
      <c r="L126">
        <f ca="1">典型户型修正!S149</f>
        <v>53.059899999999999</v>
      </c>
      <c r="M126">
        <f ca="1">典型户型修正!T149</f>
        <v>2.7793000000000001</v>
      </c>
      <c r="N126">
        <f ca="1">典型户型修正!U149</f>
        <v>2.6499999999999999E-2</v>
      </c>
      <c r="O126">
        <f ca="1">典型户型修正!V149</f>
        <v>2.5266999999999999</v>
      </c>
      <c r="P126">
        <f ca="1">典型户型修正!W149</f>
        <v>5.3324999999999996</v>
      </c>
      <c r="Q126">
        <f ca="1">典型户型修正!X149</f>
        <v>47.727400000000003</v>
      </c>
    </row>
    <row r="127" spans="1:17" ht="28.8">
      <c r="A127" s="3170">
        <v>126</v>
      </c>
      <c r="B127" s="3169" t="s">
        <v>3801</v>
      </c>
      <c r="C127" s="3171"/>
      <c r="D127" s="3169" t="s">
        <v>3802</v>
      </c>
      <c r="E127" s="3168" t="s">
        <v>3428</v>
      </c>
      <c r="F127" s="3168" t="s">
        <v>3429</v>
      </c>
      <c r="G127" s="3170">
        <v>6</v>
      </c>
      <c r="H127" s="3168" t="s">
        <v>3803</v>
      </c>
      <c r="I127" s="3168" t="s">
        <v>3431</v>
      </c>
      <c r="J127" s="3170">
        <v>55.03</v>
      </c>
      <c r="K127" s="3168" t="s">
        <v>2810</v>
      </c>
      <c r="L127">
        <f ca="1">典型户型修正!S150</f>
        <v>53.059899999999999</v>
      </c>
      <c r="M127">
        <f ca="1">典型户型修正!T150</f>
        <v>2.7793000000000001</v>
      </c>
      <c r="N127">
        <f ca="1">典型户型修正!U150</f>
        <v>2.6499999999999999E-2</v>
      </c>
      <c r="O127">
        <f ca="1">典型户型修正!V150</f>
        <v>2.5266999999999999</v>
      </c>
      <c r="P127">
        <f ca="1">典型户型修正!W150</f>
        <v>5.3324999999999996</v>
      </c>
      <c r="Q127">
        <f ca="1">典型户型修正!X150</f>
        <v>47.727400000000003</v>
      </c>
    </row>
    <row r="128" spans="1:17" ht="28.8">
      <c r="A128" s="3170">
        <v>127</v>
      </c>
      <c r="B128" s="3169" t="s">
        <v>3806</v>
      </c>
      <c r="C128" s="3171"/>
      <c r="D128" s="3169" t="s">
        <v>3804</v>
      </c>
      <c r="E128" s="3168" t="s">
        <v>3428</v>
      </c>
      <c r="F128" s="3168" t="s">
        <v>3429</v>
      </c>
      <c r="G128" s="3170">
        <v>6</v>
      </c>
      <c r="H128" s="3168" t="s">
        <v>3805</v>
      </c>
      <c r="I128" s="3168" t="s">
        <v>3431</v>
      </c>
      <c r="J128" s="3170">
        <v>55.03</v>
      </c>
      <c r="K128" s="3168" t="s">
        <v>2810</v>
      </c>
      <c r="L128">
        <f ca="1">典型户型修正!S151</f>
        <v>53.059899999999999</v>
      </c>
      <c r="M128">
        <f ca="1">典型户型修正!T151</f>
        <v>2.7793000000000001</v>
      </c>
      <c r="N128">
        <f ca="1">典型户型修正!U151</f>
        <v>2.6499999999999999E-2</v>
      </c>
      <c r="O128">
        <f ca="1">典型户型修正!V151</f>
        <v>2.5266999999999999</v>
      </c>
      <c r="P128">
        <f ca="1">典型户型修正!W151</f>
        <v>5.3324999999999996</v>
      </c>
      <c r="Q128">
        <f ca="1">典型户型修正!X151</f>
        <v>47.727400000000003</v>
      </c>
    </row>
    <row r="129" spans="1:17" ht="28.8">
      <c r="A129" s="3170">
        <v>128</v>
      </c>
      <c r="B129" s="3169" t="s">
        <v>3807</v>
      </c>
      <c r="C129" s="3171"/>
      <c r="D129" s="3169" t="s">
        <v>3808</v>
      </c>
      <c r="E129" s="3168" t="s">
        <v>3428</v>
      </c>
      <c r="F129" s="3168" t="s">
        <v>3429</v>
      </c>
      <c r="G129" s="3170">
        <v>6</v>
      </c>
      <c r="H129" s="3168" t="s">
        <v>3809</v>
      </c>
      <c r="I129" s="3168" t="s">
        <v>3431</v>
      </c>
      <c r="J129" s="3170">
        <v>55.03</v>
      </c>
      <c r="K129" s="3168" t="s">
        <v>2810</v>
      </c>
      <c r="L129">
        <f ca="1">典型户型修正!S152</f>
        <v>53.059899999999999</v>
      </c>
      <c r="M129">
        <f ca="1">典型户型修正!T152</f>
        <v>2.7793000000000001</v>
      </c>
      <c r="N129">
        <f ca="1">典型户型修正!U152</f>
        <v>2.6499999999999999E-2</v>
      </c>
      <c r="O129">
        <f ca="1">典型户型修正!V152</f>
        <v>2.5266999999999999</v>
      </c>
      <c r="P129">
        <f ca="1">典型户型修正!W152</f>
        <v>5.3324999999999996</v>
      </c>
      <c r="Q129">
        <f ca="1">典型户型修正!X152</f>
        <v>47.727400000000003</v>
      </c>
    </row>
    <row r="130" spans="1:17" ht="28.8">
      <c r="A130" s="3170">
        <v>129</v>
      </c>
      <c r="B130" s="3169" t="s">
        <v>3810</v>
      </c>
      <c r="C130" s="3171"/>
      <c r="D130" s="3169" t="s">
        <v>3811</v>
      </c>
      <c r="E130" s="3168" t="s">
        <v>3428</v>
      </c>
      <c r="F130" s="3168" t="s">
        <v>3429</v>
      </c>
      <c r="G130" s="3170">
        <v>6</v>
      </c>
      <c r="H130" s="3168" t="s">
        <v>3812</v>
      </c>
      <c r="I130" s="3168" t="s">
        <v>3431</v>
      </c>
      <c r="J130" s="3170">
        <v>62.71</v>
      </c>
      <c r="K130" s="3168" t="s">
        <v>2810</v>
      </c>
      <c r="L130">
        <f ca="1">典型户型修正!S153</f>
        <v>60.465000000000003</v>
      </c>
      <c r="M130">
        <f ca="1">典型户型修正!T153</f>
        <v>3.1671999999999998</v>
      </c>
      <c r="N130">
        <f ca="1">典型户型修正!U153</f>
        <v>3.0200000000000001E-2</v>
      </c>
      <c r="O130">
        <f ca="1">典型户型修正!V153</f>
        <v>2.8793000000000002</v>
      </c>
      <c r="P130">
        <f ca="1">典型户型修正!W153</f>
        <v>6.0766999999999998</v>
      </c>
      <c r="Q130">
        <f ca="1">典型户型修正!X153</f>
        <v>54.388300000000001</v>
      </c>
    </row>
    <row r="131" spans="1:17" ht="28.8">
      <c r="A131" s="3170">
        <v>130</v>
      </c>
      <c r="B131" s="3169" t="s">
        <v>3813</v>
      </c>
      <c r="C131" s="3171"/>
      <c r="D131" s="3169" t="s">
        <v>3814</v>
      </c>
      <c r="E131" s="3168" t="s">
        <v>3428</v>
      </c>
      <c r="F131" s="3168" t="s">
        <v>3429</v>
      </c>
      <c r="G131" s="3170">
        <v>6</v>
      </c>
      <c r="H131" s="3168" t="s">
        <v>3815</v>
      </c>
      <c r="I131" s="3168" t="s">
        <v>3431</v>
      </c>
      <c r="J131" s="3170">
        <v>74.14</v>
      </c>
      <c r="K131" s="3168" t="s">
        <v>2810</v>
      </c>
      <c r="L131">
        <f ca="1">典型户型修正!S154</f>
        <v>71.485799999999998</v>
      </c>
      <c r="M131">
        <f ca="1">典型户型修正!T154</f>
        <v>3.7444999999999999</v>
      </c>
      <c r="N131">
        <f ca="1">典型户型修正!U154</f>
        <v>3.5700000000000003E-2</v>
      </c>
      <c r="O131">
        <f ca="1">典型户型修正!V154</f>
        <v>3.4041000000000001</v>
      </c>
      <c r="P131">
        <f ca="1">典型户型修正!W154</f>
        <v>7.1843000000000004</v>
      </c>
      <c r="Q131">
        <f ca="1">典型户型修正!X154</f>
        <v>64.301500000000004</v>
      </c>
    </row>
    <row r="132" spans="1:17" ht="28.8">
      <c r="A132" s="3170">
        <v>131</v>
      </c>
      <c r="B132" s="3169" t="s">
        <v>3816</v>
      </c>
      <c r="C132" s="3171"/>
      <c r="D132" s="3169" t="s">
        <v>3817</v>
      </c>
      <c r="E132" s="3168" t="s">
        <v>3428</v>
      </c>
      <c r="F132" s="3168" t="s">
        <v>3429</v>
      </c>
      <c r="G132" s="3170">
        <v>7</v>
      </c>
      <c r="H132" s="3168" t="s">
        <v>3818</v>
      </c>
      <c r="I132" s="3168" t="s">
        <v>3431</v>
      </c>
      <c r="J132" s="3170">
        <v>182.4</v>
      </c>
      <c r="K132" s="3168" t="s">
        <v>2810</v>
      </c>
      <c r="L132">
        <f ca="1">典型户型修正!S155</f>
        <v>174.119</v>
      </c>
      <c r="M132">
        <f ca="1">典型户型修正!T155</f>
        <v>9.1204999999999998</v>
      </c>
      <c r="N132">
        <f ca="1">典型户型修正!U155</f>
        <v>8.7099999999999997E-2</v>
      </c>
      <c r="O132">
        <f ca="1">典型户型修正!V155</f>
        <v>8.2913999999999994</v>
      </c>
      <c r="P132">
        <f ca="1">典型户型修正!W155</f>
        <v>17.498999999999999</v>
      </c>
      <c r="Q132">
        <f ca="1">典型户型修正!X155</f>
        <v>156.62</v>
      </c>
    </row>
    <row r="133" spans="1:17" ht="28.8">
      <c r="A133" s="3170">
        <v>132</v>
      </c>
      <c r="B133" s="3169" t="s">
        <v>3819</v>
      </c>
      <c r="C133" s="3171"/>
      <c r="D133" s="3169" t="s">
        <v>3820</v>
      </c>
      <c r="E133" s="3168" t="s">
        <v>3428</v>
      </c>
      <c r="F133" s="3168" t="s">
        <v>3429</v>
      </c>
      <c r="G133" s="3170">
        <v>7</v>
      </c>
      <c r="H133" s="3168" t="s">
        <v>3821</v>
      </c>
      <c r="I133" s="3168" t="s">
        <v>3431</v>
      </c>
      <c r="J133" s="3170">
        <v>75.75</v>
      </c>
      <c r="K133" s="3168" t="s">
        <v>2810</v>
      </c>
      <c r="L133">
        <f ca="1">典型户型修正!S156</f>
        <v>73.038200000000003</v>
      </c>
      <c r="M133">
        <f ca="1">典型户型修正!T156</f>
        <v>3.8258000000000001</v>
      </c>
      <c r="N133">
        <f ca="1">典型户型修正!U156</f>
        <v>3.6499999999999998E-2</v>
      </c>
      <c r="O133">
        <f ca="1">典型户型修正!V156</f>
        <v>3.4780000000000002</v>
      </c>
      <c r="P133">
        <f ca="1">典型户型修正!W156</f>
        <v>7.3403000000000009</v>
      </c>
      <c r="Q133">
        <f ca="1">典型户型修正!X156</f>
        <v>65.697900000000004</v>
      </c>
    </row>
    <row r="134" spans="1:17" ht="28.8">
      <c r="A134" s="3170">
        <v>133</v>
      </c>
      <c r="B134" s="3169" t="s">
        <v>3824</v>
      </c>
      <c r="C134" s="3171"/>
      <c r="D134" s="3169" t="s">
        <v>3823</v>
      </c>
      <c r="E134" s="3168" t="s">
        <v>3428</v>
      </c>
      <c r="F134" s="3168" t="s">
        <v>3429</v>
      </c>
      <c r="G134" s="3170">
        <v>7</v>
      </c>
      <c r="H134" s="3168" t="s">
        <v>3822</v>
      </c>
      <c r="I134" s="3168" t="s">
        <v>3431</v>
      </c>
      <c r="J134" s="3170">
        <v>81.709999999999994</v>
      </c>
      <c r="K134" s="3168" t="s">
        <v>2810</v>
      </c>
      <c r="L134">
        <f ca="1">典型户型修正!S157</f>
        <v>78.784800000000004</v>
      </c>
      <c r="M134">
        <f ca="1">典型户型修正!T157</f>
        <v>4.1268000000000002</v>
      </c>
      <c r="N134">
        <f ca="1">典型户型修正!U157</f>
        <v>3.9399999999999998E-2</v>
      </c>
      <c r="O134">
        <f ca="1">典型户型修正!V157</f>
        <v>3.7517</v>
      </c>
      <c r="P134">
        <f ca="1">典型户型修正!W157</f>
        <v>7.9178999999999995</v>
      </c>
      <c r="Q134">
        <f ca="1">典型户型修正!X157</f>
        <v>70.866900000000001</v>
      </c>
    </row>
    <row r="135" spans="1:17" ht="28.8">
      <c r="A135" s="3170">
        <v>134</v>
      </c>
      <c r="B135" s="3169" t="s">
        <v>3827</v>
      </c>
      <c r="C135" s="3171"/>
      <c r="D135" s="3169" t="s">
        <v>3826</v>
      </c>
      <c r="E135" s="3168" t="s">
        <v>3428</v>
      </c>
      <c r="F135" s="3168" t="s">
        <v>3429</v>
      </c>
      <c r="G135" s="3170">
        <v>7</v>
      </c>
      <c r="H135" s="3168" t="s">
        <v>3825</v>
      </c>
      <c r="I135" s="3168" t="s">
        <v>3431</v>
      </c>
      <c r="J135" s="3170">
        <v>76.430000000000007</v>
      </c>
      <c r="K135" s="3168" t="s">
        <v>2810</v>
      </c>
      <c r="L135">
        <f ca="1">典型户型修正!S158</f>
        <v>73.693799999999996</v>
      </c>
      <c r="M135">
        <f ca="1">典型户型修正!T158</f>
        <v>3.8601999999999999</v>
      </c>
      <c r="N135">
        <f ca="1">典型户型修正!U158</f>
        <v>3.6799999999999999E-2</v>
      </c>
      <c r="O135">
        <f ca="1">典型户型修正!V158</f>
        <v>3.5091999999999999</v>
      </c>
      <c r="P135">
        <f ca="1">典型户型修正!W158</f>
        <v>7.4062000000000001</v>
      </c>
      <c r="Q135">
        <f ca="1">典型户型修正!X158</f>
        <v>66.287599999999998</v>
      </c>
    </row>
    <row r="136" spans="1:17" ht="28.8">
      <c r="A136" s="3170">
        <v>135</v>
      </c>
      <c r="B136" s="3169" t="s">
        <v>3828</v>
      </c>
      <c r="C136" s="3171"/>
      <c r="D136" s="3169" t="s">
        <v>3829</v>
      </c>
      <c r="E136" s="3168" t="s">
        <v>3428</v>
      </c>
      <c r="F136" s="3168" t="s">
        <v>3429</v>
      </c>
      <c r="G136" s="3170">
        <v>7</v>
      </c>
      <c r="H136" s="3168" t="s">
        <v>3830</v>
      </c>
      <c r="I136" s="3168" t="s">
        <v>3431</v>
      </c>
      <c r="J136" s="3170">
        <v>73</v>
      </c>
      <c r="K136" s="3168" t="s">
        <v>2810</v>
      </c>
      <c r="L136">
        <f ca="1">典型户型修正!S159</f>
        <v>70.386600000000001</v>
      </c>
      <c r="M136">
        <f ca="1">典型户型修正!T159</f>
        <v>3.6869000000000001</v>
      </c>
      <c r="N136">
        <f ca="1">典型户型修正!U159</f>
        <v>3.5200000000000002E-2</v>
      </c>
      <c r="O136">
        <f ca="1">典型户型修正!V159</f>
        <v>3.3517000000000001</v>
      </c>
      <c r="P136">
        <f ca="1">典型户型修正!W159</f>
        <v>7.0738000000000003</v>
      </c>
      <c r="Q136">
        <f ca="1">典型户型修正!X159</f>
        <v>63.312800000000003</v>
      </c>
    </row>
    <row r="137" spans="1:17" ht="28.8">
      <c r="A137" s="3170">
        <v>136</v>
      </c>
      <c r="B137" s="3169" t="s">
        <v>3833</v>
      </c>
      <c r="C137" s="3171"/>
      <c r="D137" s="3169" t="s">
        <v>3831</v>
      </c>
      <c r="E137" s="3168" t="s">
        <v>3428</v>
      </c>
      <c r="F137" s="3168" t="s">
        <v>3429</v>
      </c>
      <c r="G137" s="3170">
        <v>7</v>
      </c>
      <c r="H137" s="3168" t="s">
        <v>3832</v>
      </c>
      <c r="I137" s="3168" t="s">
        <v>3431</v>
      </c>
      <c r="J137" s="3170">
        <v>78.45</v>
      </c>
      <c r="K137" s="3168" t="s">
        <v>2810</v>
      </c>
      <c r="L137">
        <f ca="1">典型户型修正!S160</f>
        <v>75.641499999999994</v>
      </c>
      <c r="M137">
        <f ca="1">典型户型修正!T160</f>
        <v>3.9622000000000002</v>
      </c>
      <c r="N137">
        <f ca="1">典型户型修正!U160</f>
        <v>3.78E-2</v>
      </c>
      <c r="O137">
        <f ca="1">典型户型修正!V160</f>
        <v>3.6019999999999999</v>
      </c>
      <c r="P137">
        <f ca="1">典型户型修正!W160</f>
        <v>7.6020000000000003</v>
      </c>
      <c r="Q137">
        <f ca="1">典型户型修正!X160</f>
        <v>68.03949999999999</v>
      </c>
    </row>
    <row r="138" spans="1:17" ht="28.8">
      <c r="A138" s="3170">
        <v>137</v>
      </c>
      <c r="B138" s="3169" t="s">
        <v>3842</v>
      </c>
      <c r="C138" s="3171"/>
      <c r="D138" s="3169" t="s">
        <v>3834</v>
      </c>
      <c r="E138" s="3168" t="s">
        <v>3428</v>
      </c>
      <c r="F138" s="3168" t="s">
        <v>3429</v>
      </c>
      <c r="G138" s="3170">
        <v>7</v>
      </c>
      <c r="H138" s="3168" t="s">
        <v>3835</v>
      </c>
      <c r="I138" s="3168" t="s">
        <v>3431</v>
      </c>
      <c r="J138" s="3170">
        <v>75.959999999999994</v>
      </c>
      <c r="K138" s="3168" t="s">
        <v>2810</v>
      </c>
      <c r="L138">
        <f ca="1">典型户型修正!S161</f>
        <v>73.240600000000001</v>
      </c>
      <c r="M138">
        <f ca="1">典型户型修正!T161</f>
        <v>3.8363999999999998</v>
      </c>
      <c r="N138">
        <f ca="1">典型户型修正!U161</f>
        <v>3.6600000000000001E-2</v>
      </c>
      <c r="O138">
        <f ca="1">典型户型修正!V161</f>
        <v>3.4876</v>
      </c>
      <c r="P138">
        <f ca="1">典型户型修正!W161</f>
        <v>7.3605999999999998</v>
      </c>
      <c r="Q138">
        <f ca="1">典型户型修正!X161</f>
        <v>65.88</v>
      </c>
    </row>
    <row r="139" spans="1:17" ht="28.8">
      <c r="A139" s="3170">
        <v>138</v>
      </c>
      <c r="B139" s="3169" t="s">
        <v>3843</v>
      </c>
      <c r="C139" s="3171"/>
      <c r="D139" s="3169" t="s">
        <v>3836</v>
      </c>
      <c r="E139" s="3168" t="s">
        <v>3428</v>
      </c>
      <c r="F139" s="3168" t="s">
        <v>3429</v>
      </c>
      <c r="G139" s="3170">
        <v>7</v>
      </c>
      <c r="H139" s="3168" t="s">
        <v>3837</v>
      </c>
      <c r="I139" s="3168" t="s">
        <v>3431</v>
      </c>
      <c r="J139" s="3170">
        <v>75.959999999999994</v>
      </c>
      <c r="K139" s="3168" t="s">
        <v>2810</v>
      </c>
      <c r="L139">
        <f ca="1">典型户型修正!S162</f>
        <v>73.240600000000001</v>
      </c>
      <c r="M139">
        <f ca="1">典型户型修正!T162</f>
        <v>3.8363999999999998</v>
      </c>
      <c r="N139">
        <f ca="1">典型户型修正!U162</f>
        <v>3.6600000000000001E-2</v>
      </c>
      <c r="O139">
        <f ca="1">典型户型修正!V162</f>
        <v>3.4876</v>
      </c>
      <c r="P139">
        <f ca="1">典型户型修正!W162</f>
        <v>7.3605999999999998</v>
      </c>
      <c r="Q139">
        <f ca="1">典型户型修正!X162</f>
        <v>65.88</v>
      </c>
    </row>
    <row r="140" spans="1:17" ht="28.8">
      <c r="A140" s="3170">
        <v>139</v>
      </c>
      <c r="B140" s="3169" t="s">
        <v>3844</v>
      </c>
      <c r="C140" s="3171"/>
      <c r="D140" s="3169" t="s">
        <v>3838</v>
      </c>
      <c r="E140" s="3168" t="s">
        <v>3428</v>
      </c>
      <c r="F140" s="3168" t="s">
        <v>3429</v>
      </c>
      <c r="G140" s="3170">
        <v>7</v>
      </c>
      <c r="H140" s="3168" t="s">
        <v>3839</v>
      </c>
      <c r="I140" s="3168" t="s">
        <v>3431</v>
      </c>
      <c r="J140" s="3170">
        <v>78.45</v>
      </c>
      <c r="K140" s="3168" t="s">
        <v>2810</v>
      </c>
      <c r="L140">
        <f ca="1">典型户型修正!S163</f>
        <v>75.641499999999994</v>
      </c>
      <c r="M140">
        <f ca="1">典型户型修正!T163</f>
        <v>3.9622000000000002</v>
      </c>
      <c r="N140">
        <f ca="1">典型户型修正!U163</f>
        <v>3.78E-2</v>
      </c>
      <c r="O140">
        <f ca="1">典型户型修正!V163</f>
        <v>3.6019999999999999</v>
      </c>
      <c r="P140">
        <f ca="1">典型户型修正!W163</f>
        <v>7.6020000000000003</v>
      </c>
      <c r="Q140">
        <f ca="1">典型户型修正!X163</f>
        <v>68.03949999999999</v>
      </c>
    </row>
    <row r="141" spans="1:17" ht="28.8">
      <c r="A141" s="3170">
        <v>140</v>
      </c>
      <c r="B141" s="3169" t="s">
        <v>3845</v>
      </c>
      <c r="C141" s="3171"/>
      <c r="D141" s="3169" t="s">
        <v>3841</v>
      </c>
      <c r="E141" s="3168" t="s">
        <v>3428</v>
      </c>
      <c r="F141" s="3168" t="s">
        <v>3429</v>
      </c>
      <c r="G141" s="3170">
        <v>7</v>
      </c>
      <c r="H141" s="3168" t="s">
        <v>3840</v>
      </c>
      <c r="I141" s="3168" t="s">
        <v>3431</v>
      </c>
      <c r="J141" s="3170">
        <v>73.47</v>
      </c>
      <c r="K141" s="3168" t="s">
        <v>2810</v>
      </c>
      <c r="L141">
        <f ca="1">典型户型修正!S164</f>
        <v>70.839799999999997</v>
      </c>
      <c r="M141">
        <f ca="1">典型户型修正!T164</f>
        <v>3.7107000000000001</v>
      </c>
      <c r="N141">
        <f ca="1">典型户型修正!U164</f>
        <v>3.5400000000000001E-2</v>
      </c>
      <c r="O141">
        <f ca="1">典型户型修正!V164</f>
        <v>3.3733</v>
      </c>
      <c r="P141">
        <f ca="1">典型户型修正!W164</f>
        <v>7.1194000000000006</v>
      </c>
      <c r="Q141">
        <f ca="1">典型户型修正!X164</f>
        <v>63.720399999999998</v>
      </c>
    </row>
    <row r="142" spans="1:17" ht="28.8">
      <c r="A142" s="3170">
        <v>141</v>
      </c>
      <c r="B142" s="3169" t="s">
        <v>3848</v>
      </c>
      <c r="C142" s="3171"/>
      <c r="D142" s="3169" t="s">
        <v>3846</v>
      </c>
      <c r="E142" s="3168" t="s">
        <v>3428</v>
      </c>
      <c r="F142" s="3168" t="s">
        <v>3429</v>
      </c>
      <c r="G142" s="3170">
        <v>7</v>
      </c>
      <c r="H142" s="3168" t="s">
        <v>3847</v>
      </c>
      <c r="I142" s="3168" t="s">
        <v>3431</v>
      </c>
      <c r="J142" s="3170">
        <v>75.959999999999994</v>
      </c>
      <c r="K142" s="3168" t="s">
        <v>2810</v>
      </c>
      <c r="L142">
        <f ca="1">典型户型修正!S165</f>
        <v>73.240600000000001</v>
      </c>
      <c r="M142">
        <f ca="1">典型户型修正!T165</f>
        <v>3.8363999999999998</v>
      </c>
      <c r="N142">
        <f ca="1">典型户型修正!U165</f>
        <v>3.6600000000000001E-2</v>
      </c>
      <c r="O142">
        <f ca="1">典型户型修正!V165</f>
        <v>3.4876</v>
      </c>
      <c r="P142">
        <f ca="1">典型户型修正!W165</f>
        <v>7.3605999999999998</v>
      </c>
      <c r="Q142">
        <f ca="1">典型户型修正!X165</f>
        <v>65.88</v>
      </c>
    </row>
    <row r="143" spans="1:17" ht="28.8">
      <c r="A143" s="3170">
        <v>142</v>
      </c>
      <c r="B143" s="3169" t="s">
        <v>3849</v>
      </c>
      <c r="C143" s="3171"/>
      <c r="D143" s="3169" t="s">
        <v>3850</v>
      </c>
      <c r="E143" s="3168" t="s">
        <v>3428</v>
      </c>
      <c r="F143" s="3168" t="s">
        <v>3429</v>
      </c>
      <c r="G143" s="3170">
        <v>7</v>
      </c>
      <c r="H143" s="3168" t="s">
        <v>3851</v>
      </c>
      <c r="I143" s="3168" t="s">
        <v>3431</v>
      </c>
      <c r="J143" s="3170">
        <v>83.52</v>
      </c>
      <c r="K143" s="3168" t="s">
        <v>2810</v>
      </c>
      <c r="L143">
        <f ca="1">典型户型修正!S166</f>
        <v>80.53</v>
      </c>
      <c r="M143">
        <f ca="1">典型户型修正!T166</f>
        <v>4.2182000000000004</v>
      </c>
      <c r="N143">
        <f ca="1">典型户型修正!U166</f>
        <v>4.0300000000000002E-2</v>
      </c>
      <c r="O143">
        <f ca="1">典型户型修正!V166</f>
        <v>3.8348</v>
      </c>
      <c r="P143">
        <f ca="1">典型户型修正!W166</f>
        <v>8.093300000000001</v>
      </c>
      <c r="Q143">
        <f ca="1">典型户型修正!X166</f>
        <v>72.436700000000002</v>
      </c>
    </row>
    <row r="144" spans="1:17" ht="28.8">
      <c r="A144" s="3170">
        <v>143</v>
      </c>
      <c r="B144" s="3169" t="s">
        <v>3852</v>
      </c>
      <c r="C144" s="3171"/>
      <c r="D144" s="3169" t="s">
        <v>3853</v>
      </c>
      <c r="E144" s="3168" t="s">
        <v>3428</v>
      </c>
      <c r="F144" s="3168" t="s">
        <v>3429</v>
      </c>
      <c r="G144" s="3170">
        <v>7</v>
      </c>
      <c r="H144" s="3168" t="s">
        <v>3854</v>
      </c>
      <c r="I144" s="3168" t="s">
        <v>3431</v>
      </c>
      <c r="J144" s="3170">
        <v>89.88</v>
      </c>
      <c r="K144" s="3168" t="s">
        <v>2810</v>
      </c>
      <c r="L144">
        <f ca="1">典型户型修正!S167</f>
        <v>86.662300000000002</v>
      </c>
      <c r="M144">
        <f ca="1">典型户型修正!T167</f>
        <v>4.5395000000000003</v>
      </c>
      <c r="N144">
        <f ca="1">典型户型修正!U167</f>
        <v>4.3299999999999998E-2</v>
      </c>
      <c r="O144">
        <f ca="1">典型户型修正!V167</f>
        <v>4.1268000000000002</v>
      </c>
      <c r="P144">
        <f ca="1">典型户型修正!W167</f>
        <v>8.7096000000000018</v>
      </c>
      <c r="Q144">
        <f ca="1">典型户型修正!X167</f>
        <v>77.952699999999993</v>
      </c>
    </row>
    <row r="145" spans="1:17" ht="28.8">
      <c r="A145" s="3170">
        <v>144</v>
      </c>
      <c r="B145" s="3169" t="s">
        <v>3857</v>
      </c>
      <c r="C145" s="3171"/>
      <c r="D145" s="3169" t="s">
        <v>3855</v>
      </c>
      <c r="E145" s="3168" t="s">
        <v>3428</v>
      </c>
      <c r="F145" s="3168" t="s">
        <v>3429</v>
      </c>
      <c r="G145" s="3170">
        <v>7</v>
      </c>
      <c r="H145" s="3168" t="s">
        <v>3856</v>
      </c>
      <c r="I145" s="3168" t="s">
        <v>3431</v>
      </c>
      <c r="J145" s="3170">
        <v>174.94</v>
      </c>
      <c r="K145" s="3168" t="s">
        <v>2810</v>
      </c>
      <c r="L145">
        <f ca="1">典型户型修正!S168</f>
        <v>166.99770000000001</v>
      </c>
      <c r="M145">
        <f ca="1">典型户型修正!T168</f>
        <v>8.7475000000000005</v>
      </c>
      <c r="N145">
        <f ca="1">典型户型修正!U168</f>
        <v>8.3500000000000005E-2</v>
      </c>
      <c r="O145">
        <f ca="1">典型户型修正!V168</f>
        <v>7.9523000000000001</v>
      </c>
      <c r="P145">
        <f ca="1">典型户型修正!W168</f>
        <v>16.783300000000001</v>
      </c>
      <c r="Q145">
        <f ca="1">典型户型修正!X168</f>
        <v>150.21440000000001</v>
      </c>
    </row>
    <row r="146" spans="1:17" ht="28.8">
      <c r="A146" s="3170">
        <v>145</v>
      </c>
      <c r="B146" s="3169" t="s">
        <v>3858</v>
      </c>
      <c r="C146" s="3171"/>
      <c r="D146" s="3169" t="s">
        <v>3859</v>
      </c>
      <c r="E146" s="3168" t="s">
        <v>3428</v>
      </c>
      <c r="F146" s="3168" t="s">
        <v>3429</v>
      </c>
      <c r="G146" s="3170">
        <v>7</v>
      </c>
      <c r="H146" s="3168" t="s">
        <v>3860</v>
      </c>
      <c r="I146" s="3168" t="s">
        <v>3431</v>
      </c>
      <c r="J146" s="3170">
        <v>71.61</v>
      </c>
      <c r="K146" s="3168" t="s">
        <v>2810</v>
      </c>
      <c r="L146">
        <f ca="1">典型户型修正!S169</f>
        <v>69.046400000000006</v>
      </c>
      <c r="M146">
        <f ca="1">典型户型修正!T169</f>
        <v>3.6166999999999998</v>
      </c>
      <c r="N146">
        <f ca="1">典型户型修正!U169</f>
        <v>3.4500000000000003E-2</v>
      </c>
      <c r="O146">
        <f ca="1">典型户型修正!V169</f>
        <v>3.2879</v>
      </c>
      <c r="P146">
        <f ca="1">典型户型修正!W169</f>
        <v>6.9390999999999998</v>
      </c>
      <c r="Q146">
        <f ca="1">典型户型修正!X169</f>
        <v>62.107300000000009</v>
      </c>
    </row>
    <row r="147" spans="1:17" ht="28.8">
      <c r="A147" s="3170">
        <v>146</v>
      </c>
      <c r="B147" s="3169" t="s">
        <v>3861</v>
      </c>
      <c r="C147" s="3171"/>
      <c r="D147" s="3169" t="s">
        <v>3862</v>
      </c>
      <c r="E147" s="3168" t="s">
        <v>3428</v>
      </c>
      <c r="F147" s="3168" t="s">
        <v>3429</v>
      </c>
      <c r="G147" s="3170">
        <v>7</v>
      </c>
      <c r="H147" s="3168" t="s">
        <v>3863</v>
      </c>
      <c r="I147" s="3168" t="s">
        <v>3431</v>
      </c>
      <c r="J147" s="3170">
        <v>63.4</v>
      </c>
      <c r="K147" s="3168" t="s">
        <v>2810</v>
      </c>
      <c r="L147">
        <f ca="1">典型户型修正!S170</f>
        <v>61.130299999999998</v>
      </c>
      <c r="M147">
        <f ca="1">典型户型修正!T170</f>
        <v>3.2021000000000002</v>
      </c>
      <c r="N147">
        <f ca="1">典型户型修正!U170</f>
        <v>3.0599999999999999E-2</v>
      </c>
      <c r="O147">
        <f ca="1">典型户型修正!V170</f>
        <v>2.911</v>
      </c>
      <c r="P147">
        <f ca="1">典型户型修正!W170</f>
        <v>6.1437000000000008</v>
      </c>
      <c r="Q147">
        <f ca="1">典型户型修正!X170</f>
        <v>54.986599999999996</v>
      </c>
    </row>
    <row r="148" spans="1:17" ht="28.8">
      <c r="A148" s="3170">
        <v>147</v>
      </c>
      <c r="B148" s="3169" t="s">
        <v>3864</v>
      </c>
      <c r="C148" s="3171"/>
      <c r="D148" s="3169" t="s">
        <v>3865</v>
      </c>
      <c r="E148" s="3168" t="s">
        <v>3428</v>
      </c>
      <c r="F148" s="3168" t="s">
        <v>3429</v>
      </c>
      <c r="G148" s="3170">
        <v>7</v>
      </c>
      <c r="H148" s="3168" t="s">
        <v>3866</v>
      </c>
      <c r="I148" s="3168" t="s">
        <v>3431</v>
      </c>
      <c r="J148" s="3170">
        <v>55.03</v>
      </c>
      <c r="K148" s="3168" t="s">
        <v>2810</v>
      </c>
      <c r="L148">
        <f ca="1">典型户型修正!S171</f>
        <v>53.059899999999999</v>
      </c>
      <c r="M148">
        <f ca="1">典型户型修正!T171</f>
        <v>2.7793000000000001</v>
      </c>
      <c r="N148">
        <f ca="1">典型户型修正!U171</f>
        <v>2.6499999999999999E-2</v>
      </c>
      <c r="O148">
        <f ca="1">典型户型修正!V171</f>
        <v>2.5266999999999999</v>
      </c>
      <c r="P148">
        <f ca="1">典型户型修正!W171</f>
        <v>5.3324999999999996</v>
      </c>
      <c r="Q148">
        <f ca="1">典型户型修正!X171</f>
        <v>47.727400000000003</v>
      </c>
    </row>
    <row r="149" spans="1:17" ht="28.8">
      <c r="A149" s="3170">
        <v>148</v>
      </c>
      <c r="B149" s="3169" t="s">
        <v>3867</v>
      </c>
      <c r="C149" s="3171"/>
      <c r="D149" s="3169" t="s">
        <v>3868</v>
      </c>
      <c r="E149" s="3168" t="s">
        <v>3428</v>
      </c>
      <c r="F149" s="3168" t="s">
        <v>3429</v>
      </c>
      <c r="G149" s="3170">
        <v>7</v>
      </c>
      <c r="H149" s="3168" t="s">
        <v>3869</v>
      </c>
      <c r="I149" s="3168" t="s">
        <v>3431</v>
      </c>
      <c r="J149" s="3170">
        <v>55.03</v>
      </c>
      <c r="K149" s="3168" t="s">
        <v>2810</v>
      </c>
      <c r="L149">
        <f ca="1">典型户型修正!S172</f>
        <v>53.059899999999999</v>
      </c>
      <c r="M149">
        <f ca="1">典型户型修正!T172</f>
        <v>2.7793000000000001</v>
      </c>
      <c r="N149">
        <f ca="1">典型户型修正!U172</f>
        <v>2.6499999999999999E-2</v>
      </c>
      <c r="O149">
        <f ca="1">典型户型修正!V172</f>
        <v>2.5266999999999999</v>
      </c>
      <c r="P149">
        <f ca="1">典型户型修正!W172</f>
        <v>5.3324999999999996</v>
      </c>
      <c r="Q149">
        <f ca="1">典型户型修正!X172</f>
        <v>47.727400000000003</v>
      </c>
    </row>
    <row r="150" spans="1:17" ht="28.8">
      <c r="A150" s="3170">
        <v>149</v>
      </c>
      <c r="B150" s="3169" t="s">
        <v>3870</v>
      </c>
      <c r="C150" s="3171"/>
      <c r="D150" s="3169" t="s">
        <v>3871</v>
      </c>
      <c r="E150" s="3168" t="s">
        <v>3428</v>
      </c>
      <c r="F150" s="3168" t="s">
        <v>3429</v>
      </c>
      <c r="G150" s="3170">
        <v>7</v>
      </c>
      <c r="H150" s="3168" t="s">
        <v>3872</v>
      </c>
      <c r="I150" s="3168" t="s">
        <v>3431</v>
      </c>
      <c r="J150" s="3170">
        <v>55.03</v>
      </c>
      <c r="K150" s="3168" t="s">
        <v>2810</v>
      </c>
      <c r="L150">
        <f ca="1">典型户型修正!S173</f>
        <v>53.059899999999999</v>
      </c>
      <c r="M150">
        <f ca="1">典型户型修正!T173</f>
        <v>2.7793000000000001</v>
      </c>
      <c r="N150">
        <f ca="1">典型户型修正!U173</f>
        <v>2.6499999999999999E-2</v>
      </c>
      <c r="O150">
        <f ca="1">典型户型修正!V173</f>
        <v>2.5266999999999999</v>
      </c>
      <c r="P150">
        <f ca="1">典型户型修正!W173</f>
        <v>5.3324999999999996</v>
      </c>
      <c r="Q150">
        <f ca="1">典型户型修正!X173</f>
        <v>47.727400000000003</v>
      </c>
    </row>
    <row r="151" spans="1:17" ht="28.8">
      <c r="A151" s="3170">
        <v>150</v>
      </c>
      <c r="B151" s="3169" t="s">
        <v>3873</v>
      </c>
      <c r="C151" s="3171"/>
      <c r="D151" s="3169" t="s">
        <v>3874</v>
      </c>
      <c r="E151" s="3168" t="s">
        <v>3428</v>
      </c>
      <c r="F151" s="3168" t="s">
        <v>3429</v>
      </c>
      <c r="G151" s="3170">
        <v>7</v>
      </c>
      <c r="H151" s="3168" t="s">
        <v>3875</v>
      </c>
      <c r="I151" s="3168" t="s">
        <v>3431</v>
      </c>
      <c r="J151" s="3170">
        <v>55.03</v>
      </c>
      <c r="K151" s="3168" t="s">
        <v>2810</v>
      </c>
      <c r="L151">
        <f ca="1">典型户型修正!S174</f>
        <v>53.059899999999999</v>
      </c>
      <c r="M151">
        <f ca="1">典型户型修正!T174</f>
        <v>2.7793000000000001</v>
      </c>
      <c r="N151">
        <f ca="1">典型户型修正!U174</f>
        <v>2.6499999999999999E-2</v>
      </c>
      <c r="O151">
        <f ca="1">典型户型修正!V174</f>
        <v>2.5266999999999999</v>
      </c>
      <c r="P151">
        <f ca="1">典型户型修正!W174</f>
        <v>5.3324999999999996</v>
      </c>
      <c r="Q151">
        <f ca="1">典型户型修正!X174</f>
        <v>47.727400000000003</v>
      </c>
    </row>
    <row r="152" spans="1:17" ht="28.8">
      <c r="A152" s="3170">
        <v>151</v>
      </c>
      <c r="B152" s="3169" t="s">
        <v>3876</v>
      </c>
      <c r="C152" s="3171"/>
      <c r="D152" s="3169" t="s">
        <v>3877</v>
      </c>
      <c r="E152" s="3168" t="s">
        <v>3428</v>
      </c>
      <c r="F152" s="3168" t="s">
        <v>3429</v>
      </c>
      <c r="G152" s="3170">
        <v>7</v>
      </c>
      <c r="H152" s="3168" t="s">
        <v>3878</v>
      </c>
      <c r="I152" s="3168" t="s">
        <v>3431</v>
      </c>
      <c r="J152" s="3170">
        <v>55.03</v>
      </c>
      <c r="K152" s="3168" t="s">
        <v>2810</v>
      </c>
      <c r="L152">
        <f ca="1">典型户型修正!S175</f>
        <v>53.059899999999999</v>
      </c>
      <c r="M152">
        <f ca="1">典型户型修正!T175</f>
        <v>2.7793000000000001</v>
      </c>
      <c r="N152">
        <f ca="1">典型户型修正!U175</f>
        <v>2.6499999999999999E-2</v>
      </c>
      <c r="O152">
        <f ca="1">典型户型修正!V175</f>
        <v>2.5266999999999999</v>
      </c>
      <c r="P152">
        <f ca="1">典型户型修正!W175</f>
        <v>5.3324999999999996</v>
      </c>
      <c r="Q152">
        <f ca="1">典型户型修正!X175</f>
        <v>47.727400000000003</v>
      </c>
    </row>
    <row r="153" spans="1:17" ht="28.8">
      <c r="A153" s="3170">
        <v>152</v>
      </c>
      <c r="B153" s="3169" t="s">
        <v>3879</v>
      </c>
      <c r="C153" s="3171"/>
      <c r="D153" s="3169" t="s">
        <v>3880</v>
      </c>
      <c r="E153" s="3168" t="s">
        <v>3428</v>
      </c>
      <c r="F153" s="3168" t="s">
        <v>3429</v>
      </c>
      <c r="G153" s="3170">
        <v>7</v>
      </c>
      <c r="H153" s="3168" t="s">
        <v>3881</v>
      </c>
      <c r="I153" s="3168" t="s">
        <v>3431</v>
      </c>
      <c r="J153" s="3170">
        <v>55.03</v>
      </c>
      <c r="K153" s="3168" t="s">
        <v>2810</v>
      </c>
      <c r="L153">
        <f ca="1">典型户型修正!S176</f>
        <v>53.059899999999999</v>
      </c>
      <c r="M153">
        <f ca="1">典型户型修正!T176</f>
        <v>2.7793000000000001</v>
      </c>
      <c r="N153">
        <f ca="1">典型户型修正!U176</f>
        <v>2.6499999999999999E-2</v>
      </c>
      <c r="O153">
        <f ca="1">典型户型修正!V176</f>
        <v>2.5266999999999999</v>
      </c>
      <c r="P153">
        <f ca="1">典型户型修正!W176</f>
        <v>5.3324999999999996</v>
      </c>
      <c r="Q153">
        <f ca="1">典型户型修正!X176</f>
        <v>47.727400000000003</v>
      </c>
    </row>
    <row r="154" spans="1:17" ht="28.8">
      <c r="A154" s="3170">
        <v>153</v>
      </c>
      <c r="B154" s="3169" t="s">
        <v>3882</v>
      </c>
      <c r="C154" s="3171"/>
      <c r="D154" s="3169" t="s">
        <v>3883</v>
      </c>
      <c r="E154" s="3168" t="s">
        <v>3428</v>
      </c>
      <c r="F154" s="3168" t="s">
        <v>3429</v>
      </c>
      <c r="G154" s="3170">
        <v>7</v>
      </c>
      <c r="H154" s="3168" t="s">
        <v>3884</v>
      </c>
      <c r="I154" s="3168" t="s">
        <v>3431</v>
      </c>
      <c r="J154" s="3170">
        <v>55.03</v>
      </c>
      <c r="K154" s="3168" t="s">
        <v>2810</v>
      </c>
      <c r="L154">
        <f ca="1">典型户型修正!S177</f>
        <v>53.059899999999999</v>
      </c>
      <c r="M154">
        <f ca="1">典型户型修正!T177</f>
        <v>2.7793000000000001</v>
      </c>
      <c r="N154">
        <f ca="1">典型户型修正!U177</f>
        <v>2.6499999999999999E-2</v>
      </c>
      <c r="O154">
        <f ca="1">典型户型修正!V177</f>
        <v>2.5266999999999999</v>
      </c>
      <c r="P154">
        <f ca="1">典型户型修正!W177</f>
        <v>5.3324999999999996</v>
      </c>
      <c r="Q154">
        <f ca="1">典型户型修正!X177</f>
        <v>47.727400000000003</v>
      </c>
    </row>
    <row r="155" spans="1:17" ht="28.8">
      <c r="A155" s="3170">
        <v>154</v>
      </c>
      <c r="B155" s="3169" t="s">
        <v>3885</v>
      </c>
      <c r="C155" s="3171"/>
      <c r="D155" s="3169" t="s">
        <v>3886</v>
      </c>
      <c r="E155" s="3168" t="s">
        <v>3428</v>
      </c>
      <c r="F155" s="3168" t="s">
        <v>3429</v>
      </c>
      <c r="G155" s="3170">
        <v>7</v>
      </c>
      <c r="H155" s="3168" t="s">
        <v>3887</v>
      </c>
      <c r="I155" s="3168" t="s">
        <v>3431</v>
      </c>
      <c r="J155" s="3170">
        <v>55.03</v>
      </c>
      <c r="K155" s="3168" t="s">
        <v>2810</v>
      </c>
      <c r="L155">
        <f ca="1">典型户型修正!S178</f>
        <v>53.059899999999999</v>
      </c>
      <c r="M155">
        <f ca="1">典型户型修正!T178</f>
        <v>2.7793000000000001</v>
      </c>
      <c r="N155">
        <f ca="1">典型户型修正!U178</f>
        <v>2.6499999999999999E-2</v>
      </c>
      <c r="O155">
        <f ca="1">典型户型修正!V178</f>
        <v>2.5266999999999999</v>
      </c>
      <c r="P155">
        <f ca="1">典型户型修正!W178</f>
        <v>5.3324999999999996</v>
      </c>
      <c r="Q155">
        <f ca="1">典型户型修正!X178</f>
        <v>47.727400000000003</v>
      </c>
    </row>
    <row r="156" spans="1:17" ht="28.8">
      <c r="A156" s="3170">
        <v>155</v>
      </c>
      <c r="B156" s="3169" t="s">
        <v>3888</v>
      </c>
      <c r="C156" s="3171"/>
      <c r="D156" s="3169" t="s">
        <v>3889</v>
      </c>
      <c r="E156" s="3168" t="s">
        <v>3428</v>
      </c>
      <c r="F156" s="3168" t="s">
        <v>3429</v>
      </c>
      <c r="G156" s="3170">
        <v>7</v>
      </c>
      <c r="H156" s="3168" t="s">
        <v>3890</v>
      </c>
      <c r="I156" s="3168" t="s">
        <v>3431</v>
      </c>
      <c r="J156" s="3170">
        <v>62.71</v>
      </c>
      <c r="K156" s="3168" t="s">
        <v>2810</v>
      </c>
      <c r="L156">
        <f ca="1">典型户型修正!S179</f>
        <v>60.465000000000003</v>
      </c>
      <c r="M156">
        <f ca="1">典型户型修正!T179</f>
        <v>3.1671999999999998</v>
      </c>
      <c r="N156">
        <f ca="1">典型户型修正!U179</f>
        <v>3.0200000000000001E-2</v>
      </c>
      <c r="O156">
        <f ca="1">典型户型修正!V179</f>
        <v>2.8793000000000002</v>
      </c>
      <c r="P156">
        <f ca="1">典型户型修正!W179</f>
        <v>6.0766999999999998</v>
      </c>
      <c r="Q156">
        <f ca="1">典型户型修正!X179</f>
        <v>54.388300000000001</v>
      </c>
    </row>
    <row r="157" spans="1:17" ht="28.8">
      <c r="A157" s="3170">
        <v>156</v>
      </c>
      <c r="B157" s="3169" t="s">
        <v>3891</v>
      </c>
      <c r="C157" s="3171"/>
      <c r="D157" s="3169" t="s">
        <v>3892</v>
      </c>
      <c r="E157" s="3168" t="s">
        <v>3428</v>
      </c>
      <c r="F157" s="3168" t="s">
        <v>3429</v>
      </c>
      <c r="G157" s="3170">
        <v>7</v>
      </c>
      <c r="H157" s="3168" t="s">
        <v>3893</v>
      </c>
      <c r="I157" s="3168" t="s">
        <v>3431</v>
      </c>
      <c r="J157" s="3170">
        <v>74.14</v>
      </c>
      <c r="K157" s="3168" t="s">
        <v>2810</v>
      </c>
      <c r="L157">
        <f ca="1">典型户型修正!S180</f>
        <v>71.485799999999998</v>
      </c>
      <c r="M157">
        <f ca="1">典型户型修正!T180</f>
        <v>3.7444999999999999</v>
      </c>
      <c r="N157">
        <f ca="1">典型户型修正!U180</f>
        <v>3.5700000000000003E-2</v>
      </c>
      <c r="O157">
        <f ca="1">典型户型修正!V180</f>
        <v>3.4041000000000001</v>
      </c>
      <c r="P157">
        <f ca="1">典型户型修正!W180</f>
        <v>7.1843000000000004</v>
      </c>
      <c r="Q157">
        <f ca="1">典型户型修正!X180</f>
        <v>64.301500000000004</v>
      </c>
    </row>
    <row r="158" spans="1:17">
      <c r="A158" s="3170"/>
      <c r="B158" s="3171"/>
      <c r="C158" s="3171"/>
      <c r="D158" s="3171"/>
      <c r="E158" s="3170"/>
      <c r="F158" s="3170"/>
      <c r="G158" s="3170"/>
      <c r="H158" s="3170"/>
      <c r="I158" s="3168" t="s">
        <v>3895</v>
      </c>
      <c r="J158" s="3170">
        <f>SUM(J2:J157)</f>
        <v>12035.710000000005</v>
      </c>
      <c r="K158" s="3170"/>
      <c r="L158">
        <f ca="1">SUM(L2:L157)</f>
        <v>11489.858200000001</v>
      </c>
      <c r="M158">
        <f t="shared" ref="M158:Q158" ca="1" si="0">SUM(M2:M157)</f>
        <v>601.84850000000029</v>
      </c>
      <c r="N158">
        <f t="shared" ca="1" si="0"/>
        <v>5.7444000000000077</v>
      </c>
      <c r="O158">
        <f t="shared" ca="1" si="0"/>
        <v>547.13660000000004</v>
      </c>
      <c r="P158">
        <f t="shared" ca="1" si="0"/>
        <v>1154.7295000000001</v>
      </c>
      <c r="Q158">
        <f t="shared" ca="1" si="0"/>
        <v>10335.128699999996</v>
      </c>
    </row>
  </sheetData>
  <autoFilter ref="A1:K158" xr:uid="{67E9A38E-3637-47D7-9EF3-65092C865013}"/>
  <phoneticPr fontId="135" type="noConversion"/>
  <pageMargins left="0.7" right="0.7" top="0.75" bottom="0.75" header="0.3" footer="0.3"/>
  <pageSetup paperSize="9" orientation="landscape"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3AEFF-43C8-4B3B-A027-042E968311FB}">
  <sheetPr>
    <tabColor rgb="FF7030A0"/>
  </sheetPr>
  <dimension ref="A27:O89"/>
  <sheetViews>
    <sheetView workbookViewId="0">
      <selection activeCell="P20" sqref="P20"/>
    </sheetView>
  </sheetViews>
  <sheetFormatPr defaultRowHeight="14.4"/>
  <cols>
    <col min="1" max="1" width="14.5546875" customWidth="1"/>
  </cols>
  <sheetData>
    <row r="27" spans="1:15">
      <c r="A27" s="3176" t="s">
        <v>3956</v>
      </c>
    </row>
    <row r="28" spans="1:15" s="1156" customFormat="1">
      <c r="A28" s="1156" t="s">
        <v>3934</v>
      </c>
      <c r="B28" s="1156" t="s">
        <v>3935</v>
      </c>
      <c r="C28" s="1156" t="s">
        <v>3936</v>
      </c>
      <c r="D28" s="1156" t="s">
        <v>3937</v>
      </c>
      <c r="E28" s="1156" t="s">
        <v>3938</v>
      </c>
      <c r="F28" s="1156" t="s">
        <v>3939</v>
      </c>
      <c r="G28" s="1156" t="s">
        <v>3940</v>
      </c>
      <c r="H28" s="1156" t="s">
        <v>3941</v>
      </c>
      <c r="I28" s="1156" t="s">
        <v>3942</v>
      </c>
      <c r="J28" s="1156" t="s">
        <v>3943</v>
      </c>
      <c r="K28" s="1156" t="s">
        <v>3944</v>
      </c>
      <c r="L28" s="1156" t="s">
        <v>3945</v>
      </c>
      <c r="M28" s="1156" t="s">
        <v>3946</v>
      </c>
      <c r="N28" s="1156" t="s">
        <v>3947</v>
      </c>
      <c r="O28" s="1156" t="s">
        <v>3948</v>
      </c>
    </row>
    <row r="29" spans="1:15" s="1156" customFormat="1">
      <c r="A29" s="3175">
        <v>45864.333831018521</v>
      </c>
      <c r="B29" s="1156" t="s">
        <v>3949</v>
      </c>
      <c r="C29" s="1156" t="s">
        <v>3949</v>
      </c>
      <c r="D29" s="1156" t="s">
        <v>3950</v>
      </c>
      <c r="E29" s="1156">
        <v>1</v>
      </c>
      <c r="F29" s="1156">
        <v>6</v>
      </c>
      <c r="G29" s="1156">
        <v>5</v>
      </c>
      <c r="H29" s="1156">
        <v>502</v>
      </c>
      <c r="I29" s="1156" t="s">
        <v>3951</v>
      </c>
      <c r="J29" s="1156" t="s">
        <v>21</v>
      </c>
      <c r="K29" s="1156" t="s">
        <v>3952</v>
      </c>
      <c r="L29" s="1156">
        <v>1</v>
      </c>
      <c r="M29" s="1156">
        <v>107.02</v>
      </c>
      <c r="N29" s="1156">
        <v>134.12</v>
      </c>
      <c r="O29" s="1156">
        <v>12532</v>
      </c>
    </row>
    <row r="30" spans="1:15" s="1156" customFormat="1">
      <c r="A30" s="3175">
        <v>45855.333831018521</v>
      </c>
      <c r="B30" s="1156" t="s">
        <v>3949</v>
      </c>
      <c r="C30" s="1156" t="s">
        <v>3949</v>
      </c>
      <c r="D30" s="1156" t="s">
        <v>3953</v>
      </c>
      <c r="E30" s="1156">
        <v>1</v>
      </c>
      <c r="F30" s="1156">
        <v>6</v>
      </c>
      <c r="G30" s="1156">
        <v>4</v>
      </c>
      <c r="H30" s="1156">
        <v>416</v>
      </c>
      <c r="I30" s="1156" t="s">
        <v>3954</v>
      </c>
      <c r="J30" s="1156" t="s">
        <v>21</v>
      </c>
      <c r="K30" s="1156" t="s">
        <v>3952</v>
      </c>
      <c r="L30" s="1156">
        <v>1</v>
      </c>
      <c r="M30" s="1156">
        <v>117.01</v>
      </c>
      <c r="N30" s="1156">
        <v>128.71</v>
      </c>
      <c r="O30" s="1156">
        <v>11000</v>
      </c>
    </row>
    <row r="31" spans="1:15" s="1156" customFormat="1">
      <c r="A31" s="3175">
        <v>45855.333831018521</v>
      </c>
      <c r="B31" s="1156" t="s">
        <v>3949</v>
      </c>
      <c r="C31" s="1156" t="s">
        <v>3949</v>
      </c>
      <c r="D31" s="1156" t="s">
        <v>3953</v>
      </c>
      <c r="E31" s="1156">
        <v>1</v>
      </c>
      <c r="F31" s="1156">
        <v>6</v>
      </c>
      <c r="G31" s="1156">
        <v>4</v>
      </c>
      <c r="H31" s="1156">
        <v>414</v>
      </c>
      <c r="I31" s="1156" t="s">
        <v>3954</v>
      </c>
      <c r="J31" s="1156" t="s">
        <v>21</v>
      </c>
      <c r="K31" s="1156" t="s">
        <v>3952</v>
      </c>
      <c r="L31" s="1156">
        <v>1</v>
      </c>
      <c r="M31" s="1156">
        <v>86.4</v>
      </c>
      <c r="N31" s="1156">
        <v>95.04</v>
      </c>
      <c r="O31" s="1156">
        <v>11000</v>
      </c>
    </row>
    <row r="32" spans="1:15" s="1156" customFormat="1">
      <c r="A32" s="3175">
        <v>45855.333831018521</v>
      </c>
      <c r="B32" s="1156" t="s">
        <v>3949</v>
      </c>
      <c r="C32" s="1156" t="s">
        <v>3949</v>
      </c>
      <c r="D32" s="1156" t="s">
        <v>3953</v>
      </c>
      <c r="E32" s="1156">
        <v>1</v>
      </c>
      <c r="F32" s="1156">
        <v>6</v>
      </c>
      <c r="G32" s="1156">
        <v>4</v>
      </c>
      <c r="H32" s="1156">
        <v>413</v>
      </c>
      <c r="I32" s="1156" t="s">
        <v>3954</v>
      </c>
      <c r="J32" s="1156" t="s">
        <v>21</v>
      </c>
      <c r="K32" s="1156" t="s">
        <v>3952</v>
      </c>
      <c r="L32" s="1156">
        <v>1</v>
      </c>
      <c r="M32" s="1156">
        <v>67.87</v>
      </c>
      <c r="N32" s="1156">
        <v>74.66</v>
      </c>
      <c r="O32" s="1156">
        <v>11000</v>
      </c>
    </row>
    <row r="33" spans="1:15" s="1156" customFormat="1">
      <c r="A33" s="3175">
        <v>45855.333831018521</v>
      </c>
      <c r="B33" s="1156" t="s">
        <v>3949</v>
      </c>
      <c r="C33" s="1156" t="s">
        <v>3949</v>
      </c>
      <c r="D33" s="1156" t="s">
        <v>3953</v>
      </c>
      <c r="E33" s="1156">
        <v>1</v>
      </c>
      <c r="F33" s="1156">
        <v>6</v>
      </c>
      <c r="G33" s="1156">
        <v>4</v>
      </c>
      <c r="H33" s="1156">
        <v>410</v>
      </c>
      <c r="I33" s="1156" t="s">
        <v>3954</v>
      </c>
      <c r="J33" s="1156" t="s">
        <v>21</v>
      </c>
      <c r="K33" s="1156" t="s">
        <v>3952</v>
      </c>
      <c r="L33" s="1156">
        <v>1</v>
      </c>
      <c r="M33" s="1156">
        <v>97</v>
      </c>
      <c r="N33" s="1156">
        <v>106.7</v>
      </c>
      <c r="O33" s="1156">
        <v>11000</v>
      </c>
    </row>
    <row r="34" spans="1:15" s="1156" customFormat="1">
      <c r="A34" s="3175">
        <v>45855.333831018521</v>
      </c>
      <c r="B34" s="1156" t="s">
        <v>3949</v>
      </c>
      <c r="C34" s="1156" t="s">
        <v>3949</v>
      </c>
      <c r="D34" s="1156" t="s">
        <v>3953</v>
      </c>
      <c r="E34" s="1156">
        <v>1</v>
      </c>
      <c r="F34" s="1156">
        <v>6</v>
      </c>
      <c r="G34" s="1156">
        <v>4</v>
      </c>
      <c r="H34" s="1156">
        <v>415</v>
      </c>
      <c r="I34" s="1156" t="s">
        <v>3954</v>
      </c>
      <c r="J34" s="1156" t="s">
        <v>21</v>
      </c>
      <c r="K34" s="1156" t="s">
        <v>3952</v>
      </c>
      <c r="L34" s="1156">
        <v>1</v>
      </c>
      <c r="M34" s="1156">
        <v>138.21</v>
      </c>
      <c r="N34" s="1156">
        <v>152.03</v>
      </c>
      <c r="O34" s="1156">
        <v>11000</v>
      </c>
    </row>
    <row r="35" spans="1:15" s="1156" customFormat="1">
      <c r="A35" s="3175">
        <v>45855.333831018521</v>
      </c>
      <c r="B35" s="1156" t="s">
        <v>3949</v>
      </c>
      <c r="C35" s="1156" t="s">
        <v>3949</v>
      </c>
      <c r="D35" s="1156" t="s">
        <v>3953</v>
      </c>
      <c r="E35" s="1156">
        <v>1</v>
      </c>
      <c r="F35" s="1156">
        <v>6</v>
      </c>
      <c r="G35" s="1156">
        <v>4</v>
      </c>
      <c r="H35" s="1156">
        <v>411</v>
      </c>
      <c r="I35" s="1156" t="s">
        <v>3954</v>
      </c>
      <c r="J35" s="1156" t="s">
        <v>21</v>
      </c>
      <c r="K35" s="1156" t="s">
        <v>3952</v>
      </c>
      <c r="L35" s="1156">
        <v>1</v>
      </c>
      <c r="M35" s="1156">
        <v>68.8</v>
      </c>
      <c r="N35" s="1156">
        <v>75.680000000000007</v>
      </c>
      <c r="O35" s="1156">
        <v>11000</v>
      </c>
    </row>
    <row r="36" spans="1:15" s="1156" customFormat="1">
      <c r="A36" s="3175">
        <v>45855.333831018521</v>
      </c>
      <c r="B36" s="1156" t="s">
        <v>3949</v>
      </c>
      <c r="C36" s="1156" t="s">
        <v>3949</v>
      </c>
      <c r="D36" s="1156" t="s">
        <v>3953</v>
      </c>
      <c r="E36" s="1156">
        <v>1</v>
      </c>
      <c r="F36" s="1156">
        <v>6</v>
      </c>
      <c r="G36" s="1156">
        <v>4</v>
      </c>
      <c r="H36" s="1156">
        <v>412</v>
      </c>
      <c r="I36" s="1156" t="s">
        <v>3954</v>
      </c>
      <c r="J36" s="1156" t="s">
        <v>21</v>
      </c>
      <c r="K36" s="1156" t="s">
        <v>3952</v>
      </c>
      <c r="L36" s="1156">
        <v>1</v>
      </c>
      <c r="M36" s="1156">
        <v>114.54</v>
      </c>
      <c r="N36" s="1156">
        <v>125.99</v>
      </c>
      <c r="O36" s="1156">
        <v>11000</v>
      </c>
    </row>
    <row r="37" spans="1:15" s="1156" customFormat="1">
      <c r="A37" s="3175">
        <v>45850.333831018521</v>
      </c>
      <c r="B37" s="1156" t="s">
        <v>3949</v>
      </c>
      <c r="C37" s="1156" t="s">
        <v>3949</v>
      </c>
      <c r="D37" s="1156" t="s">
        <v>3950</v>
      </c>
      <c r="E37" s="1156">
        <v>1</v>
      </c>
      <c r="F37" s="1156">
        <v>6</v>
      </c>
      <c r="G37" s="1156">
        <v>5</v>
      </c>
      <c r="H37" s="1156">
        <v>501</v>
      </c>
      <c r="I37" s="1156" t="s">
        <v>3951</v>
      </c>
      <c r="J37" s="1156" t="s">
        <v>21</v>
      </c>
      <c r="K37" s="1156" t="s">
        <v>3952</v>
      </c>
      <c r="L37" s="1156">
        <v>1</v>
      </c>
      <c r="M37" s="1156">
        <v>74.11</v>
      </c>
      <c r="N37" s="1156">
        <v>84.32</v>
      </c>
      <c r="O37" s="1156">
        <v>11378</v>
      </c>
    </row>
    <row r="38" spans="1:15" s="1156" customFormat="1">
      <c r="A38" s="3175">
        <v>45850.333831018521</v>
      </c>
      <c r="B38" s="1156" t="s">
        <v>3949</v>
      </c>
      <c r="C38" s="1156" t="s">
        <v>3949</v>
      </c>
      <c r="D38" s="1156" t="s">
        <v>3950</v>
      </c>
      <c r="E38" s="1156">
        <v>1</v>
      </c>
      <c r="F38" s="1156">
        <v>6</v>
      </c>
      <c r="G38" s="1156">
        <v>5</v>
      </c>
      <c r="H38" s="1156">
        <v>504</v>
      </c>
      <c r="I38" s="1156" t="s">
        <v>3951</v>
      </c>
      <c r="J38" s="1156" t="s">
        <v>21</v>
      </c>
      <c r="K38" s="1156" t="s">
        <v>3952</v>
      </c>
      <c r="L38" s="1156">
        <v>1</v>
      </c>
      <c r="M38" s="1156">
        <v>96.51</v>
      </c>
      <c r="N38" s="1156">
        <v>109.81</v>
      </c>
      <c r="O38" s="1156">
        <v>11378</v>
      </c>
    </row>
    <row r="39" spans="1:15" s="1156" customFormat="1">
      <c r="A39" s="3175">
        <v>45850.333831018521</v>
      </c>
      <c r="B39" s="1156" t="s">
        <v>3949</v>
      </c>
      <c r="C39" s="1156" t="s">
        <v>3949</v>
      </c>
      <c r="D39" s="1156" t="s">
        <v>3950</v>
      </c>
      <c r="E39" s="1156">
        <v>1</v>
      </c>
      <c r="F39" s="1156">
        <v>6</v>
      </c>
      <c r="G39" s="1156">
        <v>5</v>
      </c>
      <c r="H39" s="1156">
        <v>503</v>
      </c>
      <c r="I39" s="1156" t="s">
        <v>3951</v>
      </c>
      <c r="J39" s="1156" t="s">
        <v>21</v>
      </c>
      <c r="K39" s="1156" t="s">
        <v>3952</v>
      </c>
      <c r="L39" s="1156">
        <v>1</v>
      </c>
      <c r="M39" s="1156">
        <v>74.400000000000006</v>
      </c>
      <c r="N39" s="1156">
        <v>84.65</v>
      </c>
      <c r="O39" s="1156">
        <v>11378</v>
      </c>
    </row>
    <row r="40" spans="1:15" s="1156" customFormat="1">
      <c r="A40" s="3175">
        <v>45850.333831018521</v>
      </c>
      <c r="B40" s="1156" t="s">
        <v>3949</v>
      </c>
      <c r="C40" s="1156" t="s">
        <v>3949</v>
      </c>
      <c r="D40" s="1156" t="s">
        <v>3950</v>
      </c>
      <c r="E40" s="1156">
        <v>1</v>
      </c>
      <c r="F40" s="1156">
        <v>6</v>
      </c>
      <c r="G40" s="1156">
        <v>5</v>
      </c>
      <c r="H40" s="1156">
        <v>505</v>
      </c>
      <c r="I40" s="1156" t="s">
        <v>3951</v>
      </c>
      <c r="J40" s="1156" t="s">
        <v>21</v>
      </c>
      <c r="K40" s="1156" t="s">
        <v>3952</v>
      </c>
      <c r="L40" s="1156">
        <v>1</v>
      </c>
      <c r="M40" s="1156">
        <v>91.42</v>
      </c>
      <c r="N40" s="1156">
        <v>104.02</v>
      </c>
      <c r="O40" s="1156">
        <v>11378</v>
      </c>
    </row>
    <row r="41" spans="1:15" s="1156" customFormat="1">
      <c r="A41" s="3175">
        <v>45850.333831018521</v>
      </c>
      <c r="B41" s="1156" t="s">
        <v>3949</v>
      </c>
      <c r="C41" s="1156" t="s">
        <v>3949</v>
      </c>
      <c r="D41" s="1156" t="s">
        <v>3950</v>
      </c>
      <c r="E41" s="1156">
        <v>1</v>
      </c>
      <c r="F41" s="1156">
        <v>6</v>
      </c>
      <c r="G41" s="1156">
        <v>5</v>
      </c>
      <c r="H41" s="1156">
        <v>506</v>
      </c>
      <c r="I41" s="1156" t="s">
        <v>3951</v>
      </c>
      <c r="J41" s="1156" t="s">
        <v>21</v>
      </c>
      <c r="K41" s="1156" t="s">
        <v>3952</v>
      </c>
      <c r="L41" s="1156">
        <v>1</v>
      </c>
      <c r="M41" s="1156">
        <v>69.709999999999994</v>
      </c>
      <c r="N41" s="1156">
        <v>79.319999999999993</v>
      </c>
      <c r="O41" s="1156">
        <v>11378</v>
      </c>
    </row>
    <row r="42" spans="1:15" s="1156" customFormat="1">
      <c r="A42" s="3175">
        <v>45828.333831018521</v>
      </c>
      <c r="B42" s="1156" t="s">
        <v>3949</v>
      </c>
      <c r="C42" s="1156" t="s">
        <v>3949</v>
      </c>
      <c r="D42" s="1156" t="s">
        <v>3950</v>
      </c>
      <c r="E42" s="1156">
        <v>1</v>
      </c>
      <c r="F42" s="1156">
        <v>6</v>
      </c>
      <c r="G42" s="1156">
        <v>3</v>
      </c>
      <c r="H42" s="1156">
        <v>304</v>
      </c>
      <c r="I42" s="1156" t="s">
        <v>3955</v>
      </c>
      <c r="J42" s="1156" t="s">
        <v>21</v>
      </c>
      <c r="K42" s="1156" t="s">
        <v>3952</v>
      </c>
      <c r="L42" s="1156">
        <v>1</v>
      </c>
      <c r="M42" s="1156">
        <v>109</v>
      </c>
      <c r="N42" s="1156">
        <v>124.02</v>
      </c>
      <c r="O42" s="1156">
        <v>11378</v>
      </c>
    </row>
    <row r="43" spans="1:15" s="1156" customFormat="1">
      <c r="A43" s="3175">
        <v>45828.333831018521</v>
      </c>
      <c r="B43" s="1156" t="s">
        <v>3949</v>
      </c>
      <c r="C43" s="1156" t="s">
        <v>3949</v>
      </c>
      <c r="D43" s="1156" t="s">
        <v>3950</v>
      </c>
      <c r="E43" s="1156">
        <v>1</v>
      </c>
      <c r="F43" s="1156">
        <v>6</v>
      </c>
      <c r="G43" s="1156">
        <v>3</v>
      </c>
      <c r="H43" s="1156">
        <v>309</v>
      </c>
      <c r="I43" s="1156" t="s">
        <v>3955</v>
      </c>
      <c r="J43" s="1156" t="s">
        <v>21</v>
      </c>
      <c r="K43" s="1156" t="s">
        <v>3952</v>
      </c>
      <c r="L43" s="1156">
        <v>1</v>
      </c>
      <c r="M43" s="1156">
        <v>75.069999999999993</v>
      </c>
      <c r="N43" s="1156">
        <v>85.41</v>
      </c>
      <c r="O43" s="1156">
        <v>11378</v>
      </c>
    </row>
    <row r="44" spans="1:15" s="1156" customFormat="1">
      <c r="A44" s="3175">
        <v>45828.333831018521</v>
      </c>
      <c r="B44" s="1156" t="s">
        <v>3949</v>
      </c>
      <c r="C44" s="1156" t="s">
        <v>3949</v>
      </c>
      <c r="D44" s="1156" t="s">
        <v>3950</v>
      </c>
      <c r="E44" s="1156">
        <v>1</v>
      </c>
      <c r="F44" s="1156">
        <v>6</v>
      </c>
      <c r="G44" s="1156">
        <v>4</v>
      </c>
      <c r="H44" s="1156">
        <v>403</v>
      </c>
      <c r="I44" s="1156" t="s">
        <v>3955</v>
      </c>
      <c r="J44" s="1156" t="s">
        <v>21</v>
      </c>
      <c r="K44" s="1156" t="s">
        <v>3952</v>
      </c>
      <c r="L44" s="1156">
        <v>1</v>
      </c>
      <c r="M44" s="1156">
        <v>92.66</v>
      </c>
      <c r="N44" s="1156">
        <v>105.43</v>
      </c>
      <c r="O44" s="1156">
        <v>11378</v>
      </c>
    </row>
    <row r="45" spans="1:15" s="1156" customFormat="1">
      <c r="A45" s="3175">
        <v>45828.333831018521</v>
      </c>
      <c r="B45" s="1156" t="s">
        <v>3949</v>
      </c>
      <c r="C45" s="1156" t="s">
        <v>3949</v>
      </c>
      <c r="D45" s="1156" t="s">
        <v>3950</v>
      </c>
      <c r="E45" s="1156">
        <v>1</v>
      </c>
      <c r="F45" s="1156">
        <v>6</v>
      </c>
      <c r="G45" s="1156">
        <v>5</v>
      </c>
      <c r="H45" s="1156">
        <v>506</v>
      </c>
      <c r="I45" s="1156" t="s">
        <v>3955</v>
      </c>
      <c r="J45" s="1156" t="s">
        <v>21</v>
      </c>
      <c r="K45" s="1156" t="s">
        <v>3952</v>
      </c>
      <c r="L45" s="1156">
        <v>1</v>
      </c>
      <c r="M45" s="1156">
        <v>80.12</v>
      </c>
      <c r="N45" s="1156">
        <v>91.16</v>
      </c>
      <c r="O45" s="1156">
        <v>11378</v>
      </c>
    </row>
    <row r="46" spans="1:15" s="1156" customFormat="1">
      <c r="A46" s="3175">
        <v>45828.333831018521</v>
      </c>
      <c r="B46" s="1156" t="s">
        <v>3949</v>
      </c>
      <c r="C46" s="1156" t="s">
        <v>3949</v>
      </c>
      <c r="D46" s="1156" t="s">
        <v>3950</v>
      </c>
      <c r="E46" s="1156">
        <v>1</v>
      </c>
      <c r="F46" s="1156">
        <v>6</v>
      </c>
      <c r="G46" s="1156">
        <v>4</v>
      </c>
      <c r="H46" s="1156">
        <v>411</v>
      </c>
      <c r="I46" s="1156" t="s">
        <v>3955</v>
      </c>
      <c r="J46" s="1156" t="s">
        <v>21</v>
      </c>
      <c r="K46" s="1156" t="s">
        <v>3952</v>
      </c>
      <c r="L46" s="1156">
        <v>1</v>
      </c>
      <c r="M46" s="1156">
        <v>111.63</v>
      </c>
      <c r="N46" s="1156">
        <v>127.01</v>
      </c>
      <c r="O46" s="1156">
        <v>11378</v>
      </c>
    </row>
    <row r="47" spans="1:15" s="1156" customFormat="1">
      <c r="A47" s="3175">
        <v>45828.333831018521</v>
      </c>
      <c r="B47" s="1156" t="s">
        <v>3949</v>
      </c>
      <c r="C47" s="1156" t="s">
        <v>3949</v>
      </c>
      <c r="D47" s="1156" t="s">
        <v>3950</v>
      </c>
      <c r="E47" s="1156">
        <v>1</v>
      </c>
      <c r="F47" s="1156">
        <v>6</v>
      </c>
      <c r="G47" s="1156">
        <v>4</v>
      </c>
      <c r="H47" s="1156">
        <v>406</v>
      </c>
      <c r="I47" s="1156" t="s">
        <v>3955</v>
      </c>
      <c r="J47" s="1156" t="s">
        <v>21</v>
      </c>
      <c r="K47" s="1156" t="s">
        <v>3952</v>
      </c>
      <c r="L47" s="1156">
        <v>1</v>
      </c>
      <c r="M47" s="1156">
        <v>80.12</v>
      </c>
      <c r="N47" s="1156">
        <v>91.16</v>
      </c>
      <c r="O47" s="1156">
        <v>11378</v>
      </c>
    </row>
    <row r="48" spans="1:15" s="1156" customFormat="1">
      <c r="A48" s="3175">
        <v>45828.333831018521</v>
      </c>
      <c r="B48" s="1156" t="s">
        <v>3949</v>
      </c>
      <c r="C48" s="1156" t="s">
        <v>3949</v>
      </c>
      <c r="D48" s="1156" t="s">
        <v>3950</v>
      </c>
      <c r="E48" s="1156">
        <v>1</v>
      </c>
      <c r="F48" s="1156">
        <v>6</v>
      </c>
      <c r="G48" s="1156">
        <v>5</v>
      </c>
      <c r="H48" s="1156">
        <v>508</v>
      </c>
      <c r="I48" s="1156" t="s">
        <v>3955</v>
      </c>
      <c r="J48" s="1156" t="s">
        <v>21</v>
      </c>
      <c r="K48" s="1156" t="s">
        <v>3952</v>
      </c>
      <c r="L48" s="1156">
        <v>1</v>
      </c>
      <c r="M48" s="1156">
        <v>100.39</v>
      </c>
      <c r="N48" s="1156">
        <v>114.22</v>
      </c>
      <c r="O48" s="1156">
        <v>11378</v>
      </c>
    </row>
    <row r="49" spans="1:15" s="1156" customFormat="1">
      <c r="A49" s="3175">
        <v>45828.333831018521</v>
      </c>
      <c r="B49" s="1156" t="s">
        <v>3949</v>
      </c>
      <c r="C49" s="1156" t="s">
        <v>3949</v>
      </c>
      <c r="D49" s="1156" t="s">
        <v>3950</v>
      </c>
      <c r="E49" s="1156">
        <v>1</v>
      </c>
      <c r="F49" s="1156">
        <v>6</v>
      </c>
      <c r="G49" s="1156">
        <v>5</v>
      </c>
      <c r="H49" s="1156">
        <v>507</v>
      </c>
      <c r="I49" s="1156" t="s">
        <v>3955</v>
      </c>
      <c r="J49" s="1156" t="s">
        <v>21</v>
      </c>
      <c r="K49" s="1156" t="s">
        <v>3952</v>
      </c>
      <c r="L49" s="1156">
        <v>1</v>
      </c>
      <c r="M49" s="1156">
        <v>43.76</v>
      </c>
      <c r="N49" s="1156">
        <v>49.79</v>
      </c>
      <c r="O49" s="1156">
        <v>11378</v>
      </c>
    </row>
    <row r="50" spans="1:15" s="1156" customFormat="1">
      <c r="A50" s="3175">
        <v>45828.333831018521</v>
      </c>
      <c r="B50" s="1156" t="s">
        <v>3949</v>
      </c>
      <c r="C50" s="1156" t="s">
        <v>3949</v>
      </c>
      <c r="D50" s="1156" t="s">
        <v>3950</v>
      </c>
      <c r="E50" s="1156">
        <v>1</v>
      </c>
      <c r="F50" s="1156">
        <v>6</v>
      </c>
      <c r="G50" s="1156">
        <v>4</v>
      </c>
      <c r="H50" s="1156">
        <v>404</v>
      </c>
      <c r="I50" s="1156" t="s">
        <v>3955</v>
      </c>
      <c r="J50" s="1156" t="s">
        <v>21</v>
      </c>
      <c r="K50" s="1156" t="s">
        <v>3952</v>
      </c>
      <c r="L50" s="1156">
        <v>1</v>
      </c>
      <c r="M50" s="1156">
        <v>109</v>
      </c>
      <c r="N50" s="1156">
        <v>124.02</v>
      </c>
      <c r="O50" s="1156">
        <v>11378</v>
      </c>
    </row>
    <row r="51" spans="1:15" s="1156" customFormat="1">
      <c r="A51" s="3175">
        <v>45828.333831018521</v>
      </c>
      <c r="B51" s="1156" t="s">
        <v>3949</v>
      </c>
      <c r="C51" s="1156" t="s">
        <v>3949</v>
      </c>
      <c r="D51" s="1156" t="s">
        <v>3950</v>
      </c>
      <c r="E51" s="1156">
        <v>1</v>
      </c>
      <c r="F51" s="1156">
        <v>6</v>
      </c>
      <c r="G51" s="1156">
        <v>6</v>
      </c>
      <c r="H51" s="1156">
        <v>601</v>
      </c>
      <c r="I51" s="1156" t="s">
        <v>3955</v>
      </c>
      <c r="J51" s="1156" t="s">
        <v>21</v>
      </c>
      <c r="K51" s="1156" t="s">
        <v>3952</v>
      </c>
      <c r="L51" s="1156">
        <v>1</v>
      </c>
      <c r="M51" s="1156">
        <v>90.62</v>
      </c>
      <c r="N51" s="1156">
        <v>103.11</v>
      </c>
      <c r="O51" s="1156">
        <v>11378</v>
      </c>
    </row>
    <row r="52" spans="1:15" s="1156" customFormat="1">
      <c r="A52" s="3175">
        <v>45828.333831018521</v>
      </c>
      <c r="B52" s="1156" t="s">
        <v>3949</v>
      </c>
      <c r="C52" s="1156" t="s">
        <v>3949</v>
      </c>
      <c r="D52" s="1156" t="s">
        <v>3950</v>
      </c>
      <c r="E52" s="1156">
        <v>1</v>
      </c>
      <c r="F52" s="1156">
        <v>6</v>
      </c>
      <c r="G52" s="1156">
        <v>4</v>
      </c>
      <c r="H52" s="1156">
        <v>401</v>
      </c>
      <c r="I52" s="1156" t="s">
        <v>3955</v>
      </c>
      <c r="J52" s="1156" t="s">
        <v>21</v>
      </c>
      <c r="K52" s="1156" t="s">
        <v>3952</v>
      </c>
      <c r="L52" s="1156">
        <v>1</v>
      </c>
      <c r="M52" s="1156">
        <v>90.62</v>
      </c>
      <c r="N52" s="1156">
        <v>103.11</v>
      </c>
      <c r="O52" s="1156">
        <v>11378</v>
      </c>
    </row>
    <row r="53" spans="1:15" s="1156" customFormat="1">
      <c r="A53" s="3175">
        <v>45828.333831018521</v>
      </c>
      <c r="B53" s="1156" t="s">
        <v>3949</v>
      </c>
      <c r="C53" s="1156" t="s">
        <v>3949</v>
      </c>
      <c r="D53" s="1156" t="s">
        <v>3950</v>
      </c>
      <c r="E53" s="1156">
        <v>1</v>
      </c>
      <c r="F53" s="1156">
        <v>6</v>
      </c>
      <c r="G53" s="1156">
        <v>6</v>
      </c>
      <c r="H53" s="1156">
        <v>607</v>
      </c>
      <c r="I53" s="1156" t="s">
        <v>3955</v>
      </c>
      <c r="J53" s="1156" t="s">
        <v>21</v>
      </c>
      <c r="K53" s="1156" t="s">
        <v>3952</v>
      </c>
      <c r="L53" s="1156">
        <v>1</v>
      </c>
      <c r="M53" s="1156">
        <v>43.76</v>
      </c>
      <c r="N53" s="1156">
        <v>49.79</v>
      </c>
      <c r="O53" s="1156">
        <v>11378</v>
      </c>
    </row>
    <row r="54" spans="1:15" s="1156" customFormat="1">
      <c r="A54" s="3175">
        <v>45828.333831018521</v>
      </c>
      <c r="B54" s="1156" t="s">
        <v>3949</v>
      </c>
      <c r="C54" s="1156" t="s">
        <v>3949</v>
      </c>
      <c r="D54" s="1156" t="s">
        <v>3950</v>
      </c>
      <c r="E54" s="1156">
        <v>1</v>
      </c>
      <c r="F54" s="1156">
        <v>6</v>
      </c>
      <c r="G54" s="1156">
        <v>3</v>
      </c>
      <c r="H54" s="1156">
        <v>303</v>
      </c>
      <c r="I54" s="1156" t="s">
        <v>3955</v>
      </c>
      <c r="J54" s="1156" t="s">
        <v>21</v>
      </c>
      <c r="K54" s="1156" t="s">
        <v>3952</v>
      </c>
      <c r="L54" s="1156">
        <v>1</v>
      </c>
      <c r="M54" s="1156">
        <v>92.66</v>
      </c>
      <c r="N54" s="1156">
        <v>105.43</v>
      </c>
      <c r="O54" s="1156">
        <v>11378</v>
      </c>
    </row>
    <row r="55" spans="1:15" s="1156" customFormat="1">
      <c r="A55" s="3175">
        <v>45828.333831018521</v>
      </c>
      <c r="B55" s="1156" t="s">
        <v>3949</v>
      </c>
      <c r="C55" s="1156" t="s">
        <v>3949</v>
      </c>
      <c r="D55" s="1156" t="s">
        <v>3950</v>
      </c>
      <c r="E55" s="1156">
        <v>1</v>
      </c>
      <c r="F55" s="1156">
        <v>6</v>
      </c>
      <c r="G55" s="1156">
        <v>4</v>
      </c>
      <c r="H55" s="1156">
        <v>412</v>
      </c>
      <c r="I55" s="1156" t="s">
        <v>3955</v>
      </c>
      <c r="J55" s="1156" t="s">
        <v>21</v>
      </c>
      <c r="K55" s="1156" t="s">
        <v>3952</v>
      </c>
      <c r="L55" s="1156">
        <v>1</v>
      </c>
      <c r="M55" s="1156">
        <v>75.91</v>
      </c>
      <c r="N55" s="1156">
        <v>86.37</v>
      </c>
      <c r="O55" s="1156">
        <v>11378</v>
      </c>
    </row>
    <row r="56" spans="1:15" s="1156" customFormat="1">
      <c r="A56" s="3175">
        <v>45828.333831018521</v>
      </c>
      <c r="B56" s="1156" t="s">
        <v>3949</v>
      </c>
      <c r="C56" s="1156" t="s">
        <v>3949</v>
      </c>
      <c r="D56" s="1156" t="s">
        <v>3950</v>
      </c>
      <c r="E56" s="1156">
        <v>1</v>
      </c>
      <c r="F56" s="1156">
        <v>6</v>
      </c>
      <c r="G56" s="1156">
        <v>5</v>
      </c>
      <c r="H56" s="1156">
        <v>512</v>
      </c>
      <c r="I56" s="1156" t="s">
        <v>3955</v>
      </c>
      <c r="J56" s="1156" t="s">
        <v>21</v>
      </c>
      <c r="K56" s="1156" t="s">
        <v>3952</v>
      </c>
      <c r="L56" s="1156">
        <v>1</v>
      </c>
      <c r="M56" s="1156">
        <v>75.91</v>
      </c>
      <c r="N56" s="1156">
        <v>86.37</v>
      </c>
      <c r="O56" s="1156">
        <v>11378</v>
      </c>
    </row>
    <row r="57" spans="1:15" s="1156" customFormat="1">
      <c r="A57" s="3175">
        <v>45828.333831018521</v>
      </c>
      <c r="B57" s="1156" t="s">
        <v>3949</v>
      </c>
      <c r="C57" s="1156" t="s">
        <v>3949</v>
      </c>
      <c r="D57" s="1156" t="s">
        <v>3950</v>
      </c>
      <c r="E57" s="1156">
        <v>1</v>
      </c>
      <c r="F57" s="1156">
        <v>6</v>
      </c>
      <c r="G57" s="1156">
        <v>6</v>
      </c>
      <c r="H57" s="1156">
        <v>610</v>
      </c>
      <c r="I57" s="1156" t="s">
        <v>3955</v>
      </c>
      <c r="J57" s="1156" t="s">
        <v>21</v>
      </c>
      <c r="K57" s="1156" t="s">
        <v>3952</v>
      </c>
      <c r="L57" s="1156">
        <v>1</v>
      </c>
      <c r="M57" s="1156">
        <v>100.39</v>
      </c>
      <c r="N57" s="1156">
        <v>114.22</v>
      </c>
      <c r="O57" s="1156">
        <v>11378</v>
      </c>
    </row>
    <row r="58" spans="1:15" s="1156" customFormat="1">
      <c r="A58" s="3175">
        <v>45828.333831018521</v>
      </c>
      <c r="B58" s="1156" t="s">
        <v>3949</v>
      </c>
      <c r="C58" s="1156" t="s">
        <v>3949</v>
      </c>
      <c r="D58" s="1156" t="s">
        <v>3950</v>
      </c>
      <c r="E58" s="1156">
        <v>1</v>
      </c>
      <c r="F58" s="1156">
        <v>6</v>
      </c>
      <c r="G58" s="1156">
        <v>6</v>
      </c>
      <c r="H58" s="1156">
        <v>604</v>
      </c>
      <c r="I58" s="1156" t="s">
        <v>3955</v>
      </c>
      <c r="J58" s="1156" t="s">
        <v>21</v>
      </c>
      <c r="K58" s="1156" t="s">
        <v>3952</v>
      </c>
      <c r="L58" s="1156">
        <v>1</v>
      </c>
      <c r="M58" s="1156">
        <v>109</v>
      </c>
      <c r="N58" s="1156">
        <v>124.02</v>
      </c>
      <c r="O58" s="1156">
        <v>11378</v>
      </c>
    </row>
    <row r="59" spans="1:15" s="1156" customFormat="1">
      <c r="A59" s="3175">
        <v>45828.333831018521</v>
      </c>
      <c r="B59" s="1156" t="s">
        <v>3949</v>
      </c>
      <c r="C59" s="1156" t="s">
        <v>3949</v>
      </c>
      <c r="D59" s="1156" t="s">
        <v>3950</v>
      </c>
      <c r="E59" s="1156">
        <v>1</v>
      </c>
      <c r="F59" s="1156">
        <v>6</v>
      </c>
      <c r="G59" s="1156">
        <v>6</v>
      </c>
      <c r="H59" s="1156">
        <v>612</v>
      </c>
      <c r="I59" s="1156" t="s">
        <v>3955</v>
      </c>
      <c r="J59" s="1156" t="s">
        <v>21</v>
      </c>
      <c r="K59" s="1156" t="s">
        <v>3952</v>
      </c>
      <c r="L59" s="1156">
        <v>1</v>
      </c>
      <c r="M59" s="1156">
        <v>75.91</v>
      </c>
      <c r="N59" s="1156">
        <v>86.37</v>
      </c>
      <c r="O59" s="1156">
        <v>11378</v>
      </c>
    </row>
    <row r="60" spans="1:15" s="1156" customFormat="1">
      <c r="A60" s="3175">
        <v>45828.333831018521</v>
      </c>
      <c r="B60" s="1156" t="s">
        <v>3949</v>
      </c>
      <c r="C60" s="1156" t="s">
        <v>3949</v>
      </c>
      <c r="D60" s="1156" t="s">
        <v>3950</v>
      </c>
      <c r="E60" s="1156">
        <v>1</v>
      </c>
      <c r="F60" s="1156">
        <v>6</v>
      </c>
      <c r="G60" s="1156">
        <v>6</v>
      </c>
      <c r="H60" s="1156">
        <v>602</v>
      </c>
      <c r="I60" s="1156" t="s">
        <v>3955</v>
      </c>
      <c r="J60" s="1156" t="s">
        <v>21</v>
      </c>
      <c r="K60" s="1156" t="s">
        <v>3952</v>
      </c>
      <c r="L60" s="1156">
        <v>1</v>
      </c>
      <c r="M60" s="1156">
        <v>109.84</v>
      </c>
      <c r="N60" s="1156">
        <v>124.98</v>
      </c>
      <c r="O60" s="1156">
        <v>11378</v>
      </c>
    </row>
    <row r="61" spans="1:15" s="1156" customFormat="1">
      <c r="A61" s="3175">
        <v>45828.333831018521</v>
      </c>
      <c r="B61" s="1156" t="s">
        <v>3949</v>
      </c>
      <c r="C61" s="1156" t="s">
        <v>3949</v>
      </c>
      <c r="D61" s="1156" t="s">
        <v>3950</v>
      </c>
      <c r="E61" s="1156">
        <v>1</v>
      </c>
      <c r="F61" s="1156">
        <v>6</v>
      </c>
      <c r="G61" s="1156">
        <v>4</v>
      </c>
      <c r="H61" s="1156">
        <v>410</v>
      </c>
      <c r="I61" s="1156" t="s">
        <v>3955</v>
      </c>
      <c r="J61" s="1156" t="s">
        <v>21</v>
      </c>
      <c r="K61" s="1156" t="s">
        <v>3952</v>
      </c>
      <c r="L61" s="1156">
        <v>1</v>
      </c>
      <c r="M61" s="1156">
        <v>100.39</v>
      </c>
      <c r="N61" s="1156">
        <v>114.22</v>
      </c>
      <c r="O61" s="1156">
        <v>11378</v>
      </c>
    </row>
    <row r="62" spans="1:15" s="1156" customFormat="1">
      <c r="A62" s="3175">
        <v>45828.333831018521</v>
      </c>
      <c r="B62" s="1156" t="s">
        <v>3949</v>
      </c>
      <c r="C62" s="1156" t="s">
        <v>3949</v>
      </c>
      <c r="D62" s="1156" t="s">
        <v>3950</v>
      </c>
      <c r="E62" s="1156">
        <v>1</v>
      </c>
      <c r="F62" s="1156">
        <v>6</v>
      </c>
      <c r="G62" s="1156">
        <v>3</v>
      </c>
      <c r="H62" s="1156">
        <v>302</v>
      </c>
      <c r="I62" s="1156" t="s">
        <v>3955</v>
      </c>
      <c r="J62" s="1156" t="s">
        <v>21</v>
      </c>
      <c r="K62" s="1156" t="s">
        <v>3952</v>
      </c>
      <c r="L62" s="1156">
        <v>1</v>
      </c>
      <c r="M62" s="1156">
        <v>109.84</v>
      </c>
      <c r="N62" s="1156">
        <v>124.98</v>
      </c>
      <c r="O62" s="1156">
        <v>11378</v>
      </c>
    </row>
    <row r="63" spans="1:15" s="1156" customFormat="1">
      <c r="A63" s="3175">
        <v>45828.333831018521</v>
      </c>
      <c r="B63" s="1156" t="s">
        <v>3949</v>
      </c>
      <c r="C63" s="1156" t="s">
        <v>3949</v>
      </c>
      <c r="D63" s="1156" t="s">
        <v>3950</v>
      </c>
      <c r="E63" s="1156">
        <v>1</v>
      </c>
      <c r="F63" s="1156">
        <v>6</v>
      </c>
      <c r="G63" s="1156">
        <v>3</v>
      </c>
      <c r="H63" s="1156">
        <v>301</v>
      </c>
      <c r="I63" s="1156" t="s">
        <v>3955</v>
      </c>
      <c r="J63" s="1156" t="s">
        <v>21</v>
      </c>
      <c r="K63" s="1156" t="s">
        <v>3952</v>
      </c>
      <c r="L63" s="1156">
        <v>1</v>
      </c>
      <c r="M63" s="1156">
        <v>90.62</v>
      </c>
      <c r="N63" s="1156">
        <v>103.11</v>
      </c>
      <c r="O63" s="1156">
        <v>11378</v>
      </c>
    </row>
    <row r="64" spans="1:15" s="1156" customFormat="1">
      <c r="A64" s="3175">
        <v>45828.333831018521</v>
      </c>
      <c r="B64" s="1156" t="s">
        <v>3949</v>
      </c>
      <c r="C64" s="1156" t="s">
        <v>3949</v>
      </c>
      <c r="D64" s="1156" t="s">
        <v>3950</v>
      </c>
      <c r="E64" s="1156">
        <v>1</v>
      </c>
      <c r="F64" s="1156">
        <v>6</v>
      </c>
      <c r="G64" s="1156">
        <v>6</v>
      </c>
      <c r="H64" s="1156">
        <v>605</v>
      </c>
      <c r="I64" s="1156" t="s">
        <v>3955</v>
      </c>
      <c r="J64" s="1156" t="s">
        <v>21</v>
      </c>
      <c r="K64" s="1156" t="s">
        <v>3952</v>
      </c>
      <c r="L64" s="1156">
        <v>1</v>
      </c>
      <c r="M64" s="1156">
        <v>86.53</v>
      </c>
      <c r="N64" s="1156">
        <v>98.45</v>
      </c>
      <c r="O64" s="1156">
        <v>11378</v>
      </c>
    </row>
    <row r="65" spans="1:15" s="1156" customFormat="1">
      <c r="A65" s="3175">
        <v>45828.333831018521</v>
      </c>
      <c r="B65" s="1156" t="s">
        <v>3949</v>
      </c>
      <c r="C65" s="1156" t="s">
        <v>3949</v>
      </c>
      <c r="D65" s="1156" t="s">
        <v>3950</v>
      </c>
      <c r="E65" s="1156">
        <v>1</v>
      </c>
      <c r="F65" s="1156">
        <v>6</v>
      </c>
      <c r="G65" s="1156">
        <v>6</v>
      </c>
      <c r="H65" s="1156">
        <v>603</v>
      </c>
      <c r="I65" s="1156" t="s">
        <v>3955</v>
      </c>
      <c r="J65" s="1156" t="s">
        <v>21</v>
      </c>
      <c r="K65" s="1156" t="s">
        <v>3952</v>
      </c>
      <c r="L65" s="1156">
        <v>1</v>
      </c>
      <c r="M65" s="1156">
        <v>92.66</v>
      </c>
      <c r="N65" s="1156">
        <v>105.43</v>
      </c>
      <c r="O65" s="1156">
        <v>11378</v>
      </c>
    </row>
    <row r="66" spans="1:15" s="1156" customFormat="1">
      <c r="A66" s="3175">
        <v>45828.333831018521</v>
      </c>
      <c r="B66" s="1156" t="s">
        <v>3949</v>
      </c>
      <c r="C66" s="1156" t="s">
        <v>3949</v>
      </c>
      <c r="D66" s="1156" t="s">
        <v>3950</v>
      </c>
      <c r="E66" s="1156">
        <v>1</v>
      </c>
      <c r="F66" s="1156">
        <v>6</v>
      </c>
      <c r="G66" s="1156">
        <v>3</v>
      </c>
      <c r="H66" s="1156">
        <v>308</v>
      </c>
      <c r="I66" s="1156" t="s">
        <v>3955</v>
      </c>
      <c r="J66" s="1156" t="s">
        <v>21</v>
      </c>
      <c r="K66" s="1156" t="s">
        <v>3952</v>
      </c>
      <c r="L66" s="1156">
        <v>1</v>
      </c>
      <c r="M66" s="1156">
        <v>100.39</v>
      </c>
      <c r="N66" s="1156">
        <v>114.22</v>
      </c>
      <c r="O66" s="1156">
        <v>11378</v>
      </c>
    </row>
    <row r="67" spans="1:15" s="1156" customFormat="1">
      <c r="A67" s="3175">
        <v>45828.333831018521</v>
      </c>
      <c r="B67" s="1156" t="s">
        <v>3949</v>
      </c>
      <c r="C67" s="1156" t="s">
        <v>3949</v>
      </c>
      <c r="D67" s="1156" t="s">
        <v>3950</v>
      </c>
      <c r="E67" s="1156">
        <v>1</v>
      </c>
      <c r="F67" s="1156">
        <v>6</v>
      </c>
      <c r="G67" s="1156">
        <v>5</v>
      </c>
      <c r="H67" s="1156">
        <v>511</v>
      </c>
      <c r="I67" s="1156" t="s">
        <v>3955</v>
      </c>
      <c r="J67" s="1156" t="s">
        <v>21</v>
      </c>
      <c r="K67" s="1156" t="s">
        <v>3952</v>
      </c>
      <c r="L67" s="1156">
        <v>1</v>
      </c>
      <c r="M67" s="1156">
        <v>111.63</v>
      </c>
      <c r="N67" s="1156">
        <v>127.01</v>
      </c>
      <c r="O67" s="1156">
        <v>11378</v>
      </c>
    </row>
    <row r="68" spans="1:15" s="1156" customFormat="1">
      <c r="A68" s="3175">
        <v>45828.333831018521</v>
      </c>
      <c r="B68" s="1156" t="s">
        <v>3949</v>
      </c>
      <c r="C68" s="1156" t="s">
        <v>3949</v>
      </c>
      <c r="D68" s="1156" t="s">
        <v>3950</v>
      </c>
      <c r="E68" s="1156">
        <v>1</v>
      </c>
      <c r="F68" s="1156">
        <v>6</v>
      </c>
      <c r="G68" s="1156">
        <v>5</v>
      </c>
      <c r="H68" s="1156">
        <v>503</v>
      </c>
      <c r="I68" s="1156" t="s">
        <v>3955</v>
      </c>
      <c r="J68" s="1156" t="s">
        <v>21</v>
      </c>
      <c r="K68" s="1156" t="s">
        <v>3952</v>
      </c>
      <c r="L68" s="1156">
        <v>1</v>
      </c>
      <c r="M68" s="1156">
        <v>92.66</v>
      </c>
      <c r="N68" s="1156">
        <v>105.43</v>
      </c>
      <c r="O68" s="1156">
        <v>11378</v>
      </c>
    </row>
    <row r="69" spans="1:15" s="1156" customFormat="1">
      <c r="A69" s="3175">
        <v>45828.333831018521</v>
      </c>
      <c r="B69" s="1156" t="s">
        <v>3949</v>
      </c>
      <c r="C69" s="1156" t="s">
        <v>3949</v>
      </c>
      <c r="D69" s="1156" t="s">
        <v>3950</v>
      </c>
      <c r="E69" s="1156">
        <v>1</v>
      </c>
      <c r="F69" s="1156">
        <v>6</v>
      </c>
      <c r="G69" s="1156">
        <v>6</v>
      </c>
      <c r="H69" s="1156">
        <v>608</v>
      </c>
      <c r="I69" s="1156" t="s">
        <v>3955</v>
      </c>
      <c r="J69" s="1156" t="s">
        <v>21</v>
      </c>
      <c r="K69" s="1156" t="s">
        <v>3952</v>
      </c>
      <c r="L69" s="1156">
        <v>1</v>
      </c>
      <c r="M69" s="1156">
        <v>100.39</v>
      </c>
      <c r="N69" s="1156">
        <v>114.22</v>
      </c>
      <c r="O69" s="1156">
        <v>11378</v>
      </c>
    </row>
    <row r="70" spans="1:15" s="1156" customFormat="1">
      <c r="A70" s="3175">
        <v>45828.333831018521</v>
      </c>
      <c r="B70" s="1156" t="s">
        <v>3949</v>
      </c>
      <c r="C70" s="1156" t="s">
        <v>3949</v>
      </c>
      <c r="D70" s="1156" t="s">
        <v>3950</v>
      </c>
      <c r="E70" s="1156">
        <v>1</v>
      </c>
      <c r="F70" s="1156">
        <v>6</v>
      </c>
      <c r="G70" s="1156">
        <v>3</v>
      </c>
      <c r="H70" s="1156">
        <v>306</v>
      </c>
      <c r="I70" s="1156" t="s">
        <v>3955</v>
      </c>
      <c r="J70" s="1156" t="s">
        <v>21</v>
      </c>
      <c r="K70" s="1156" t="s">
        <v>3952</v>
      </c>
      <c r="L70" s="1156">
        <v>1</v>
      </c>
      <c r="M70" s="1156">
        <v>80.12</v>
      </c>
      <c r="N70" s="1156">
        <v>91.16</v>
      </c>
      <c r="O70" s="1156">
        <v>11378</v>
      </c>
    </row>
    <row r="71" spans="1:15" s="1156" customFormat="1">
      <c r="A71" s="3175">
        <v>45828.333831018521</v>
      </c>
      <c r="B71" s="1156" t="s">
        <v>3949</v>
      </c>
      <c r="C71" s="1156" t="s">
        <v>3949</v>
      </c>
      <c r="D71" s="1156" t="s">
        <v>3950</v>
      </c>
      <c r="E71" s="1156">
        <v>1</v>
      </c>
      <c r="F71" s="1156">
        <v>6</v>
      </c>
      <c r="G71" s="1156">
        <v>6</v>
      </c>
      <c r="H71" s="1156">
        <v>611</v>
      </c>
      <c r="I71" s="1156" t="s">
        <v>3955</v>
      </c>
      <c r="J71" s="1156" t="s">
        <v>21</v>
      </c>
      <c r="K71" s="1156" t="s">
        <v>3952</v>
      </c>
      <c r="L71" s="1156">
        <v>1</v>
      </c>
      <c r="M71" s="1156">
        <v>111.63</v>
      </c>
      <c r="N71" s="1156">
        <v>127.01</v>
      </c>
      <c r="O71" s="1156">
        <v>11378</v>
      </c>
    </row>
    <row r="72" spans="1:15" s="1156" customFormat="1">
      <c r="A72" s="3175">
        <v>45828.333831018521</v>
      </c>
      <c r="B72" s="1156" t="s">
        <v>3949</v>
      </c>
      <c r="C72" s="1156" t="s">
        <v>3949</v>
      </c>
      <c r="D72" s="1156" t="s">
        <v>3950</v>
      </c>
      <c r="E72" s="1156">
        <v>1</v>
      </c>
      <c r="F72" s="1156">
        <v>6</v>
      </c>
      <c r="G72" s="1156">
        <v>5</v>
      </c>
      <c r="H72" s="1156">
        <v>505</v>
      </c>
      <c r="I72" s="1156" t="s">
        <v>3955</v>
      </c>
      <c r="J72" s="1156" t="s">
        <v>21</v>
      </c>
      <c r="K72" s="1156" t="s">
        <v>3952</v>
      </c>
      <c r="L72" s="1156">
        <v>1</v>
      </c>
      <c r="M72" s="1156">
        <v>86.53</v>
      </c>
      <c r="N72" s="1156">
        <v>98.45</v>
      </c>
      <c r="O72" s="1156">
        <v>11378</v>
      </c>
    </row>
    <row r="73" spans="1:15" s="1156" customFormat="1">
      <c r="A73" s="3175">
        <v>45828.333831018521</v>
      </c>
      <c r="B73" s="1156" t="s">
        <v>3949</v>
      </c>
      <c r="C73" s="1156" t="s">
        <v>3949</v>
      </c>
      <c r="D73" s="1156" t="s">
        <v>3950</v>
      </c>
      <c r="E73" s="1156">
        <v>1</v>
      </c>
      <c r="F73" s="1156">
        <v>6</v>
      </c>
      <c r="G73" s="1156">
        <v>5</v>
      </c>
      <c r="H73" s="1156">
        <v>501</v>
      </c>
      <c r="I73" s="1156" t="s">
        <v>3955</v>
      </c>
      <c r="J73" s="1156" t="s">
        <v>21</v>
      </c>
      <c r="K73" s="1156" t="s">
        <v>3952</v>
      </c>
      <c r="L73" s="1156">
        <v>1</v>
      </c>
      <c r="M73" s="1156">
        <v>90.62</v>
      </c>
      <c r="N73" s="1156">
        <v>103.11</v>
      </c>
      <c r="O73" s="1156">
        <v>11378</v>
      </c>
    </row>
    <row r="74" spans="1:15" s="1156" customFormat="1">
      <c r="A74" s="3175">
        <v>45828.333831018521</v>
      </c>
      <c r="B74" s="1156" t="s">
        <v>3949</v>
      </c>
      <c r="C74" s="1156" t="s">
        <v>3949</v>
      </c>
      <c r="D74" s="1156" t="s">
        <v>3950</v>
      </c>
      <c r="E74" s="1156">
        <v>1</v>
      </c>
      <c r="F74" s="1156">
        <v>6</v>
      </c>
      <c r="G74" s="1156">
        <v>4</v>
      </c>
      <c r="H74" s="1156">
        <v>408</v>
      </c>
      <c r="I74" s="1156" t="s">
        <v>3955</v>
      </c>
      <c r="J74" s="1156" t="s">
        <v>21</v>
      </c>
      <c r="K74" s="1156" t="s">
        <v>3952</v>
      </c>
      <c r="L74" s="1156">
        <v>1</v>
      </c>
      <c r="M74" s="1156">
        <v>100.39</v>
      </c>
      <c r="N74" s="1156">
        <v>114.22</v>
      </c>
      <c r="O74" s="1156">
        <v>11378</v>
      </c>
    </row>
    <row r="75" spans="1:15" s="1156" customFormat="1">
      <c r="A75" s="3175">
        <v>45828.333831018521</v>
      </c>
      <c r="B75" s="1156" t="s">
        <v>3949</v>
      </c>
      <c r="C75" s="1156" t="s">
        <v>3949</v>
      </c>
      <c r="D75" s="1156" t="s">
        <v>3950</v>
      </c>
      <c r="E75" s="1156">
        <v>1</v>
      </c>
      <c r="F75" s="1156">
        <v>6</v>
      </c>
      <c r="G75" s="1156">
        <v>3</v>
      </c>
      <c r="H75" s="1156">
        <v>312</v>
      </c>
      <c r="I75" s="1156" t="s">
        <v>3955</v>
      </c>
      <c r="J75" s="1156" t="s">
        <v>21</v>
      </c>
      <c r="K75" s="1156" t="s">
        <v>3952</v>
      </c>
      <c r="L75" s="1156">
        <v>1</v>
      </c>
      <c r="M75" s="1156">
        <v>75.91</v>
      </c>
      <c r="N75" s="1156">
        <v>86.37</v>
      </c>
      <c r="O75" s="1156">
        <v>11378</v>
      </c>
    </row>
    <row r="76" spans="1:15" s="1156" customFormat="1">
      <c r="A76" s="3175">
        <v>45828.333831018521</v>
      </c>
      <c r="B76" s="1156" t="s">
        <v>3949</v>
      </c>
      <c r="C76" s="1156" t="s">
        <v>3949</v>
      </c>
      <c r="D76" s="1156" t="s">
        <v>3950</v>
      </c>
      <c r="E76" s="1156">
        <v>1</v>
      </c>
      <c r="F76" s="1156">
        <v>6</v>
      </c>
      <c r="G76" s="1156">
        <v>4</v>
      </c>
      <c r="H76" s="1156">
        <v>402</v>
      </c>
      <c r="I76" s="1156" t="s">
        <v>3955</v>
      </c>
      <c r="J76" s="1156" t="s">
        <v>21</v>
      </c>
      <c r="K76" s="1156" t="s">
        <v>3952</v>
      </c>
      <c r="L76" s="1156">
        <v>1</v>
      </c>
      <c r="M76" s="1156">
        <v>109.84</v>
      </c>
      <c r="N76" s="1156">
        <v>124.98</v>
      </c>
      <c r="O76" s="1156">
        <v>11378</v>
      </c>
    </row>
    <row r="77" spans="1:15" s="1156" customFormat="1">
      <c r="A77" s="3175">
        <v>45828.333831018521</v>
      </c>
      <c r="B77" s="1156" t="s">
        <v>3949</v>
      </c>
      <c r="C77" s="1156" t="s">
        <v>3949</v>
      </c>
      <c r="D77" s="1156" t="s">
        <v>3950</v>
      </c>
      <c r="E77" s="1156">
        <v>1</v>
      </c>
      <c r="F77" s="1156">
        <v>6</v>
      </c>
      <c r="G77" s="1156">
        <v>5</v>
      </c>
      <c r="H77" s="1156">
        <v>502</v>
      </c>
      <c r="I77" s="1156" t="s">
        <v>3955</v>
      </c>
      <c r="J77" s="1156" t="s">
        <v>21</v>
      </c>
      <c r="K77" s="1156" t="s">
        <v>3952</v>
      </c>
      <c r="L77" s="1156">
        <v>1</v>
      </c>
      <c r="M77" s="1156">
        <v>109.84</v>
      </c>
      <c r="N77" s="1156">
        <v>124.98</v>
      </c>
      <c r="O77" s="1156">
        <v>11378</v>
      </c>
    </row>
    <row r="78" spans="1:15" s="1156" customFormat="1">
      <c r="A78" s="3175">
        <v>45828.333831018521</v>
      </c>
      <c r="B78" s="1156" t="s">
        <v>3949</v>
      </c>
      <c r="C78" s="1156" t="s">
        <v>3949</v>
      </c>
      <c r="D78" s="1156" t="s">
        <v>3950</v>
      </c>
      <c r="E78" s="1156">
        <v>1</v>
      </c>
      <c r="F78" s="1156">
        <v>6</v>
      </c>
      <c r="G78" s="1156">
        <v>3</v>
      </c>
      <c r="H78" s="1156">
        <v>310</v>
      </c>
      <c r="I78" s="1156" t="s">
        <v>3955</v>
      </c>
      <c r="J78" s="1156" t="s">
        <v>21</v>
      </c>
      <c r="K78" s="1156" t="s">
        <v>3952</v>
      </c>
      <c r="L78" s="1156">
        <v>1</v>
      </c>
      <c r="M78" s="1156">
        <v>100.39</v>
      </c>
      <c r="N78" s="1156">
        <v>114.22</v>
      </c>
      <c r="O78" s="1156">
        <v>11378</v>
      </c>
    </row>
    <row r="79" spans="1:15" s="1156" customFormat="1">
      <c r="A79" s="3175">
        <v>45828.333831018521</v>
      </c>
      <c r="B79" s="1156" t="s">
        <v>3949</v>
      </c>
      <c r="C79" s="1156" t="s">
        <v>3949</v>
      </c>
      <c r="D79" s="1156" t="s">
        <v>3950</v>
      </c>
      <c r="E79" s="1156">
        <v>1</v>
      </c>
      <c r="F79" s="1156">
        <v>6</v>
      </c>
      <c r="G79" s="1156">
        <v>3</v>
      </c>
      <c r="H79" s="1156">
        <v>311</v>
      </c>
      <c r="I79" s="1156" t="s">
        <v>3955</v>
      </c>
      <c r="J79" s="1156" t="s">
        <v>21</v>
      </c>
      <c r="K79" s="1156" t="s">
        <v>3952</v>
      </c>
      <c r="L79" s="1156">
        <v>1</v>
      </c>
      <c r="M79" s="1156">
        <v>111.63</v>
      </c>
      <c r="N79" s="1156">
        <v>127.01</v>
      </c>
      <c r="O79" s="1156">
        <v>11378</v>
      </c>
    </row>
    <row r="80" spans="1:15" s="1156" customFormat="1">
      <c r="A80" s="3175">
        <v>45828.333831018521</v>
      </c>
      <c r="B80" s="1156" t="s">
        <v>3949</v>
      </c>
      <c r="C80" s="1156" t="s">
        <v>3949</v>
      </c>
      <c r="D80" s="1156" t="s">
        <v>3950</v>
      </c>
      <c r="E80" s="1156">
        <v>1</v>
      </c>
      <c r="F80" s="1156">
        <v>6</v>
      </c>
      <c r="G80" s="1156">
        <v>6</v>
      </c>
      <c r="H80" s="1156">
        <v>606</v>
      </c>
      <c r="I80" s="1156" t="s">
        <v>3955</v>
      </c>
      <c r="J80" s="1156" t="s">
        <v>21</v>
      </c>
      <c r="K80" s="1156" t="s">
        <v>3952</v>
      </c>
      <c r="L80" s="1156">
        <v>1</v>
      </c>
      <c r="M80" s="1156">
        <v>80.12</v>
      </c>
      <c r="N80" s="1156">
        <v>91.16</v>
      </c>
      <c r="O80" s="1156">
        <v>11378</v>
      </c>
    </row>
    <row r="81" spans="1:15" s="1156" customFormat="1">
      <c r="A81" s="3175">
        <v>45828.333831018521</v>
      </c>
      <c r="B81" s="1156" t="s">
        <v>3949</v>
      </c>
      <c r="C81" s="1156" t="s">
        <v>3949</v>
      </c>
      <c r="D81" s="1156" t="s">
        <v>3950</v>
      </c>
      <c r="E81" s="1156">
        <v>1</v>
      </c>
      <c r="F81" s="1156">
        <v>6</v>
      </c>
      <c r="G81" s="1156">
        <v>3</v>
      </c>
      <c r="H81" s="1156">
        <v>307</v>
      </c>
      <c r="I81" s="1156" t="s">
        <v>3955</v>
      </c>
      <c r="J81" s="1156" t="s">
        <v>21</v>
      </c>
      <c r="K81" s="1156" t="s">
        <v>3952</v>
      </c>
      <c r="L81" s="1156">
        <v>1</v>
      </c>
      <c r="M81" s="1156">
        <v>43.76</v>
      </c>
      <c r="N81" s="1156">
        <v>49.79</v>
      </c>
      <c r="O81" s="1156">
        <v>11378</v>
      </c>
    </row>
    <row r="82" spans="1:15" s="1156" customFormat="1">
      <c r="A82" s="3175">
        <v>45828.333831018521</v>
      </c>
      <c r="B82" s="1156" t="s">
        <v>3949</v>
      </c>
      <c r="C82" s="1156" t="s">
        <v>3949</v>
      </c>
      <c r="D82" s="1156" t="s">
        <v>3950</v>
      </c>
      <c r="E82" s="1156">
        <v>1</v>
      </c>
      <c r="F82" s="1156">
        <v>6</v>
      </c>
      <c r="G82" s="1156">
        <v>6</v>
      </c>
      <c r="H82" s="1156">
        <v>609</v>
      </c>
      <c r="I82" s="1156" t="s">
        <v>3955</v>
      </c>
      <c r="J82" s="1156" t="s">
        <v>21</v>
      </c>
      <c r="K82" s="1156" t="s">
        <v>3952</v>
      </c>
      <c r="L82" s="1156">
        <v>1</v>
      </c>
      <c r="M82" s="1156">
        <v>75.069999999999993</v>
      </c>
      <c r="N82" s="1156">
        <v>85.41</v>
      </c>
      <c r="O82" s="1156">
        <v>11378</v>
      </c>
    </row>
    <row r="83" spans="1:15" s="1156" customFormat="1">
      <c r="A83" s="3175">
        <v>45828.333831018521</v>
      </c>
      <c r="B83" s="1156" t="s">
        <v>3949</v>
      </c>
      <c r="C83" s="1156" t="s">
        <v>3949</v>
      </c>
      <c r="D83" s="1156" t="s">
        <v>3950</v>
      </c>
      <c r="E83" s="1156">
        <v>1</v>
      </c>
      <c r="F83" s="1156">
        <v>6</v>
      </c>
      <c r="G83" s="1156">
        <v>4</v>
      </c>
      <c r="H83" s="1156">
        <v>407</v>
      </c>
      <c r="I83" s="1156" t="s">
        <v>3955</v>
      </c>
      <c r="J83" s="1156" t="s">
        <v>21</v>
      </c>
      <c r="K83" s="1156" t="s">
        <v>3952</v>
      </c>
      <c r="L83" s="1156">
        <v>1</v>
      </c>
      <c r="M83" s="1156">
        <v>43.76</v>
      </c>
      <c r="N83" s="1156">
        <v>49.79</v>
      </c>
      <c r="O83" s="1156">
        <v>11378</v>
      </c>
    </row>
    <row r="84" spans="1:15" s="1156" customFormat="1">
      <c r="A84" s="3175">
        <v>45828.333831018521</v>
      </c>
      <c r="B84" s="1156" t="s">
        <v>3949</v>
      </c>
      <c r="C84" s="1156" t="s">
        <v>3949</v>
      </c>
      <c r="D84" s="1156" t="s">
        <v>3950</v>
      </c>
      <c r="E84" s="1156">
        <v>1</v>
      </c>
      <c r="F84" s="1156">
        <v>6</v>
      </c>
      <c r="G84" s="1156">
        <v>5</v>
      </c>
      <c r="H84" s="1156">
        <v>510</v>
      </c>
      <c r="I84" s="1156" t="s">
        <v>3955</v>
      </c>
      <c r="J84" s="1156" t="s">
        <v>21</v>
      </c>
      <c r="K84" s="1156" t="s">
        <v>3952</v>
      </c>
      <c r="L84" s="1156">
        <v>1</v>
      </c>
      <c r="M84" s="1156">
        <v>100.39</v>
      </c>
      <c r="N84" s="1156">
        <v>114.22</v>
      </c>
      <c r="O84" s="1156">
        <v>11378</v>
      </c>
    </row>
    <row r="85" spans="1:15" s="1156" customFormat="1">
      <c r="A85" s="3175">
        <v>45828.333831018521</v>
      </c>
      <c r="B85" s="1156" t="s">
        <v>3949</v>
      </c>
      <c r="C85" s="1156" t="s">
        <v>3949</v>
      </c>
      <c r="D85" s="1156" t="s">
        <v>3950</v>
      </c>
      <c r="E85" s="1156">
        <v>1</v>
      </c>
      <c r="F85" s="1156">
        <v>6</v>
      </c>
      <c r="G85" s="1156">
        <v>3</v>
      </c>
      <c r="H85" s="1156">
        <v>305</v>
      </c>
      <c r="I85" s="1156" t="s">
        <v>3955</v>
      </c>
      <c r="J85" s="1156" t="s">
        <v>21</v>
      </c>
      <c r="K85" s="1156" t="s">
        <v>3952</v>
      </c>
      <c r="L85" s="1156">
        <v>1</v>
      </c>
      <c r="M85" s="1156">
        <v>86.53</v>
      </c>
      <c r="N85" s="1156">
        <v>98.45</v>
      </c>
      <c r="O85" s="1156">
        <v>11378</v>
      </c>
    </row>
    <row r="86" spans="1:15" s="1156" customFormat="1">
      <c r="A86" s="3175">
        <v>45828.333831018521</v>
      </c>
      <c r="B86" s="1156" t="s">
        <v>3949</v>
      </c>
      <c r="C86" s="1156" t="s">
        <v>3949</v>
      </c>
      <c r="D86" s="1156" t="s">
        <v>3950</v>
      </c>
      <c r="E86" s="1156">
        <v>1</v>
      </c>
      <c r="F86" s="1156">
        <v>6</v>
      </c>
      <c r="G86" s="1156">
        <v>5</v>
      </c>
      <c r="H86" s="1156">
        <v>509</v>
      </c>
      <c r="I86" s="1156" t="s">
        <v>3955</v>
      </c>
      <c r="J86" s="1156" t="s">
        <v>21</v>
      </c>
      <c r="K86" s="1156" t="s">
        <v>3952</v>
      </c>
      <c r="L86" s="1156">
        <v>1</v>
      </c>
      <c r="M86" s="1156">
        <v>75.069999999999993</v>
      </c>
      <c r="N86" s="1156">
        <v>85.41</v>
      </c>
      <c r="O86" s="1156">
        <v>11378</v>
      </c>
    </row>
    <row r="87" spans="1:15" s="1156" customFormat="1">
      <c r="A87" s="3175">
        <v>45828.333831018521</v>
      </c>
      <c r="B87" s="1156" t="s">
        <v>3949</v>
      </c>
      <c r="C87" s="1156" t="s">
        <v>3949</v>
      </c>
      <c r="D87" s="1156" t="s">
        <v>3950</v>
      </c>
      <c r="E87" s="1156">
        <v>1</v>
      </c>
      <c r="F87" s="1156">
        <v>6</v>
      </c>
      <c r="G87" s="1156">
        <v>5</v>
      </c>
      <c r="H87" s="1156">
        <v>504</v>
      </c>
      <c r="I87" s="1156" t="s">
        <v>3955</v>
      </c>
      <c r="J87" s="1156" t="s">
        <v>21</v>
      </c>
      <c r="K87" s="1156" t="s">
        <v>3952</v>
      </c>
      <c r="L87" s="1156">
        <v>1</v>
      </c>
      <c r="M87" s="1156">
        <v>109</v>
      </c>
      <c r="N87" s="1156">
        <v>124.02</v>
      </c>
      <c r="O87" s="1156">
        <v>11378</v>
      </c>
    </row>
    <row r="88" spans="1:15" s="1156" customFormat="1">
      <c r="A88" s="3175">
        <v>45828.333831018521</v>
      </c>
      <c r="B88" s="1156" t="s">
        <v>3949</v>
      </c>
      <c r="C88" s="1156" t="s">
        <v>3949</v>
      </c>
      <c r="D88" s="1156" t="s">
        <v>3950</v>
      </c>
      <c r="E88" s="1156">
        <v>1</v>
      </c>
      <c r="F88" s="1156">
        <v>6</v>
      </c>
      <c r="G88" s="1156">
        <v>4</v>
      </c>
      <c r="H88" s="1156">
        <v>405</v>
      </c>
      <c r="I88" s="1156" t="s">
        <v>3955</v>
      </c>
      <c r="J88" s="1156" t="s">
        <v>21</v>
      </c>
      <c r="K88" s="1156" t="s">
        <v>3952</v>
      </c>
      <c r="L88" s="1156">
        <v>1</v>
      </c>
      <c r="M88" s="1156">
        <v>86.53</v>
      </c>
      <c r="N88" s="1156">
        <v>98.45</v>
      </c>
      <c r="O88" s="1156">
        <v>11378</v>
      </c>
    </row>
    <row r="89" spans="1:15" s="1156" customFormat="1">
      <c r="A89" s="3175">
        <v>45828.333831018521</v>
      </c>
      <c r="B89" s="1156" t="s">
        <v>3949</v>
      </c>
      <c r="C89" s="1156" t="s">
        <v>3949</v>
      </c>
      <c r="D89" s="1156" t="s">
        <v>3950</v>
      </c>
      <c r="E89" s="1156">
        <v>1</v>
      </c>
      <c r="F89" s="1156">
        <v>6</v>
      </c>
      <c r="G89" s="1156">
        <v>4</v>
      </c>
      <c r="H89" s="1156">
        <v>409</v>
      </c>
      <c r="I89" s="1156" t="s">
        <v>3955</v>
      </c>
      <c r="J89" s="1156" t="s">
        <v>21</v>
      </c>
      <c r="K89" s="1156" t="s">
        <v>3952</v>
      </c>
      <c r="L89" s="1156">
        <v>1</v>
      </c>
      <c r="M89" s="1156">
        <v>75.069999999999993</v>
      </c>
      <c r="N89" s="1156">
        <v>85.41</v>
      </c>
      <c r="O89" s="1156">
        <v>11378</v>
      </c>
    </row>
  </sheetData>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DA71F-2F91-45BF-BA44-D11BC7BE790C}">
  <sheetPr>
    <tabColor rgb="FF7030A0"/>
  </sheetPr>
  <dimension ref="A1"/>
  <sheetViews>
    <sheetView workbookViewId="0">
      <selection activeCell="A43" sqref="A43"/>
    </sheetView>
  </sheetViews>
  <sheetFormatPr defaultRowHeight="14.4"/>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8"/>
      <c r="C2" s="3208"/>
      <c r="D2" s="3208"/>
      <c r="E2" s="3208"/>
    </row>
    <row r="3" spans="1:5" ht="17.399999999999999">
      <c r="A3" s="3209" t="str">
        <f>IF(项目基本情况!B9="房地产市场价值","估价结果一览表（市场价值不需“结果表-1”）","估价结果一览表")</f>
        <v>估价结果一览表</v>
      </c>
      <c r="B3" s="3209"/>
      <c r="C3" s="3209"/>
      <c r="D3" s="3209"/>
      <c r="E3" s="3209"/>
    </row>
    <row r="4" spans="1:5" ht="18" thickBot="1">
      <c r="A4" s="1391"/>
      <c r="B4" s="3207" t="s">
        <v>917</v>
      </c>
      <c r="C4" s="3207"/>
      <c r="D4" s="3207"/>
      <c r="E4" s="1391"/>
    </row>
    <row r="5" spans="1:5" ht="16.2" thickTop="1">
      <c r="B5" s="3205" t="s">
        <v>909</v>
      </c>
      <c r="C5" s="1392" t="s">
        <v>910</v>
      </c>
      <c r="D5" s="797">
        <f ca="1">结果表!H101</f>
        <v>77</v>
      </c>
    </row>
    <row r="6" spans="1:5" ht="15.6">
      <c r="B6" s="3205"/>
      <c r="C6" s="1392" t="s">
        <v>911</v>
      </c>
      <c r="D6" s="797" t="str">
        <f ca="1">NUMBERSTRING(INT(D5*10000),2)&amp;"元整"</f>
        <v>柒拾柒万元整</v>
      </c>
    </row>
    <row r="7" spans="1:5" ht="15.6">
      <c r="B7" s="3210"/>
      <c r="C7" s="1393" t="s">
        <v>912</v>
      </c>
      <c r="D7" s="798">
        <f ca="1">结果表!H102</f>
        <v>9453</v>
      </c>
    </row>
    <row r="8" spans="1:5" ht="15.6">
      <c r="B8" s="3211" t="str">
        <f>结果表!E103</f>
        <v>2.估价师知悉的法定优先受偿款</v>
      </c>
      <c r="C8" s="1394" t="s">
        <v>913</v>
      </c>
      <c r="D8" s="798">
        <f>结果表!H103</f>
        <v>0</v>
      </c>
    </row>
    <row r="9" spans="1:5" ht="15.6">
      <c r="B9" s="321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04" t="str">
        <f>结果表!E107</f>
        <v>3.房地产抵押价值</v>
      </c>
      <c r="C13" s="1397" t="s">
        <v>910</v>
      </c>
      <c r="D13" s="800">
        <f ca="1">结果表!H107</f>
        <v>77</v>
      </c>
    </row>
    <row r="14" spans="1:5" ht="15.6">
      <c r="B14" s="3205"/>
      <c r="C14" s="1392" t="s">
        <v>911</v>
      </c>
      <c r="D14" s="797" t="str">
        <f ca="1">NUMBERSTRING(INT(D13*10000),2)&amp;"元整"</f>
        <v>柒拾柒万元整</v>
      </c>
    </row>
    <row r="15" spans="1:5" ht="15.6">
      <c r="B15" s="3210"/>
      <c r="C15" s="1393" t="s">
        <v>921</v>
      </c>
      <c r="D15" s="806">
        <f ca="1">结果表!H108</f>
        <v>9453</v>
      </c>
    </row>
    <row r="16" spans="1:5" ht="15.6">
      <c r="B16" s="3211" t="str">
        <f>结果表!E109</f>
        <v>——</v>
      </c>
      <c r="C16" s="1397" t="s">
        <v>922</v>
      </c>
      <c r="D16" s="1398" t="str">
        <f>结果表!H109</f>
        <v>——</v>
      </c>
    </row>
    <row r="17" spans="1:5" ht="15.6">
      <c r="B17" s="3212"/>
      <c r="C17" s="1392" t="s">
        <v>923</v>
      </c>
      <c r="D17" s="797" t="e">
        <f>NUMBERSTRING(INT(D16*10000),2)&amp;"元整"</f>
        <v>#VALUE!</v>
      </c>
    </row>
    <row r="18" spans="1:5" ht="15.6">
      <c r="B18" s="3213"/>
      <c r="C18" s="1393" t="s">
        <v>912</v>
      </c>
      <c r="D18" s="806" t="str">
        <f>结果表!H110</f>
        <v>——</v>
      </c>
    </row>
    <row r="19" spans="1:5" ht="15.6">
      <c r="B19" s="3204" t="str">
        <f>结果表!E111</f>
        <v>4.抵押净值</v>
      </c>
      <c r="C19" s="1397" t="s">
        <v>910</v>
      </c>
      <c r="D19" s="798">
        <f ca="1">结果表!H111</f>
        <v>76</v>
      </c>
    </row>
    <row r="20" spans="1:5" ht="15.6">
      <c r="B20" s="3205"/>
      <c r="C20" s="1392" t="s">
        <v>923</v>
      </c>
      <c r="D20" s="797" t="str">
        <f ca="1">NUMBERSTRING(INT(D19*10000),2)&amp;"元整"</f>
        <v>柒拾陆万元整</v>
      </c>
    </row>
    <row r="21" spans="1:5" ht="16.2" thickBot="1">
      <c r="B21" s="3206"/>
      <c r="C21" s="1399" t="s">
        <v>921</v>
      </c>
      <c r="D21" s="807">
        <f ca="1">结果表!H112</f>
        <v>9301</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4C91D-F11C-4048-984A-D3B80CE71FCE}">
  <dimension ref="A1"/>
  <sheetViews>
    <sheetView workbookViewId="0"/>
  </sheetViews>
  <sheetFormatPr defaultRowHeight="14.4"/>
  <sheetData/>
  <phoneticPr fontId="135"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518" t="s">
        <v>2605</v>
      </c>
      <c r="B20" s="3508" t="s">
        <v>2626</v>
      </c>
      <c r="C20" s="3166" t="s">
        <v>2437</v>
      </c>
      <c r="D20" s="3166"/>
      <c r="E20" s="2842">
        <v>1</v>
      </c>
      <c r="F20" s="2843" t="s">
        <v>2438</v>
      </c>
      <c r="G20" s="2843"/>
    </row>
    <row r="21" spans="1:13" ht="19.5" customHeight="1">
      <c r="A21" s="3519"/>
      <c r="B21" s="3509"/>
      <c r="C21" s="2855" t="s">
        <v>2439</v>
      </c>
      <c r="D21" s="2855"/>
      <c r="E21" s="2846">
        <v>1</v>
      </c>
      <c r="F21" s="2843" t="s">
        <v>2440</v>
      </c>
      <c r="G21" s="2843"/>
    </row>
    <row r="22" spans="1:13" ht="19.5" customHeight="1">
      <c r="A22" s="3519"/>
      <c r="B22" s="3509"/>
      <c r="C22" s="2855" t="s">
        <v>2441</v>
      </c>
      <c r="D22" s="2855"/>
      <c r="E22" s="2846">
        <v>0.9</v>
      </c>
      <c r="F22" s="2843" t="s">
        <v>2442</v>
      </c>
      <c r="G22" s="2843"/>
    </row>
    <row r="23" spans="1:13" ht="19.5" customHeight="1">
      <c r="A23" s="3519"/>
      <c r="B23" s="3509"/>
      <c r="C23" s="2855" t="s">
        <v>2443</v>
      </c>
      <c r="D23" s="2855"/>
      <c r="E23" s="2846">
        <v>0.9</v>
      </c>
      <c r="F23" s="2843" t="s">
        <v>2444</v>
      </c>
      <c r="G23" s="2843"/>
    </row>
    <row r="24" spans="1:13" ht="19.5" customHeight="1">
      <c r="A24" s="3519"/>
      <c r="B24" s="3509"/>
      <c r="C24" s="2855" t="s">
        <v>2445</v>
      </c>
      <c r="D24" s="2855"/>
      <c r="E24" s="2846">
        <v>0.8</v>
      </c>
      <c r="F24" s="2843" t="s">
        <v>2446</v>
      </c>
      <c r="G24" s="2843"/>
    </row>
    <row r="25" spans="1:13" ht="19.5" customHeight="1">
      <c r="A25" s="3519"/>
      <c r="B25" s="3509"/>
      <c r="C25" s="2855" t="s">
        <v>2447</v>
      </c>
      <c r="D25" s="2855"/>
      <c r="E25" s="2846">
        <v>0.8</v>
      </c>
      <c r="F25" s="2843"/>
      <c r="G25" s="2843"/>
    </row>
    <row r="26" spans="1:13" ht="19.5" customHeight="1">
      <c r="A26" s="3519"/>
      <c r="B26" s="3509"/>
      <c r="C26" s="2855" t="s">
        <v>3409</v>
      </c>
      <c r="D26" s="2855"/>
      <c r="E26" s="2846">
        <v>0.43</v>
      </c>
      <c r="F26" s="2843"/>
      <c r="G26" s="2843"/>
    </row>
    <row r="27" spans="1:13" ht="19.5" customHeight="1" thickBot="1">
      <c r="A27" s="3520"/>
      <c r="B27" s="3510"/>
      <c r="C27" s="3162" t="s">
        <v>3410</v>
      </c>
      <c r="D27" s="3162"/>
      <c r="E27" s="2849">
        <f>E26*0.9</f>
        <v>0.38700000000000001</v>
      </c>
      <c r="F27" s="2843" t="s">
        <v>2448</v>
      </c>
      <c r="G27" s="2843"/>
    </row>
    <row r="28" spans="1:13" ht="19.5" customHeight="1" thickBot="1">
      <c r="A28" s="3161" t="s">
        <v>2627</v>
      </c>
      <c r="B28" s="3160" t="s">
        <v>2626</v>
      </c>
      <c r="C28" s="3163" t="s">
        <v>2628</v>
      </c>
      <c r="D28" s="3164"/>
      <c r="E28" s="3165">
        <v>1</v>
      </c>
      <c r="F28" s="2843" t="s">
        <v>2449</v>
      </c>
      <c r="G28" s="2843"/>
    </row>
    <row r="29" spans="1:13" ht="19.5" customHeight="1">
      <c r="A29" s="3511" t="s">
        <v>2629</v>
      </c>
      <c r="B29" s="3514" t="s">
        <v>2610</v>
      </c>
      <c r="C29" s="2840" t="s">
        <v>2450</v>
      </c>
      <c r="D29" s="2841"/>
      <c r="E29" s="2842">
        <v>1</v>
      </c>
      <c r="F29" s="2843" t="s">
        <v>2451</v>
      </c>
      <c r="G29" s="2843"/>
    </row>
    <row r="30" spans="1:13" ht="19.5" customHeight="1">
      <c r="A30" s="3512"/>
      <c r="B30" s="3515"/>
      <c r="C30" s="2844" t="s">
        <v>2452</v>
      </c>
      <c r="D30" s="2845"/>
      <c r="E30" s="2846">
        <v>1</v>
      </c>
      <c r="F30" s="2843" t="s">
        <v>2453</v>
      </c>
      <c r="G30" s="2843"/>
    </row>
    <row r="31" spans="1:13" ht="19.5" customHeight="1">
      <c r="A31" s="3512"/>
      <c r="B31" s="3515"/>
      <c r="C31" s="2844" t="s">
        <v>2454</v>
      </c>
      <c r="D31" s="2845"/>
      <c r="E31" s="2846">
        <v>0.8</v>
      </c>
      <c r="F31" s="2843" t="s">
        <v>2455</v>
      </c>
      <c r="G31" s="2843"/>
    </row>
    <row r="32" spans="1:13" ht="19.5" customHeight="1">
      <c r="A32" s="3512"/>
      <c r="B32" s="3515"/>
      <c r="C32" s="2844" t="s">
        <v>2456</v>
      </c>
      <c r="D32" s="2845"/>
      <c r="E32" s="2846">
        <v>0.8</v>
      </c>
      <c r="F32" s="2843" t="s">
        <v>2457</v>
      </c>
      <c r="G32" s="2843"/>
    </row>
    <row r="33" spans="1:7" ht="19.5" customHeight="1">
      <c r="A33" s="3512"/>
      <c r="B33" s="3515"/>
      <c r="C33" s="2844" t="s">
        <v>2458</v>
      </c>
      <c r="D33" s="2845"/>
      <c r="E33" s="2846">
        <v>0.8</v>
      </c>
      <c r="F33" s="2843" t="s">
        <v>2459</v>
      </c>
      <c r="G33" s="2843"/>
    </row>
    <row r="34" spans="1:7" ht="19.5" customHeight="1">
      <c r="A34" s="3512"/>
      <c r="B34" s="3515"/>
      <c r="C34" s="2844" t="s">
        <v>2460</v>
      </c>
      <c r="D34" s="2845"/>
      <c r="E34" s="2846">
        <v>0.7</v>
      </c>
      <c r="F34" s="2843" t="s">
        <v>2461</v>
      </c>
      <c r="G34" s="2843"/>
    </row>
    <row r="35" spans="1:7" ht="19.5" customHeight="1">
      <c r="A35" s="3512"/>
      <c r="B35" s="3515"/>
      <c r="C35" s="2844" t="s">
        <v>2462</v>
      </c>
      <c r="D35" s="2845"/>
      <c r="E35" s="2846">
        <v>0.8</v>
      </c>
      <c r="F35" s="2843" t="s">
        <v>2463</v>
      </c>
      <c r="G35" s="2843"/>
    </row>
    <row r="36" spans="1:7" ht="19.5" customHeight="1">
      <c r="A36" s="3512"/>
      <c r="B36" s="3515"/>
      <c r="C36" s="2844" t="s">
        <v>2464</v>
      </c>
      <c r="D36" s="2845"/>
      <c r="E36" s="2846">
        <v>0.6</v>
      </c>
      <c r="F36" s="2843" t="s">
        <v>2465</v>
      </c>
      <c r="G36" s="2843"/>
    </row>
    <row r="37" spans="1:7" ht="19.5" customHeight="1">
      <c r="A37" s="3512"/>
      <c r="B37" s="3515"/>
      <c r="C37" s="2844" t="s">
        <v>2466</v>
      </c>
      <c r="D37" s="2845"/>
      <c r="E37" s="2846">
        <v>0.2</v>
      </c>
      <c r="F37" s="2843" t="s">
        <v>2467</v>
      </c>
      <c r="G37" s="2843"/>
    </row>
    <row r="38" spans="1:7" ht="19.5" customHeight="1">
      <c r="A38" s="3512"/>
      <c r="B38" s="3515"/>
      <c r="C38" s="2844" t="s">
        <v>2468</v>
      </c>
      <c r="D38" s="2845"/>
      <c r="E38" s="2846">
        <v>0.2</v>
      </c>
      <c r="F38" s="2843" t="s">
        <v>2469</v>
      </c>
      <c r="G38" s="2843"/>
    </row>
    <row r="39" spans="1:7" ht="19.5" customHeight="1">
      <c r="A39" s="3512"/>
      <c r="B39" s="3516" t="s">
        <v>2630</v>
      </c>
      <c r="C39" s="2844" t="s">
        <v>2470</v>
      </c>
      <c r="D39" s="2845"/>
      <c r="E39" s="2846">
        <v>0.6</v>
      </c>
      <c r="F39" s="2843" t="s">
        <v>2471</v>
      </c>
      <c r="G39" s="2843"/>
    </row>
    <row r="40" spans="1:7" ht="19.5" customHeight="1">
      <c r="A40" s="3512"/>
      <c r="B40" s="3515"/>
      <c r="C40" s="2844" t="s">
        <v>2472</v>
      </c>
      <c r="D40" s="2845"/>
      <c r="E40" s="2846">
        <v>0.6</v>
      </c>
      <c r="F40" s="2843" t="s">
        <v>2473</v>
      </c>
      <c r="G40" s="2843"/>
    </row>
    <row r="41" spans="1:7" ht="19.5" customHeight="1" thickBot="1">
      <c r="A41" s="3513"/>
      <c r="B41" s="3517"/>
      <c r="C41" s="2847" t="s">
        <v>2474</v>
      </c>
      <c r="D41" s="2848"/>
      <c r="E41" s="2849">
        <v>0.6</v>
      </c>
      <c r="F41" s="2843" t="s">
        <v>2475</v>
      </c>
      <c r="G41" s="2843"/>
    </row>
    <row r="42" spans="1:7" ht="19.5" customHeight="1" thickBot="1">
      <c r="A42" s="2850" t="s">
        <v>2607</v>
      </c>
      <c r="B42" s="2851" t="s">
        <v>2607</v>
      </c>
      <c r="C42" s="2852" t="s">
        <v>2631</v>
      </c>
      <c r="D42" s="2853"/>
      <c r="E42" s="2854">
        <v>1</v>
      </c>
      <c r="F42" s="2843" t="s">
        <v>2476</v>
      </c>
      <c r="G42" s="2843"/>
    </row>
    <row r="43" spans="1:7" ht="19.5" customHeight="1">
      <c r="A43" s="3518" t="s">
        <v>2608</v>
      </c>
      <c r="B43" s="3514" t="s">
        <v>2632</v>
      </c>
      <c r="C43" s="2840" t="s">
        <v>2477</v>
      </c>
      <c r="D43" s="2841"/>
      <c r="E43" s="2842">
        <v>1</v>
      </c>
      <c r="F43" s="2843" t="s">
        <v>2478</v>
      </c>
      <c r="G43" s="2843"/>
    </row>
    <row r="44" spans="1:7" ht="19.5" customHeight="1">
      <c r="A44" s="3519"/>
      <c r="B44" s="3515"/>
      <c r="C44" s="2844" t="s">
        <v>2479</v>
      </c>
      <c r="D44" s="2845"/>
      <c r="E44" s="2846">
        <v>1</v>
      </c>
      <c r="F44" s="2843" t="s">
        <v>2480</v>
      </c>
      <c r="G44" s="2843"/>
    </row>
    <row r="45" spans="1:7" ht="19.5" customHeight="1">
      <c r="A45" s="3519"/>
      <c r="B45" s="3521"/>
      <c r="C45" s="2844" t="s">
        <v>2481</v>
      </c>
      <c r="D45" s="2845"/>
      <c r="E45" s="2846">
        <v>1.5</v>
      </c>
      <c r="F45" s="2843" t="s">
        <v>2482</v>
      </c>
      <c r="G45" s="2843"/>
    </row>
    <row r="46" spans="1:7" ht="19.5" customHeight="1">
      <c r="A46" s="3519"/>
      <c r="B46" s="2855" t="s">
        <v>2633</v>
      </c>
      <c r="C46" s="2844" t="s">
        <v>2634</v>
      </c>
      <c r="D46" s="2845"/>
      <c r="E46" s="2846">
        <v>2</v>
      </c>
      <c r="F46" s="2843" t="s">
        <v>2483</v>
      </c>
      <c r="G46" s="2843"/>
    </row>
    <row r="47" spans="1:7" ht="19.5" customHeight="1">
      <c r="A47" s="3519"/>
      <c r="B47" s="3516" t="s">
        <v>2635</v>
      </c>
      <c r="C47" s="2844" t="s">
        <v>2484</v>
      </c>
      <c r="D47" s="2845"/>
      <c r="E47" s="2846">
        <v>1</v>
      </c>
      <c r="F47" s="2843" t="s">
        <v>2485</v>
      </c>
      <c r="G47" s="2843"/>
    </row>
    <row r="48" spans="1:7" ht="19.5" customHeight="1">
      <c r="A48" s="3519"/>
      <c r="B48" s="3515"/>
      <c r="C48" s="2844" t="s">
        <v>2486</v>
      </c>
      <c r="D48" s="2845"/>
      <c r="E48" s="2846">
        <v>1</v>
      </c>
      <c r="F48" s="2843" t="s">
        <v>2487</v>
      </c>
      <c r="G48" s="2843"/>
    </row>
    <row r="49" spans="1:7" ht="19.5" customHeight="1">
      <c r="A49" s="3519"/>
      <c r="B49" s="3515"/>
      <c r="C49" s="2844" t="s">
        <v>2488</v>
      </c>
      <c r="D49" s="2845"/>
      <c r="E49" s="2846">
        <v>1</v>
      </c>
      <c r="F49" s="2843" t="s">
        <v>2489</v>
      </c>
      <c r="G49" s="2843"/>
    </row>
    <row r="50" spans="1:7" ht="19.5" customHeight="1">
      <c r="A50" s="3519"/>
      <c r="B50" s="3515"/>
      <c r="C50" s="2844" t="s">
        <v>2490</v>
      </c>
      <c r="D50" s="2845"/>
      <c r="E50" s="2846">
        <v>1</v>
      </c>
      <c r="F50" s="2843" t="s">
        <v>2491</v>
      </c>
      <c r="G50" s="2843"/>
    </row>
    <row r="51" spans="1:7" ht="19.5" customHeight="1">
      <c r="A51" s="3519"/>
      <c r="B51" s="3515"/>
      <c r="C51" s="2844" t="s">
        <v>2492</v>
      </c>
      <c r="D51" s="2845"/>
      <c r="E51" s="2846">
        <v>1</v>
      </c>
      <c r="F51" s="2843" t="s">
        <v>2493</v>
      </c>
      <c r="G51" s="2843"/>
    </row>
    <row r="52" spans="1:7" ht="19.5" customHeight="1">
      <c r="A52" s="3519"/>
      <c r="B52" s="3515"/>
      <c r="C52" s="2844" t="s">
        <v>2494</v>
      </c>
      <c r="D52" s="2845"/>
      <c r="E52" s="2846">
        <v>1</v>
      </c>
      <c r="F52" s="2843" t="s">
        <v>2495</v>
      </c>
      <c r="G52" s="2843"/>
    </row>
    <row r="53" spans="1:7" ht="19.5" customHeight="1" thickBot="1">
      <c r="A53" s="3520"/>
      <c r="B53" s="3517"/>
      <c r="C53" s="2847" t="s">
        <v>2496</v>
      </c>
      <c r="D53" s="2848"/>
      <c r="E53" s="2849">
        <v>1</v>
      </c>
      <c r="F53" s="2843" t="s">
        <v>2497</v>
      </c>
      <c r="G53" s="2843"/>
    </row>
    <row r="54" spans="1:7" ht="19.5" customHeight="1">
      <c r="A54" s="2856"/>
      <c r="B54" s="2856"/>
      <c r="C54" s="2856"/>
      <c r="D54" s="2856"/>
      <c r="E54" s="2856"/>
      <c r="F54" s="2856"/>
      <c r="G54" s="2856"/>
    </row>
    <row r="56" spans="1:7" ht="19.5" customHeight="1">
      <c r="A56" s="2857"/>
      <c r="B56" s="2829" t="s">
        <v>2636</v>
      </c>
      <c r="C56" s="2829" t="s">
        <v>2636</v>
      </c>
      <c r="D56" s="2829" t="s">
        <v>2636</v>
      </c>
      <c r="E56" s="2832" t="s">
        <v>2636</v>
      </c>
      <c r="F56" s="2832" t="s">
        <v>2637</v>
      </c>
      <c r="G56" s="2832" t="s">
        <v>2638</v>
      </c>
    </row>
    <row r="57" spans="1:7" ht="19.5" customHeight="1">
      <c r="A57" s="2858"/>
      <c r="B57" s="2832" t="s">
        <v>2605</v>
      </c>
      <c r="C57" s="2832" t="s">
        <v>2605</v>
      </c>
      <c r="D57" s="2832" t="s">
        <v>2605</v>
      </c>
      <c r="E57" s="2829" t="s">
        <v>2606</v>
      </c>
      <c r="F57" s="2829" t="s">
        <v>2608</v>
      </c>
      <c r="G57" s="2829" t="s">
        <v>2639</v>
      </c>
    </row>
    <row r="58" spans="1:7" ht="19.5" customHeight="1">
      <c r="A58" s="2859"/>
      <c r="B58" s="2829">
        <v>1</v>
      </c>
      <c r="C58" s="2829">
        <v>2</v>
      </c>
      <c r="D58" s="2829">
        <v>3</v>
      </c>
      <c r="E58" s="2860" t="s">
        <v>2640</v>
      </c>
      <c r="F58" s="2860" t="s">
        <v>2640</v>
      </c>
      <c r="G58" s="2860" t="s">
        <v>2640</v>
      </c>
    </row>
    <row r="59" spans="1:7" ht="19.5" customHeight="1">
      <c r="A59" s="2861" t="s">
        <v>2593</v>
      </c>
      <c r="B59" s="2829">
        <v>0.7</v>
      </c>
      <c r="C59" s="2829">
        <v>0.4</v>
      </c>
      <c r="D59" s="2829">
        <v>0.3</v>
      </c>
      <c r="E59" s="2860">
        <v>0.3</v>
      </c>
      <c r="F59" s="2829">
        <v>0.3</v>
      </c>
      <c r="G59" s="2829">
        <v>0.2</v>
      </c>
    </row>
    <row r="60" spans="1:7" ht="19.5" customHeight="1">
      <c r="A60" s="2861" t="s">
        <v>2594</v>
      </c>
      <c r="B60" s="2829">
        <v>0.7</v>
      </c>
      <c r="C60" s="2829">
        <v>0.4</v>
      </c>
      <c r="D60" s="2829">
        <v>0.3</v>
      </c>
      <c r="E60" s="2829">
        <v>0.3</v>
      </c>
      <c r="F60" s="2829">
        <v>0.3</v>
      </c>
      <c r="G60" s="2829">
        <v>0.2</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0.6</v>
      </c>
      <c r="C64" s="2829">
        <v>0.3</v>
      </c>
      <c r="D64" s="2829">
        <v>0.25</v>
      </c>
      <c r="E64" s="2829">
        <v>0.25</v>
      </c>
      <c r="F64" s="2829">
        <v>0.25</v>
      </c>
      <c r="G64" s="2829">
        <v>0.15</v>
      </c>
    </row>
    <row r="65" spans="1:7" ht="19.5" customHeight="1">
      <c r="A65" s="2861" t="s">
        <v>2599</v>
      </c>
      <c r="B65" s="2829">
        <v>0.6</v>
      </c>
      <c r="C65" s="2829">
        <v>0.3</v>
      </c>
      <c r="D65" s="2829">
        <v>0.25</v>
      </c>
      <c r="E65" s="2829">
        <v>0.25</v>
      </c>
      <c r="F65" s="2829">
        <v>0.25</v>
      </c>
      <c r="G65" s="2829">
        <v>0.15</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69" spans="1:7" ht="19.5" customHeight="1">
      <c r="A69" s="2861" t="s">
        <v>2603</v>
      </c>
      <c r="B69" s="2829">
        <v>0.5</v>
      </c>
      <c r="C69" s="2829">
        <v>0.2</v>
      </c>
      <c r="D69" s="2829">
        <v>0.2</v>
      </c>
      <c r="E69" s="2829">
        <v>0.2</v>
      </c>
      <c r="F69" s="2829">
        <v>0.2</v>
      </c>
      <c r="G69" s="2829">
        <v>0.1</v>
      </c>
    </row>
    <row r="70" spans="1:7" ht="19.5" customHeight="1">
      <c r="A70" s="2861" t="s">
        <v>2604</v>
      </c>
      <c r="B70" s="2829">
        <v>0.5</v>
      </c>
      <c r="C70" s="2829">
        <v>0.2</v>
      </c>
      <c r="D70" s="2829">
        <v>0.2</v>
      </c>
      <c r="E70" s="2829">
        <v>0.2</v>
      </c>
      <c r="F70" s="2829">
        <v>0.2</v>
      </c>
      <c r="G70" s="2829">
        <v>0.1</v>
      </c>
    </row>
    <row r="72" spans="1:7" ht="19.5" customHeight="1">
      <c r="A72" s="2843"/>
      <c r="B72" s="2862"/>
      <c r="C72" s="2862"/>
      <c r="D72" s="2862" t="s">
        <v>2641</v>
      </c>
      <c r="E72" s="2862"/>
      <c r="F72" s="2862"/>
    </row>
    <row r="73" spans="1:7" ht="19.5" customHeight="1">
      <c r="A73" s="2855" t="s">
        <v>2642</v>
      </c>
      <c r="B73" s="2855" t="s">
        <v>2643</v>
      </c>
      <c r="C73" s="2855" t="s">
        <v>2644</v>
      </c>
      <c r="D73" s="2855" t="s">
        <v>2645</v>
      </c>
      <c r="E73" s="2855" t="s">
        <v>2646</v>
      </c>
      <c r="F73" s="2855" t="s">
        <v>2647</v>
      </c>
    </row>
    <row r="74" spans="1:7" ht="14.4">
      <c r="A74" s="2855"/>
      <c r="B74" s="2855"/>
      <c r="C74" s="2855" t="s">
        <v>2648</v>
      </c>
      <c r="D74" s="2855"/>
      <c r="E74" s="2855" t="s">
        <v>2619</v>
      </c>
      <c r="F74" s="2855" t="s">
        <v>2619</v>
      </c>
    </row>
    <row r="75" spans="1:7" ht="14.4">
      <c r="A75" s="2855">
        <v>1</v>
      </c>
      <c r="B75" s="3516" t="s">
        <v>2649</v>
      </c>
      <c r="C75" s="2829" t="s">
        <v>2650</v>
      </c>
      <c r="D75" s="2829" t="s">
        <v>2651</v>
      </c>
      <c r="E75" s="2855">
        <v>0.2</v>
      </c>
      <c r="F75" s="2855">
        <v>25</v>
      </c>
    </row>
    <row r="76" spans="1:7" ht="24">
      <c r="A76" s="2855">
        <v>2</v>
      </c>
      <c r="B76" s="3515"/>
      <c r="C76" s="2829" t="s">
        <v>2652</v>
      </c>
      <c r="D76" s="2829" t="s">
        <v>2653</v>
      </c>
      <c r="E76" s="2855">
        <v>0.2</v>
      </c>
      <c r="F76" s="2855">
        <v>25</v>
      </c>
    </row>
    <row r="77" spans="1:7" ht="24">
      <c r="A77" s="2855">
        <v>3</v>
      </c>
      <c r="B77" s="3515"/>
      <c r="C77" s="2829" t="s">
        <v>2654</v>
      </c>
      <c r="D77" s="2829" t="s">
        <v>2655</v>
      </c>
      <c r="E77" s="2855">
        <v>0.2</v>
      </c>
      <c r="F77" s="2855">
        <v>25</v>
      </c>
    </row>
    <row r="78" spans="1:7" ht="14.4">
      <c r="A78" s="2855">
        <v>4</v>
      </c>
      <c r="B78" s="3515"/>
      <c r="C78" s="2829" t="s">
        <v>2656</v>
      </c>
      <c r="D78" s="2829" t="s">
        <v>2657</v>
      </c>
      <c r="E78" s="2855">
        <v>0.15</v>
      </c>
      <c r="F78" s="2855">
        <v>20</v>
      </c>
    </row>
    <row r="79" spans="1:7" ht="24">
      <c r="A79" s="2855">
        <v>5</v>
      </c>
      <c r="B79" s="3515"/>
      <c r="C79" s="2829" t="s">
        <v>2658</v>
      </c>
      <c r="D79" s="2829" t="s">
        <v>2659</v>
      </c>
      <c r="E79" s="2855">
        <v>0.15</v>
      </c>
      <c r="F79" s="2855">
        <v>20</v>
      </c>
    </row>
    <row r="80" spans="1:7" ht="24">
      <c r="A80" s="2855">
        <v>6</v>
      </c>
      <c r="B80" s="3515"/>
      <c r="C80" s="2829" t="s">
        <v>2660</v>
      </c>
      <c r="D80" s="2829" t="s">
        <v>2661</v>
      </c>
      <c r="E80" s="2855">
        <v>0.15</v>
      </c>
      <c r="F80" s="2855">
        <v>20</v>
      </c>
    </row>
    <row r="81" spans="1:6" ht="24">
      <c r="A81" s="2855">
        <v>7</v>
      </c>
      <c r="B81" s="3515"/>
      <c r="C81" s="2829" t="s">
        <v>2662</v>
      </c>
      <c r="D81" s="2829" t="s">
        <v>2663</v>
      </c>
      <c r="E81" s="2855">
        <v>0.15</v>
      </c>
      <c r="F81" s="2855">
        <v>20</v>
      </c>
    </row>
    <row r="82" spans="1:6" ht="24">
      <c r="A82" s="2855">
        <v>8</v>
      </c>
      <c r="B82" s="3515"/>
      <c r="C82" s="2829" t="s">
        <v>2664</v>
      </c>
      <c r="D82" s="2829" t="s">
        <v>2665</v>
      </c>
      <c r="E82" s="2855">
        <v>0.1</v>
      </c>
      <c r="F82" s="2855">
        <v>15</v>
      </c>
    </row>
    <row r="83" spans="1:6" ht="24">
      <c r="A83" s="2855">
        <v>9</v>
      </c>
      <c r="B83" s="3515"/>
      <c r="C83" s="2829" t="s">
        <v>2666</v>
      </c>
      <c r="D83" s="2829" t="s">
        <v>2667</v>
      </c>
      <c r="E83" s="2855">
        <v>0.1</v>
      </c>
      <c r="F83" s="2855">
        <v>15</v>
      </c>
    </row>
    <row r="84" spans="1:6" ht="24">
      <c r="A84" s="2855">
        <v>10</v>
      </c>
      <c r="B84" s="3515"/>
      <c r="C84" s="2829" t="s">
        <v>2668</v>
      </c>
      <c r="D84" s="2829" t="s">
        <v>2669</v>
      </c>
      <c r="E84" s="2855">
        <v>0.1</v>
      </c>
      <c r="F84" s="2855">
        <v>15</v>
      </c>
    </row>
    <row r="85" spans="1:6" ht="24">
      <c r="A85" s="2855">
        <v>11</v>
      </c>
      <c r="B85" s="3515"/>
      <c r="C85" s="2829" t="s">
        <v>2670</v>
      </c>
      <c r="D85" s="2829" t="s">
        <v>2671</v>
      </c>
      <c r="E85" s="2855">
        <v>0.1</v>
      </c>
      <c r="F85" s="2855">
        <v>15</v>
      </c>
    </row>
    <row r="86" spans="1:6" ht="24">
      <c r="A86" s="2855">
        <v>12</v>
      </c>
      <c r="B86" s="3515"/>
      <c r="C86" s="2829" t="s">
        <v>2672</v>
      </c>
      <c r="D86" s="2829" t="s">
        <v>2673</v>
      </c>
      <c r="E86" s="2855">
        <v>0.1</v>
      </c>
      <c r="F86" s="2855">
        <v>15</v>
      </c>
    </row>
    <row r="87" spans="1:6" ht="24">
      <c r="A87" s="2855">
        <v>13</v>
      </c>
      <c r="B87" s="3515"/>
      <c r="C87" s="2829" t="s">
        <v>2674</v>
      </c>
      <c r="D87" s="2829" t="s">
        <v>2675</v>
      </c>
      <c r="E87" s="2855">
        <v>0.1</v>
      </c>
      <c r="F87" s="2855">
        <v>15</v>
      </c>
    </row>
    <row r="88" spans="1:6" ht="24">
      <c r="A88" s="2855">
        <v>14</v>
      </c>
      <c r="B88" s="3515"/>
      <c r="C88" s="2829" t="s">
        <v>2676</v>
      </c>
      <c r="D88" s="2829" t="s">
        <v>2677</v>
      </c>
      <c r="E88" s="2855">
        <v>0.1</v>
      </c>
      <c r="F88" s="2855">
        <v>15</v>
      </c>
    </row>
    <row r="89" spans="1:6" ht="24">
      <c r="A89" s="2855">
        <v>15</v>
      </c>
      <c r="B89" s="3515"/>
      <c r="C89" s="2829" t="s">
        <v>2678</v>
      </c>
      <c r="D89" s="2829" t="s">
        <v>2679</v>
      </c>
      <c r="E89" s="2855">
        <v>0.1</v>
      </c>
      <c r="F89" s="2855">
        <v>15</v>
      </c>
    </row>
    <row r="90" spans="1:6" ht="24">
      <c r="A90" s="2855">
        <v>16</v>
      </c>
      <c r="B90" s="3515"/>
      <c r="C90" s="2829" t="s">
        <v>2680</v>
      </c>
      <c r="D90" s="2829" t="s">
        <v>2681</v>
      </c>
      <c r="E90" s="2855">
        <v>0.1</v>
      </c>
      <c r="F90" s="2855">
        <v>15</v>
      </c>
    </row>
    <row r="91" spans="1:6" ht="24">
      <c r="A91" s="2855">
        <v>17</v>
      </c>
      <c r="B91" s="3521"/>
      <c r="C91" s="2829" t="s">
        <v>2682</v>
      </c>
      <c r="D91" s="2829" t="s">
        <v>2683</v>
      </c>
      <c r="E91" s="2855">
        <v>0.1</v>
      </c>
      <c r="F91" s="2855">
        <v>15</v>
      </c>
    </row>
    <row r="92" spans="1:6" ht="14.4">
      <c r="A92" s="2855">
        <v>18</v>
      </c>
      <c r="B92" s="3516" t="s">
        <v>2684</v>
      </c>
      <c r="C92" s="2829" t="s">
        <v>2685</v>
      </c>
      <c r="D92" s="2829" t="s">
        <v>2686</v>
      </c>
      <c r="E92" s="2855">
        <v>0.2</v>
      </c>
      <c r="F92" s="2855">
        <v>25</v>
      </c>
    </row>
    <row r="93" spans="1:6" ht="24">
      <c r="A93" s="2855">
        <v>19</v>
      </c>
      <c r="B93" s="3515"/>
      <c r="C93" s="2829" t="s">
        <v>2687</v>
      </c>
      <c r="D93" s="2829" t="s">
        <v>2688</v>
      </c>
      <c r="E93" s="2855">
        <v>0.2</v>
      </c>
      <c r="F93" s="2855">
        <v>25</v>
      </c>
    </row>
    <row r="94" spans="1:6" ht="14.4">
      <c r="A94" s="2855">
        <v>20</v>
      </c>
      <c r="B94" s="3515"/>
      <c r="C94" s="2829" t="s">
        <v>2689</v>
      </c>
      <c r="D94" s="2829" t="s">
        <v>2690</v>
      </c>
      <c r="E94" s="2855">
        <v>0.15</v>
      </c>
      <c r="F94" s="2855">
        <v>20</v>
      </c>
    </row>
    <row r="95" spans="1:6" ht="24">
      <c r="A95" s="2855">
        <v>21</v>
      </c>
      <c r="B95" s="3515"/>
      <c r="C95" s="2829" t="s">
        <v>2691</v>
      </c>
      <c r="D95" s="2829" t="s">
        <v>2692</v>
      </c>
      <c r="E95" s="2855">
        <v>0.15</v>
      </c>
      <c r="F95" s="2855">
        <v>20</v>
      </c>
    </row>
    <row r="96" spans="1:6" ht="24">
      <c r="A96" s="2855">
        <v>22</v>
      </c>
      <c r="B96" s="3515"/>
      <c r="C96" s="2829" t="s">
        <v>2693</v>
      </c>
      <c r="D96" s="2829" t="s">
        <v>2694</v>
      </c>
      <c r="E96" s="2855">
        <v>0.15</v>
      </c>
      <c r="F96" s="2855">
        <v>20</v>
      </c>
    </row>
    <row r="97" spans="1:6" ht="36">
      <c r="A97" s="2855">
        <v>23</v>
      </c>
      <c r="B97" s="3515"/>
      <c r="C97" s="2829" t="s">
        <v>2695</v>
      </c>
      <c r="D97" s="2829" t="s">
        <v>2696</v>
      </c>
      <c r="E97" s="2855">
        <v>0.15</v>
      </c>
      <c r="F97" s="2855">
        <v>20</v>
      </c>
    </row>
    <row r="98" spans="1:6" ht="24">
      <c r="A98" s="2855">
        <v>24</v>
      </c>
      <c r="B98" s="3515"/>
      <c r="C98" s="2829" t="s">
        <v>2697</v>
      </c>
      <c r="D98" s="2829" t="s">
        <v>2698</v>
      </c>
      <c r="E98" s="2855">
        <v>0.1</v>
      </c>
      <c r="F98" s="2855">
        <v>15</v>
      </c>
    </row>
    <row r="99" spans="1:6" ht="24">
      <c r="A99" s="2855">
        <v>25</v>
      </c>
      <c r="B99" s="3515"/>
      <c r="C99" s="2829" t="s">
        <v>2699</v>
      </c>
      <c r="D99" s="2829" t="s">
        <v>2700</v>
      </c>
      <c r="E99" s="2855">
        <v>0.1</v>
      </c>
      <c r="F99" s="2855">
        <v>15</v>
      </c>
    </row>
    <row r="100" spans="1:6" ht="24">
      <c r="A100" s="2855">
        <v>26</v>
      </c>
      <c r="B100" s="3515"/>
      <c r="C100" s="2829" t="s">
        <v>2701</v>
      </c>
      <c r="D100" s="2829" t="s">
        <v>2702</v>
      </c>
      <c r="E100" s="2855">
        <v>0.1</v>
      </c>
      <c r="F100" s="2855">
        <v>15</v>
      </c>
    </row>
    <row r="101" spans="1:6" ht="24">
      <c r="A101" s="2855">
        <v>27</v>
      </c>
      <c r="B101" s="3515"/>
      <c r="C101" s="2829" t="s">
        <v>2703</v>
      </c>
      <c r="D101" s="2829" t="s">
        <v>2704</v>
      </c>
      <c r="E101" s="2855">
        <v>0.1</v>
      </c>
      <c r="F101" s="2855">
        <v>15</v>
      </c>
    </row>
    <row r="102" spans="1:6" ht="24">
      <c r="A102" s="2855">
        <v>28</v>
      </c>
      <c r="B102" s="3515"/>
      <c r="C102" s="2829" t="s">
        <v>2705</v>
      </c>
      <c r="D102" s="2829" t="s">
        <v>2706</v>
      </c>
      <c r="E102" s="2855">
        <v>0.1</v>
      </c>
      <c r="F102" s="2855">
        <v>15</v>
      </c>
    </row>
    <row r="103" spans="1:6" ht="24">
      <c r="A103" s="2855">
        <v>29</v>
      </c>
      <c r="B103" s="3515"/>
      <c r="C103" s="2829" t="s">
        <v>2707</v>
      </c>
      <c r="D103" s="2829" t="s">
        <v>2708</v>
      </c>
      <c r="E103" s="2855">
        <v>0.1</v>
      </c>
      <c r="F103" s="2855">
        <v>15</v>
      </c>
    </row>
    <row r="104" spans="1:6" ht="24">
      <c r="A104" s="2855">
        <v>30</v>
      </c>
      <c r="B104" s="3515"/>
      <c r="C104" s="2829" t="s">
        <v>2709</v>
      </c>
      <c r="D104" s="2829" t="s">
        <v>2710</v>
      </c>
      <c r="E104" s="2855">
        <v>0.1</v>
      </c>
      <c r="F104" s="2855">
        <v>15</v>
      </c>
    </row>
    <row r="105" spans="1:6" ht="24">
      <c r="A105" s="2855">
        <v>31</v>
      </c>
      <c r="B105" s="3515"/>
      <c r="C105" s="2829" t="s">
        <v>2711</v>
      </c>
      <c r="D105" s="2829" t="s">
        <v>2712</v>
      </c>
      <c r="E105" s="2855">
        <v>0.1</v>
      </c>
      <c r="F105" s="2855">
        <v>15</v>
      </c>
    </row>
    <row r="106" spans="1:6" ht="24">
      <c r="A106" s="2855">
        <v>32</v>
      </c>
      <c r="B106" s="3515"/>
      <c r="C106" s="2829" t="s">
        <v>2713</v>
      </c>
      <c r="D106" s="2829" t="s">
        <v>2714</v>
      </c>
      <c r="E106" s="2855">
        <v>0.1</v>
      </c>
      <c r="F106" s="2855">
        <v>15</v>
      </c>
    </row>
    <row r="107" spans="1:6" ht="24">
      <c r="A107" s="2855">
        <v>33</v>
      </c>
      <c r="B107" s="3515"/>
      <c r="C107" s="2829" t="s">
        <v>2715</v>
      </c>
      <c r="D107" s="2829" t="s">
        <v>2716</v>
      </c>
      <c r="E107" s="2855">
        <v>0.1</v>
      </c>
      <c r="F107" s="2855">
        <v>15</v>
      </c>
    </row>
    <row r="108" spans="1:6" ht="24">
      <c r="A108" s="2855">
        <v>34</v>
      </c>
      <c r="B108" s="3521"/>
      <c r="C108" s="2829" t="s">
        <v>2717</v>
      </c>
      <c r="D108" s="2829" t="s">
        <v>2718</v>
      </c>
      <c r="E108" s="2855">
        <v>0.1</v>
      </c>
      <c r="F108" s="2855">
        <v>15</v>
      </c>
    </row>
    <row r="109" spans="1:6" ht="36">
      <c r="A109" s="2855">
        <v>35</v>
      </c>
      <c r="B109" s="3516" t="s">
        <v>2719</v>
      </c>
      <c r="C109" s="2855" t="s">
        <v>2720</v>
      </c>
      <c r="D109" s="2829" t="s">
        <v>2721</v>
      </c>
      <c r="E109" s="2855">
        <v>0.15</v>
      </c>
      <c r="F109" s="2855">
        <v>20</v>
      </c>
    </row>
    <row r="110" spans="1:6" ht="24">
      <c r="A110" s="2855">
        <v>36</v>
      </c>
      <c r="B110" s="3515"/>
      <c r="C110" s="2855" t="s">
        <v>2722</v>
      </c>
      <c r="D110" s="2829" t="s">
        <v>2723</v>
      </c>
      <c r="E110" s="2855">
        <v>0.15</v>
      </c>
      <c r="F110" s="2855">
        <v>20</v>
      </c>
    </row>
    <row r="111" spans="1:6" ht="24">
      <c r="A111" s="2855">
        <v>37</v>
      </c>
      <c r="B111" s="3515"/>
      <c r="C111" s="2855" t="s">
        <v>2724</v>
      </c>
      <c r="D111" s="2829" t="s">
        <v>2725</v>
      </c>
      <c r="E111" s="2855">
        <v>0.15</v>
      </c>
      <c r="F111" s="2855">
        <v>20</v>
      </c>
    </row>
    <row r="112" spans="1:6" ht="24">
      <c r="A112" s="2855">
        <v>38</v>
      </c>
      <c r="B112" s="3515"/>
      <c r="C112" s="2855" t="s">
        <v>2726</v>
      </c>
      <c r="D112" s="2829" t="s">
        <v>2727</v>
      </c>
      <c r="E112" s="2855">
        <v>0.1</v>
      </c>
      <c r="F112" s="2855">
        <v>15</v>
      </c>
    </row>
    <row r="113" spans="1:6" ht="24">
      <c r="A113" s="2855">
        <v>39</v>
      </c>
      <c r="B113" s="3515"/>
      <c r="C113" s="2855" t="s">
        <v>2728</v>
      </c>
      <c r="D113" s="2829" t="s">
        <v>2729</v>
      </c>
      <c r="E113" s="2855">
        <v>0.1</v>
      </c>
      <c r="F113" s="2855">
        <v>15</v>
      </c>
    </row>
    <row r="114" spans="1:6" ht="24">
      <c r="A114" s="2855">
        <v>40</v>
      </c>
      <c r="B114" s="3521"/>
      <c r="C114" s="2855" t="s">
        <v>2730</v>
      </c>
      <c r="D114" s="2829" t="s">
        <v>2731</v>
      </c>
      <c r="E114" s="2855">
        <v>0.1</v>
      </c>
      <c r="F114" s="2855">
        <v>15</v>
      </c>
    </row>
    <row r="115" spans="1:6" ht="24">
      <c r="A115" s="2855">
        <v>41</v>
      </c>
      <c r="B115" s="3509" t="s">
        <v>2732</v>
      </c>
      <c r="C115" s="2855" t="s">
        <v>2733</v>
      </c>
      <c r="D115" s="2829" t="s">
        <v>2734</v>
      </c>
      <c r="E115" s="2855">
        <v>0.1</v>
      </c>
      <c r="F115" s="2855">
        <v>15</v>
      </c>
    </row>
    <row r="116" spans="1:6" ht="24">
      <c r="A116" s="2855">
        <v>42</v>
      </c>
      <c r="B116" s="3509"/>
      <c r="C116" s="2855" t="s">
        <v>2735</v>
      </c>
      <c r="D116" s="2829" t="s">
        <v>2736</v>
      </c>
      <c r="E116" s="2855">
        <v>0.1</v>
      </c>
      <c r="F116" s="2855">
        <v>15</v>
      </c>
    </row>
    <row r="117" spans="1:6" ht="24">
      <c r="A117" s="2855">
        <v>43</v>
      </c>
      <c r="B117" s="3509"/>
      <c r="C117" s="2855" t="s">
        <v>2737</v>
      </c>
      <c r="D117" s="2829" t="s">
        <v>2738</v>
      </c>
      <c r="E117" s="2855">
        <v>0.1</v>
      </c>
      <c r="F117" s="2855">
        <v>15</v>
      </c>
    </row>
    <row r="118" spans="1:6" ht="24">
      <c r="A118" s="2855">
        <v>44</v>
      </c>
      <c r="B118" s="3516" t="s">
        <v>2739</v>
      </c>
      <c r="C118" s="2855" t="s">
        <v>2740</v>
      </c>
      <c r="D118" s="2829" t="s">
        <v>2741</v>
      </c>
      <c r="E118" s="2855">
        <v>0.1</v>
      </c>
      <c r="F118" s="2855">
        <v>15</v>
      </c>
    </row>
    <row r="119" spans="1:6" ht="24">
      <c r="A119" s="2855">
        <v>45</v>
      </c>
      <c r="B119" s="3521"/>
      <c r="C119" s="2829" t="s">
        <v>2742</v>
      </c>
      <c r="D119" s="2829" t="s">
        <v>2743</v>
      </c>
      <c r="E119" s="2855">
        <v>0.1</v>
      </c>
      <c r="F119" s="2855">
        <v>15</v>
      </c>
    </row>
    <row r="120" spans="1:6" ht="24">
      <c r="A120" s="2855">
        <v>46</v>
      </c>
      <c r="B120" s="3516" t="s">
        <v>2744</v>
      </c>
      <c r="C120" s="2855" t="s">
        <v>2745</v>
      </c>
      <c r="D120" s="2829" t="s">
        <v>2746</v>
      </c>
      <c r="E120" s="2855">
        <v>0.1</v>
      </c>
      <c r="F120" s="2855">
        <v>15</v>
      </c>
    </row>
    <row r="121" spans="1:6" ht="24">
      <c r="A121" s="2855">
        <v>47</v>
      </c>
      <c r="B121" s="3521"/>
      <c r="C121" s="2855" t="s">
        <v>2747</v>
      </c>
      <c r="D121" s="2829" t="s">
        <v>2748</v>
      </c>
      <c r="E121" s="2855">
        <v>0.1</v>
      </c>
      <c r="F121" s="2855">
        <v>15</v>
      </c>
    </row>
    <row r="122" spans="1:6" ht="24">
      <c r="A122" s="2855">
        <v>48</v>
      </c>
      <c r="B122" s="3516" t="s">
        <v>2749</v>
      </c>
      <c r="C122" s="2855" t="s">
        <v>2750</v>
      </c>
      <c r="D122" s="2829" t="s">
        <v>2751</v>
      </c>
      <c r="E122" s="2855">
        <v>0.1</v>
      </c>
      <c r="F122" s="2855">
        <v>15</v>
      </c>
    </row>
    <row r="123" spans="1:6" ht="24">
      <c r="A123" s="2855">
        <v>49</v>
      </c>
      <c r="B123" s="3521"/>
      <c r="C123" s="2855" t="s">
        <v>2752</v>
      </c>
      <c r="D123" s="2829" t="s">
        <v>2753</v>
      </c>
      <c r="E123" s="2855">
        <v>0.1</v>
      </c>
      <c r="F123" s="2855">
        <v>15</v>
      </c>
    </row>
    <row r="124" spans="1:6" ht="24">
      <c r="A124" s="2855">
        <v>50</v>
      </c>
      <c r="B124" s="3509" t="s">
        <v>2754</v>
      </c>
      <c r="C124" s="2855" t="s">
        <v>2755</v>
      </c>
      <c r="D124" s="2829" t="s">
        <v>2756</v>
      </c>
      <c r="E124" s="2855">
        <v>0.1</v>
      </c>
      <c r="F124" s="2855">
        <v>15</v>
      </c>
    </row>
    <row r="125" spans="1:6" ht="24">
      <c r="A125" s="2855">
        <v>51</v>
      </c>
      <c r="B125" s="3509"/>
      <c r="C125" s="2855" t="s">
        <v>2757</v>
      </c>
      <c r="D125" s="2829" t="s">
        <v>2758</v>
      </c>
      <c r="E125" s="2855">
        <v>0.1</v>
      </c>
      <c r="F125" s="2855">
        <v>15</v>
      </c>
    </row>
    <row r="126" spans="1:6" ht="24">
      <c r="A126" s="2855">
        <v>52</v>
      </c>
      <c r="B126" s="3509" t="s">
        <v>2759</v>
      </c>
      <c r="C126" s="2855" t="s">
        <v>2760</v>
      </c>
      <c r="D126" s="2829" t="s">
        <v>2761</v>
      </c>
      <c r="E126" s="2855">
        <v>0.1</v>
      </c>
      <c r="F126" s="2855">
        <v>15</v>
      </c>
    </row>
    <row r="127" spans="1:6" ht="24">
      <c r="A127" s="2855">
        <v>53</v>
      </c>
      <c r="B127" s="3509"/>
      <c r="C127" s="2855" t="s">
        <v>2762</v>
      </c>
      <c r="D127" s="2829" t="s">
        <v>2763</v>
      </c>
      <c r="E127" s="2855">
        <v>0.1</v>
      </c>
      <c r="F127" s="2855">
        <v>15</v>
      </c>
    </row>
    <row r="128" spans="1:6" ht="24">
      <c r="A128" s="2855">
        <v>54</v>
      </c>
      <c r="B128" s="2855" t="s">
        <v>2764</v>
      </c>
      <c r="C128" s="2855" t="s">
        <v>2765</v>
      </c>
      <c r="D128" s="2829" t="s">
        <v>2766</v>
      </c>
      <c r="E128" s="2855">
        <v>0.1</v>
      </c>
      <c r="F128" s="2855">
        <v>15</v>
      </c>
    </row>
    <row r="129" spans="1:6" ht="24">
      <c r="A129" s="2855">
        <v>55</v>
      </c>
      <c r="B129" s="3509" t="s">
        <v>2767</v>
      </c>
      <c r="C129" s="2855" t="s">
        <v>2768</v>
      </c>
      <c r="D129" s="2829" t="s">
        <v>2769</v>
      </c>
      <c r="E129" s="2855">
        <v>0.1</v>
      </c>
      <c r="F129" s="2855">
        <v>15</v>
      </c>
    </row>
    <row r="130" spans="1:6" ht="24">
      <c r="A130" s="2855">
        <v>56</v>
      </c>
      <c r="B130" s="3509"/>
      <c r="C130" s="2855" t="s">
        <v>2770</v>
      </c>
      <c r="D130" s="2829" t="s">
        <v>2771</v>
      </c>
      <c r="E130" s="2855">
        <v>0.1</v>
      </c>
      <c r="F130" s="2855">
        <v>15</v>
      </c>
    </row>
    <row r="131" spans="1:6" ht="24">
      <c r="A131" s="2855">
        <v>57</v>
      </c>
      <c r="B131" s="3509"/>
      <c r="C131" s="2855" t="s">
        <v>2772</v>
      </c>
      <c r="D131" s="2829" t="s">
        <v>2773</v>
      </c>
      <c r="E131" s="2855">
        <v>0.1</v>
      </c>
      <c r="F131" s="2855">
        <v>15</v>
      </c>
    </row>
    <row r="132" spans="1:6" ht="24">
      <c r="A132" s="2855">
        <v>58</v>
      </c>
      <c r="B132" s="3509" t="s">
        <v>2774</v>
      </c>
      <c r="C132" s="2855" t="s">
        <v>2775</v>
      </c>
      <c r="D132" s="2829" t="s">
        <v>2776</v>
      </c>
      <c r="E132" s="2855">
        <v>0.1</v>
      </c>
      <c r="F132" s="2855">
        <v>15</v>
      </c>
    </row>
    <row r="133" spans="1:6" ht="24">
      <c r="A133" s="2855">
        <v>59</v>
      </c>
      <c r="B133" s="3509"/>
      <c r="C133" s="2855" t="s">
        <v>2777</v>
      </c>
      <c r="D133" s="2829" t="s">
        <v>2778</v>
      </c>
      <c r="E133" s="2855">
        <v>0.1</v>
      </c>
      <c r="F133" s="2855">
        <v>15</v>
      </c>
    </row>
    <row r="134" spans="1:6" ht="24">
      <c r="A134" s="2855">
        <v>60</v>
      </c>
      <c r="B134" s="3516" t="s">
        <v>2779</v>
      </c>
      <c r="C134" s="2855" t="s">
        <v>2780</v>
      </c>
      <c r="D134" s="2829" t="s">
        <v>2781</v>
      </c>
      <c r="E134" s="2855">
        <v>0.1</v>
      </c>
      <c r="F134" s="2855">
        <v>15</v>
      </c>
    </row>
    <row r="135" spans="1:6" ht="24">
      <c r="A135" s="2855">
        <v>61</v>
      </c>
      <c r="B135" s="3521"/>
      <c r="C135" s="2855" t="s">
        <v>2782</v>
      </c>
      <c r="D135" s="2829" t="s">
        <v>2783</v>
      </c>
      <c r="E135" s="2855">
        <v>0.1</v>
      </c>
      <c r="F135" s="2855">
        <v>15</v>
      </c>
    </row>
    <row r="136" spans="1:6" ht="24">
      <c r="A136" s="2855">
        <v>62</v>
      </c>
      <c r="B136" s="2855" t="s">
        <v>2784</v>
      </c>
      <c r="C136" s="2855" t="s">
        <v>2785</v>
      </c>
      <c r="D136" s="2829" t="s">
        <v>2786</v>
      </c>
      <c r="E136" s="2855">
        <v>0.1</v>
      </c>
      <c r="F136" s="2855">
        <v>15</v>
      </c>
    </row>
    <row r="137" spans="1:6" ht="24">
      <c r="A137" s="2855">
        <v>63</v>
      </c>
      <c r="B137" s="3509" t="s">
        <v>2787</v>
      </c>
      <c r="C137" s="2855" t="s">
        <v>2788</v>
      </c>
      <c r="D137" s="2829" t="s">
        <v>2789</v>
      </c>
      <c r="E137" s="2855">
        <v>0.1</v>
      </c>
      <c r="F137" s="2855">
        <v>15</v>
      </c>
    </row>
    <row r="138" spans="1:6" ht="24">
      <c r="A138" s="2855">
        <v>64</v>
      </c>
      <c r="B138" s="3509"/>
      <c r="C138" s="2855" t="s">
        <v>2790</v>
      </c>
      <c r="D138" s="2829" t="s">
        <v>2791</v>
      </c>
      <c r="E138" s="2855">
        <v>0.1</v>
      </c>
      <c r="F138" s="2855">
        <v>15</v>
      </c>
    </row>
    <row r="139" spans="1:6" ht="24">
      <c r="A139" s="2855">
        <v>65</v>
      </c>
      <c r="B139" s="2855" t="s">
        <v>2792</v>
      </c>
      <c r="C139" s="2855" t="s">
        <v>2793</v>
      </c>
      <c r="D139" s="2829" t="s">
        <v>2794</v>
      </c>
      <c r="E139" s="2855">
        <v>0.1</v>
      </c>
      <c r="F139" s="2855">
        <v>15</v>
      </c>
    </row>
    <row r="140" spans="1:6" ht="14.4">
      <c r="A140" s="2855"/>
      <c r="B140" s="2855"/>
      <c r="C140" s="2855"/>
      <c r="D140" s="2855"/>
      <c r="E140" s="2855" t="s">
        <v>2795</v>
      </c>
      <c r="F140" s="2855" t="s">
        <v>2795</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0.91539999999999999</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0.83330000000000004</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27610</v>
      </c>
      <c r="C2" s="2" t="s">
        <v>106</v>
      </c>
      <c r="D2" s="191"/>
      <c r="E2" s="191"/>
      <c r="F2" s="191"/>
      <c r="G2" s="191"/>
    </row>
    <row r="3" spans="1:7" s="192" customFormat="1" ht="18" customHeight="1" thickBot="1">
      <c r="A3" s="195" t="s">
        <v>58</v>
      </c>
      <c r="B3" s="196">
        <f ca="1">ROUND(B2*10000/'数据-汇总表'!E3,0)</f>
        <v>3379023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2</v>
      </c>
      <c r="D10" s="795">
        <f>'数据-汇总表'!E6</f>
        <v>81.709999999999994</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81.709999999999994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27566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81.709999999999994</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85" t="s">
        <v>94</v>
      </c>
    </row>
    <row r="43" spans="1:7" ht="13.5" customHeight="1">
      <c r="A43" s="734" t="s">
        <v>347</v>
      </c>
      <c r="B43" s="207" t="s">
        <v>426</v>
      </c>
      <c r="C43" s="230">
        <f ca="1">ROUND(IF('数据-取费表'!B22&lt;=1,C39*F22*'数据-取费表'!B21/2,C39*(POWER((1+F22),'数据-取费表'!B21/2)-1)),0)</f>
        <v>0</v>
      </c>
      <c r="D43" s="230"/>
      <c r="E43" s="230"/>
      <c r="F43" s="231"/>
      <c r="G43" s="3386"/>
    </row>
    <row r="44" spans="1:7" ht="13.5" customHeight="1">
      <c r="A44" s="734" t="s">
        <v>348</v>
      </c>
      <c r="B44" s="207" t="s">
        <v>428</v>
      </c>
      <c r="C44" s="230">
        <f ca="1">ROUND(IF('数据-取费表'!B22&lt;=1,C40*F22*'数据-取费表'!B21/2,C40*(POWER((1+F22),'数据-取费表'!B21/2)-1)),4)</f>
        <v>5.9999999999999995E-4</v>
      </c>
      <c r="D44" s="230"/>
      <c r="E44" s="230"/>
      <c r="F44" s="231"/>
      <c r="G44" s="3387"/>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50</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44</v>
      </c>
      <c r="D51" s="224"/>
      <c r="E51" s="224"/>
      <c r="F51" s="256"/>
      <c r="G51" s="226" t="s">
        <v>37</v>
      </c>
    </row>
    <row r="52" spans="1:7" s="200" customFormat="1" ht="16.8" thickBot="1">
      <c r="A52" s="257" t="s">
        <v>38</v>
      </c>
      <c r="B52" s="258"/>
      <c r="C52" s="259">
        <f ca="1">C31+C51</f>
        <v>27610</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22" t="s">
        <v>3179</v>
      </c>
      <c r="B1" s="3522"/>
    </row>
    <row r="2" spans="1:7" ht="15" thickBot="1">
      <c r="A2" s="2966"/>
      <c r="B2" s="2966"/>
    </row>
    <row r="3" spans="1:7" ht="15" thickBot="1">
      <c r="A3" s="2966"/>
      <c r="B3" s="2966"/>
      <c r="C3" s="2967" t="s">
        <v>2809</v>
      </c>
      <c r="D3" s="2967" t="s">
        <v>2865</v>
      </c>
      <c r="E3" s="2967" t="s">
        <v>2811</v>
      </c>
      <c r="F3" s="2967" t="s">
        <v>2866</v>
      </c>
      <c r="G3" s="2967" t="s">
        <v>2629</v>
      </c>
    </row>
    <row r="4" spans="1:7" ht="1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23" t="s">
        <v>3230</v>
      </c>
      <c r="B1" s="3523"/>
      <c r="C1" s="3523"/>
      <c r="D1" s="3523"/>
      <c r="E1" s="3523"/>
      <c r="F1" s="3524"/>
    </row>
    <row r="2" spans="1:6">
      <c r="A2" s="3000" t="s">
        <v>3231</v>
      </c>
    </row>
    <row r="3" spans="1:6">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45875</v>
      </c>
      <c r="B1" s="2927" t="s">
        <v>3375</v>
      </c>
      <c r="C1" s="2928"/>
      <c r="D1" s="2928"/>
      <c r="E1" s="2928"/>
      <c r="F1" s="2928"/>
      <c r="G1" s="2928"/>
      <c r="H1" s="2928"/>
      <c r="I1" s="2928"/>
      <c r="J1" s="2894"/>
      <c r="K1" s="2928" t="s">
        <v>454</v>
      </c>
      <c r="L1" s="2928"/>
      <c r="M1" s="2928"/>
      <c r="N1" s="2928"/>
      <c r="O1" s="2928"/>
      <c r="P1" s="2928"/>
      <c r="Q1" s="2894"/>
      <c r="R1" s="3525" t="s">
        <v>456</v>
      </c>
      <c r="S1" s="3526"/>
      <c r="T1" s="3526"/>
      <c r="U1" s="3526"/>
      <c r="V1" s="3526"/>
      <c r="W1" s="3526"/>
      <c r="X1" s="2894"/>
      <c r="Y1" s="3525" t="s">
        <v>457</v>
      </c>
      <c r="Z1" s="3526"/>
      <c r="AA1" s="3526"/>
      <c r="AB1" s="3526"/>
      <c r="AC1" s="3526"/>
      <c r="AD1" s="3526"/>
    </row>
    <row r="2" spans="1:44" s="2009" customFormat="1" ht="15" thickBot="1">
      <c r="B2" s="2879"/>
      <c r="C2" s="2880"/>
      <c r="D2" s="2010" t="s">
        <v>2808</v>
      </c>
      <c r="E2" s="2011" t="s">
        <v>2809</v>
      </c>
      <c r="F2" s="2011" t="s">
        <v>2810</v>
      </c>
      <c r="G2" s="2011" t="s">
        <v>2811</v>
      </c>
      <c r="H2" s="2011" t="s">
        <v>2812</v>
      </c>
      <c r="I2" s="2011" t="s">
        <v>2629</v>
      </c>
      <c r="J2" s="2881"/>
      <c r="K2" s="2010" t="s">
        <v>2808</v>
      </c>
      <c r="L2" s="2011" t="s">
        <v>2809</v>
      </c>
      <c r="M2" s="2011" t="s">
        <v>2810</v>
      </c>
      <c r="N2" s="2011" t="s">
        <v>2811</v>
      </c>
      <c r="O2" s="2011" t="s">
        <v>2813</v>
      </c>
      <c r="P2" s="2011" t="s">
        <v>2629</v>
      </c>
      <c r="Q2" s="2881"/>
      <c r="R2" s="2010" t="s">
        <v>2808</v>
      </c>
      <c r="S2" s="2011" t="s">
        <v>2809</v>
      </c>
      <c r="T2" s="2011" t="s">
        <v>2810</v>
      </c>
      <c r="U2" s="2011" t="s">
        <v>2814</v>
      </c>
      <c r="V2" s="2011" t="s">
        <v>2815</v>
      </c>
      <c r="W2" s="2011" t="s">
        <v>2629</v>
      </c>
      <c r="X2" s="2881"/>
      <c r="Y2" s="2010" t="s">
        <v>2808</v>
      </c>
      <c r="Z2" s="2011" t="s">
        <v>2809</v>
      </c>
      <c r="AA2" s="2011" t="s">
        <v>2810</v>
      </c>
      <c r="AB2" s="2011" t="s">
        <v>2816</v>
      </c>
      <c r="AC2" s="2011" t="s">
        <v>2815</v>
      </c>
      <c r="AD2" s="2011" t="s">
        <v>2629</v>
      </c>
      <c r="AF2" t="s">
        <v>3402</v>
      </c>
      <c r="AG2" t="s">
        <v>673</v>
      </c>
      <c r="AH2" t="s">
        <v>21</v>
      </c>
      <c r="AI2" t="s">
        <v>3403</v>
      </c>
      <c r="AJ2" t="s">
        <v>3</v>
      </c>
      <c r="AK2" t="s">
        <v>3404</v>
      </c>
      <c r="AM2" t="s">
        <v>3402</v>
      </c>
      <c r="AN2" t="s">
        <v>673</v>
      </c>
      <c r="AO2" t="s">
        <v>21</v>
      </c>
      <c r="AP2" t="s">
        <v>3403</v>
      </c>
      <c r="AQ2" t="s">
        <v>3</v>
      </c>
      <c r="AR2" t="s">
        <v>3404</v>
      </c>
    </row>
    <row r="3" spans="1:44" s="2884" customFormat="1" ht="13.2">
      <c r="A3" s="2882" t="s">
        <v>2817</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3401</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3400</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3399</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3407</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3406</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3379</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3373</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3372</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3368</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3367</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3365</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3364</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3363</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3361</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3352</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2818</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2819</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2820</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2821</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2822</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3378</v>
      </c>
    </row>
    <row r="27" spans="1:44">
      <c r="I27" s="1405" t="s">
        <v>2823</v>
      </c>
    </row>
    <row r="29" spans="1:44" s="2008" customFormat="1" ht="13.2">
      <c r="B29" s="2927" t="s">
        <v>3376</v>
      </c>
      <c r="C29" s="2928"/>
      <c r="D29" s="2928"/>
      <c r="E29" s="2928"/>
      <c r="F29" s="2928"/>
      <c r="G29" s="2928"/>
      <c r="H29" s="2928"/>
      <c r="I29" s="2928"/>
      <c r="J29" s="2894"/>
      <c r="K29" s="2928" t="s">
        <v>2824</v>
      </c>
      <c r="L29" s="2928"/>
      <c r="M29" s="2928"/>
      <c r="N29" s="2928"/>
      <c r="O29" s="2928"/>
      <c r="P29" s="2928"/>
      <c r="Q29" s="2894"/>
      <c r="R29" s="3525" t="s">
        <v>2825</v>
      </c>
      <c r="S29" s="3526"/>
      <c r="T29" s="3526"/>
      <c r="U29" s="3526"/>
      <c r="V29" s="3526"/>
      <c r="W29" s="3526"/>
      <c r="X29" s="2894"/>
      <c r="Y29" s="3525" t="s">
        <v>2826</v>
      </c>
      <c r="Z29" s="3526"/>
      <c r="AA29" s="3526"/>
      <c r="AB29" s="3526"/>
      <c r="AC29" s="3526"/>
      <c r="AD29" s="3526"/>
    </row>
    <row r="30" spans="1:44" s="2009" customFormat="1" ht="15" thickBot="1">
      <c r="B30" s="2879"/>
      <c r="C30" s="2880"/>
      <c r="D30" s="2010" t="s">
        <v>2827</v>
      </c>
      <c r="E30" s="2011" t="s">
        <v>2828</v>
      </c>
      <c r="F30" s="2011" t="s">
        <v>2829</v>
      </c>
      <c r="G30" s="2011" t="s">
        <v>2830</v>
      </c>
      <c r="H30" s="2011"/>
      <c r="I30" s="2011" t="s">
        <v>2831</v>
      </c>
      <c r="J30" s="2881"/>
      <c r="K30" s="2010" t="s">
        <v>2827</v>
      </c>
      <c r="L30" s="2011" t="s">
        <v>2828</v>
      </c>
      <c r="M30" s="2011" t="s">
        <v>2829</v>
      </c>
      <c r="N30" s="2011" t="s">
        <v>2830</v>
      </c>
      <c r="O30" s="2011"/>
      <c r="P30" s="2011" t="s">
        <v>2831</v>
      </c>
      <c r="Q30" s="2881"/>
      <c r="R30" s="2010" t="s">
        <v>2827</v>
      </c>
      <c r="S30" s="2011" t="s">
        <v>2828</v>
      </c>
      <c r="T30" s="2011" t="s">
        <v>2829</v>
      </c>
      <c r="U30" s="2011" t="s">
        <v>2830</v>
      </c>
      <c r="V30" s="2011"/>
      <c r="W30" s="2011" t="s">
        <v>2831</v>
      </c>
      <c r="X30" s="2881"/>
      <c r="Y30" s="2010" t="s">
        <v>2827</v>
      </c>
      <c r="Z30" s="2011" t="s">
        <v>2828</v>
      </c>
      <c r="AA30" s="2011" t="s">
        <v>2829</v>
      </c>
      <c r="AB30" s="2011" t="s">
        <v>2830</v>
      </c>
      <c r="AC30" s="2011"/>
      <c r="AD30" s="2011" t="s">
        <v>2831</v>
      </c>
      <c r="AG30" t="s">
        <v>673</v>
      </c>
      <c r="AH30" t="s">
        <v>21</v>
      </c>
      <c r="AI30" t="s">
        <v>3403</v>
      </c>
      <c r="AJ30"/>
      <c r="AK30" t="s">
        <v>3404</v>
      </c>
      <c r="AN30" t="s">
        <v>673</v>
      </c>
      <c r="AO30" t="s">
        <v>21</v>
      </c>
      <c r="AP30" t="s">
        <v>3403</v>
      </c>
      <c r="AQ30"/>
      <c r="AR30" t="s">
        <v>3404</v>
      </c>
    </row>
    <row r="31" spans="1:44" s="2884" customFormat="1" ht="13.2">
      <c r="A31" s="2882" t="s">
        <v>2832</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3401</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3400</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3408</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3405</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3406</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3370</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3374</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3371</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3369</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3367</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3366</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3364</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3363</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3362</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3352</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2833</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2834</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2835</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2836</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2822</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3377</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30" t="s">
        <v>452</v>
      </c>
      <c r="C1" s="3530"/>
      <c r="D1" s="3530"/>
      <c r="E1" s="3530"/>
      <c r="F1" s="3530"/>
      <c r="G1" s="3526" t="s">
        <v>453</v>
      </c>
      <c r="H1" s="3526"/>
      <c r="I1" s="3526"/>
      <c r="J1" s="3526"/>
      <c r="K1" s="3526"/>
      <c r="L1" s="3526"/>
      <c r="N1" s="3526" t="s">
        <v>454</v>
      </c>
      <c r="O1" s="3526"/>
      <c r="P1" s="3526"/>
      <c r="Q1" s="3526"/>
      <c r="S1" s="3526" t="s">
        <v>455</v>
      </c>
      <c r="T1" s="3526"/>
      <c r="U1" s="3526"/>
      <c r="V1" s="3526"/>
      <c r="X1" s="3525" t="s">
        <v>456</v>
      </c>
      <c r="Y1" s="3526"/>
      <c r="Z1" s="3526"/>
      <c r="AA1" s="3526"/>
      <c r="AB1" s="3526"/>
      <c r="AD1" s="3525" t="s">
        <v>457</v>
      </c>
      <c r="AE1" s="3526"/>
      <c r="AF1" s="3526"/>
      <c r="AG1" s="3526"/>
      <c r="AH1" s="3526"/>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3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3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2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3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3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2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2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3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3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3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3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2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2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2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2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2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2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2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2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2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2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2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8">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29">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2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8">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29">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38" t="s">
        <v>2837</v>
      </c>
      <c r="B1" s="3538"/>
      <c r="C1" s="3538"/>
      <c r="D1" s="3538"/>
      <c r="E1" s="3538"/>
      <c r="F1" s="3538"/>
      <c r="G1" s="3539"/>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1.4"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536"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1.4" thickBot="1">
      <c r="A4" s="3537"/>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1.4"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1.4"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1.4"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1.4"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45875</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2307</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4" t="str">
        <f>IF(项目基本情况!B9="房地产市场价值","估价结果一览表","结果表-2")</f>
        <v>结果表-2</v>
      </c>
      <c r="B1" s="3214"/>
      <c r="C1" s="3214"/>
      <c r="D1" s="3214"/>
      <c r="E1" s="3214"/>
      <c r="F1" s="3214"/>
      <c r="G1" s="3214"/>
      <c r="H1" s="3214"/>
      <c r="I1" s="3214"/>
    </row>
    <row r="2" spans="1:9" ht="30" customHeight="1" thickTop="1">
      <c r="A2" s="3215" t="s">
        <v>928</v>
      </c>
      <c r="B2" s="3215" t="s">
        <v>929</v>
      </c>
      <c r="C2" s="3215" t="s">
        <v>930</v>
      </c>
      <c r="D2" s="3215" t="str">
        <f>结果表!D116</f>
        <v>出让国有建设用地使用权价值</v>
      </c>
      <c r="E2" s="3215"/>
      <c r="F2" s="3215" t="str">
        <f>结果表!F116</f>
        <v>在建建筑物价值</v>
      </c>
      <c r="G2" s="3215"/>
      <c r="H2" s="3215" t="str">
        <f>IF(项目基本情况!B9="房地产市场价值","房地产市场价值","房地产价值")</f>
        <v>房地产价值</v>
      </c>
      <c r="I2" s="3215"/>
    </row>
    <row r="3" spans="1:9" ht="15.6">
      <c r="A3" s="3216"/>
      <c r="B3" s="3216"/>
      <c r="C3" s="3216"/>
      <c r="D3" s="801" t="s">
        <v>925</v>
      </c>
      <c r="E3" s="801" t="s">
        <v>931</v>
      </c>
      <c r="F3" s="801" t="s">
        <v>925</v>
      </c>
      <c r="G3" s="801" t="s">
        <v>926</v>
      </c>
      <c r="H3" s="801" t="s">
        <v>925</v>
      </c>
      <c r="I3" s="801" t="s">
        <v>926</v>
      </c>
    </row>
    <row r="4" spans="1:9" ht="45">
      <c r="A4" s="1403" t="str">
        <f>项目基本情况!S2</f>
        <v>北京市密云区滨河路178号院3号楼2层2单元201等共计156套房地产</v>
      </c>
      <c r="B4" s="801">
        <f>项目基本情况!C17</f>
        <v>81.709999999999994</v>
      </c>
      <c r="C4" s="801">
        <f>项目基本情况!C18</f>
        <v>0</v>
      </c>
      <c r="D4" s="801">
        <f>结果表!D118</f>
        <v>0</v>
      </c>
      <c r="E4" s="801">
        <f>结果表!E118</f>
        <v>0</v>
      </c>
      <c r="F4" s="801">
        <f>结果表!F118</f>
        <v>0</v>
      </c>
      <c r="G4" s="801">
        <f>结果表!G118</f>
        <v>0</v>
      </c>
      <c r="H4" s="801">
        <f ca="1">结果表!H118</f>
        <v>77</v>
      </c>
      <c r="I4" s="801">
        <f ca="1">结果表!I118</f>
        <v>9453</v>
      </c>
    </row>
    <row r="5" spans="1:9" ht="30" customHeight="1">
      <c r="A5" s="3216" t="s">
        <v>927</v>
      </c>
      <c r="B5" s="3216"/>
      <c r="C5" s="3216"/>
      <c r="D5" s="3216" t="str">
        <f>结果表!D119</f>
        <v>零元整</v>
      </c>
      <c r="E5" s="3216"/>
      <c r="F5" s="3216" t="str">
        <f>结果表!F119</f>
        <v>零元整</v>
      </c>
      <c r="G5" s="3216"/>
      <c r="H5" s="3216" t="str">
        <f ca="1">结果表!H119</f>
        <v>柒拾柒万元整</v>
      </c>
      <c r="I5" s="3216"/>
    </row>
    <row r="6" spans="1:9" ht="15.6">
      <c r="A6" s="3217" t="str">
        <f>结果表!A120</f>
        <v>估价师知悉的法定优先受偿款</v>
      </c>
      <c r="B6" s="3217"/>
      <c r="C6" s="3217"/>
      <c r="D6" s="3217">
        <f>结果表!D120</f>
        <v>0</v>
      </c>
      <c r="E6" s="3217"/>
      <c r="F6" s="3217"/>
      <c r="G6" s="3217"/>
      <c r="H6" s="3217"/>
      <c r="I6" s="3217"/>
    </row>
    <row r="7" spans="1:9" ht="15">
      <c r="A7" s="3216" t="s">
        <v>927</v>
      </c>
      <c r="B7" s="3216"/>
      <c r="C7" s="3216"/>
      <c r="D7" s="3218" t="str">
        <f>结果表!D121</f>
        <v>零元整</v>
      </c>
      <c r="E7" s="3219"/>
      <c r="F7" s="3219"/>
      <c r="G7" s="3219"/>
      <c r="H7" s="3219"/>
      <c r="I7" s="3220"/>
    </row>
    <row r="8" spans="1:9" ht="15.6">
      <c r="A8" s="3217" t="str">
        <f>结果表!A122</f>
        <v>房地产抵押价值</v>
      </c>
      <c r="B8" s="3217"/>
      <c r="C8" s="3217"/>
      <c r="D8" s="3217">
        <f ca="1">结果表!D122</f>
        <v>77</v>
      </c>
      <c r="E8" s="3217"/>
      <c r="F8" s="3217"/>
      <c r="G8" s="3217"/>
      <c r="H8" s="3217"/>
      <c r="I8" s="3217"/>
    </row>
    <row r="9" spans="1:9" ht="15">
      <c r="A9" s="3216" t="s">
        <v>927</v>
      </c>
      <c r="B9" s="3216"/>
      <c r="C9" s="3216"/>
      <c r="D9" s="3216" t="str">
        <f ca="1">结果表!D123</f>
        <v>柒拾柒万元整</v>
      </c>
      <c r="E9" s="3216"/>
      <c r="F9" s="3216"/>
      <c r="G9" s="3216"/>
      <c r="H9" s="3216"/>
      <c r="I9" s="3216"/>
    </row>
    <row r="10" spans="1:9" ht="15.6">
      <c r="A10" s="3217" t="str">
        <f>结果表!A124</f>
        <v/>
      </c>
      <c r="B10" s="3217"/>
      <c r="C10" s="3217"/>
      <c r="D10" s="3217" t="str">
        <f>结果表!D124</f>
        <v>——</v>
      </c>
      <c r="E10" s="3217"/>
      <c r="F10" s="3217"/>
      <c r="G10" s="3217"/>
      <c r="H10" s="3217"/>
      <c r="I10" s="3217"/>
    </row>
    <row r="11" spans="1:9" ht="15">
      <c r="A11" s="3216" t="s">
        <v>927</v>
      </c>
      <c r="B11" s="3216"/>
      <c r="C11" s="3216"/>
      <c r="D11" s="3216" t="e">
        <f>结果表!D125</f>
        <v>#VALUE!</v>
      </c>
      <c r="E11" s="3216"/>
      <c r="F11" s="3216"/>
      <c r="G11" s="3216"/>
      <c r="H11" s="3216"/>
      <c r="I11" s="3216"/>
    </row>
    <row r="12" spans="1:9" ht="15.6">
      <c r="A12" s="3217" t="str">
        <f>结果表!A126</f>
        <v>抵押净值</v>
      </c>
      <c r="B12" s="3217"/>
      <c r="C12" s="3217"/>
      <c r="D12" s="3217">
        <f ca="1">结果表!D126</f>
        <v>76</v>
      </c>
      <c r="E12" s="3217"/>
      <c r="F12" s="3217"/>
      <c r="G12" s="3217"/>
      <c r="H12" s="3217"/>
      <c r="I12" s="3217"/>
    </row>
    <row r="13" spans="1:9" ht="15.6" thickBot="1">
      <c r="A13" s="3221" t="s">
        <v>927</v>
      </c>
      <c r="B13" s="3221"/>
      <c r="C13" s="3221"/>
      <c r="D13" s="3221" t="str">
        <f ca="1">结果表!D127</f>
        <v>柒拾陆万元整</v>
      </c>
      <c r="E13" s="3221"/>
      <c r="F13" s="3221"/>
      <c r="G13" s="3221"/>
      <c r="H13" s="3221"/>
      <c r="I13" s="3221"/>
    </row>
    <row r="14" spans="1:9" ht="14.4" thickTop="1">
      <c r="A14" s="3222" t="s">
        <v>932</v>
      </c>
      <c r="B14" s="3222"/>
      <c r="C14" s="3222"/>
      <c r="D14" s="3222"/>
      <c r="E14" s="3222"/>
      <c r="F14" s="3222"/>
      <c r="G14" s="3222"/>
      <c r="H14" s="3222"/>
      <c r="I14" s="3222"/>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3" t="s">
        <v>949</v>
      </c>
      <c r="B1" s="3223"/>
      <c r="C1" s="3223"/>
      <c r="D1" s="3223"/>
    </row>
    <row r="2" spans="1:4" ht="17.399999999999999">
      <c r="A2" s="3224" t="s">
        <v>933</v>
      </c>
      <c r="B2" s="3224"/>
      <c r="C2" s="3224"/>
      <c r="D2" s="3224"/>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224" t="s">
        <v>939</v>
      </c>
      <c r="B6" s="3224"/>
      <c r="C6" s="3224"/>
      <c r="D6" s="322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25" t="s">
        <v>942</v>
      </c>
      <c r="B11" s="3226"/>
      <c r="C11" s="3226"/>
      <c r="D11" s="3226"/>
    </row>
    <row r="12" spans="1:4" ht="15.6">
      <c r="A12" s="32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7"/>
      <c r="C12" s="3227"/>
      <c r="D12" s="3227"/>
    </row>
    <row r="13" spans="1:4" ht="30" customHeight="1">
      <c r="A13" s="32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7"/>
      <c r="C13" s="3227"/>
      <c r="D13" s="3227"/>
    </row>
    <row r="14" spans="1:4" ht="15.75" customHeight="1">
      <c r="A14" s="3226" t="str">
        <f>IF(项目基本情况!B8="抵押","4.本次评估估价师所知悉的法定优先受偿款情况说明如下：","——")</f>
        <v>4.本次评估估价师所知悉的法定优先受偿款情况说明如下：</v>
      </c>
      <c r="B14" s="3227"/>
      <c r="C14" s="3227"/>
      <c r="D14" s="3227"/>
    </row>
    <row r="15" spans="1:4" ht="42" customHeight="1">
      <c r="A15" s="3226" t="str">
        <f>IF(项目基本情况!B8="抵押","（1）"&amp;CONCATENATE(项目基本情况!L20,项目基本情况!L21,项目基本情况!L22),"——")</f>
        <v>（1）根据估价对象《房屋所有权证》原件、《国有土地使用权》复印件，截至价值时点，估价对象抵押权未见登记。</v>
      </c>
      <c r="B15" s="3226"/>
      <c r="C15" s="3226"/>
      <c r="D15" s="3226"/>
    </row>
    <row r="16" spans="1:4" ht="30" customHeight="1">
      <c r="A16" s="3229" t="s">
        <v>943</v>
      </c>
      <c r="B16" s="3229"/>
      <c r="C16" s="3229"/>
      <c r="D16" s="3229"/>
    </row>
    <row r="17" spans="1:4" ht="144" customHeight="1">
      <c r="A17" s="3229" t="s">
        <v>944</v>
      </c>
      <c r="B17" s="3229"/>
      <c r="C17" s="3229"/>
      <c r="D17" s="3229"/>
    </row>
    <row r="18" spans="1:4" ht="15.75" customHeight="1">
      <c r="A18" s="3226" t="str">
        <f>IF(项目基本情况!B8="抵押",结果表!K120,"——")</f>
        <v>故，本次评估不存在估价师知悉的法定优先受偿款</v>
      </c>
      <c r="B18" s="3226"/>
      <c r="C18" s="3226"/>
      <c r="D18" s="3226"/>
    </row>
    <row r="19" spans="1:4" ht="46.5" customHeight="1">
      <c r="A19" s="32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6"/>
      <c r="C19" s="3226"/>
      <c r="D19" s="3226"/>
    </row>
    <row r="20" spans="1:4" ht="57.75" customHeight="1">
      <c r="A20" s="32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6"/>
      <c r="C20" s="3226"/>
      <c r="D20" s="3226"/>
    </row>
    <row r="21" spans="1:4" ht="57.75" customHeight="1">
      <c r="A21" s="32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0"/>
      <c r="C21" s="3230"/>
      <c r="D21" s="3230"/>
    </row>
    <row r="22" spans="1:4" ht="18.75" customHeight="1">
      <c r="A22" s="3231" t="s">
        <v>945</v>
      </c>
      <c r="B22" s="3231"/>
      <c r="C22" s="3231"/>
      <c r="D22" s="323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28">
        <v>42551</v>
      </c>
      <c r="D31" s="32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37" t="s">
        <v>956</v>
      </c>
      <c r="B15" s="3232" t="s">
        <v>109</v>
      </c>
      <c r="C15" s="3233"/>
    </row>
    <row r="16" spans="1:7" ht="14.4">
      <c r="A16" s="3238"/>
      <c r="B16" s="3232" t="s">
        <v>42</v>
      </c>
      <c r="C16" s="3233"/>
    </row>
    <row r="17" spans="1:3" ht="14.4">
      <c r="A17" s="3238"/>
      <c r="B17" s="3235" t="s">
        <v>957</v>
      </c>
      <c r="C17" s="1429" t="s">
        <v>956</v>
      </c>
    </row>
    <row r="18" spans="1:3" ht="14.4">
      <c r="A18" s="3238"/>
      <c r="B18" s="3235"/>
      <c r="C18" s="1429" t="s">
        <v>958</v>
      </c>
    </row>
    <row r="19" spans="1:3" ht="14.4">
      <c r="A19" s="3238"/>
      <c r="B19" s="3235"/>
      <c r="C19" s="1429" t="s">
        <v>959</v>
      </c>
    </row>
    <row r="20" spans="1:3" ht="14.4">
      <c r="A20" s="3239"/>
      <c r="B20" s="3234" t="s">
        <v>960</v>
      </c>
      <c r="C20" s="3233"/>
    </row>
    <row r="21" spans="1:3" ht="14.4">
      <c r="A21" s="1430" t="s">
        <v>961</v>
      </c>
      <c r="B21" s="1431"/>
      <c r="C21" s="1432"/>
    </row>
    <row r="22" spans="1:3" ht="14.4">
      <c r="A22" s="3236" t="s">
        <v>962</v>
      </c>
      <c r="B22" s="3234" t="s">
        <v>963</v>
      </c>
      <c r="C22" s="3233"/>
    </row>
    <row r="23" spans="1:3" ht="14.4">
      <c r="A23" s="3236"/>
      <c r="B23" s="3234" t="s">
        <v>964</v>
      </c>
      <c r="C23" s="3233"/>
    </row>
    <row r="24" spans="1:3" ht="14.4">
      <c r="A24" s="3236"/>
      <c r="B24" s="3234" t="s">
        <v>965</v>
      </c>
      <c r="C24" s="3233"/>
    </row>
    <row r="25" spans="1:3" ht="14.4">
      <c r="A25" s="3236"/>
      <c r="B25" s="3235" t="s">
        <v>966</v>
      </c>
      <c r="C25" s="1429" t="s">
        <v>967</v>
      </c>
    </row>
    <row r="26" spans="1:3" ht="14.4">
      <c r="A26" s="3236"/>
      <c r="B26" s="3235"/>
      <c r="C26" s="1429" t="s">
        <v>968</v>
      </c>
    </row>
    <row r="27" spans="1:3" ht="14.4">
      <c r="A27" s="3236"/>
      <c r="B27" s="3235"/>
      <c r="C27" s="1429" t="s">
        <v>969</v>
      </c>
    </row>
    <row r="28" spans="1:3" ht="14.4">
      <c r="A28" s="3236"/>
      <c r="B28" s="3235"/>
      <c r="C28" s="1429" t="s">
        <v>970</v>
      </c>
    </row>
    <row r="29" spans="1:3" ht="14.4">
      <c r="A29" s="3236"/>
      <c r="B29" s="3235"/>
      <c r="C29" s="1429" t="s">
        <v>971</v>
      </c>
    </row>
    <row r="30" spans="1:3" ht="14.4">
      <c r="A30" s="3236"/>
      <c r="B30" s="3235"/>
      <c r="C30" s="1429" t="s">
        <v>972</v>
      </c>
    </row>
    <row r="31" spans="1:3" ht="14.4">
      <c r="A31" s="3236"/>
      <c r="B31" s="3235"/>
      <c r="C31" s="1429" t="s">
        <v>973</v>
      </c>
    </row>
    <row r="32" spans="1:3" ht="14.4">
      <c r="A32" s="3236"/>
      <c r="B32" s="3235"/>
      <c r="C32" s="1429" t="s">
        <v>974</v>
      </c>
    </row>
    <row r="33" spans="1:3" ht="14.4">
      <c r="A33" s="3236"/>
      <c r="B33" s="323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2137</v>
      </c>
      <c r="B2" s="2156">
        <f ca="1">TODAY()</f>
        <v>45881</v>
      </c>
      <c r="C2" s="2157" t="s">
        <v>2138</v>
      </c>
      <c r="D2" s="2157"/>
      <c r="E2" s="2157"/>
      <c r="F2" s="2153"/>
      <c r="G2" s="2153"/>
      <c r="H2" s="2153"/>
    </row>
    <row r="3" spans="1:8" ht="24" customHeight="1">
      <c r="A3" s="2158" t="s">
        <v>2139</v>
      </c>
      <c r="B3" s="1219" t="s">
        <v>2140</v>
      </c>
      <c r="C3" s="1219" t="s">
        <v>2141</v>
      </c>
      <c r="D3" s="2159" t="s">
        <v>2142</v>
      </c>
      <c r="E3" s="2160" t="s">
        <v>2143</v>
      </c>
      <c r="F3" s="1219" t="s">
        <v>2144</v>
      </c>
      <c r="G3" s="1219" t="s">
        <v>2141</v>
      </c>
      <c r="H3" s="2159" t="s">
        <v>2145</v>
      </c>
    </row>
    <row r="4" spans="1:8" ht="24" customHeight="1">
      <c r="A4" s="1219" t="s">
        <v>2146</v>
      </c>
      <c r="B4" s="1219">
        <f ca="1">IF(C4&lt;B2,"已过期",1119970066)</f>
        <v>1119970066</v>
      </c>
      <c r="C4" s="2161">
        <v>45937</v>
      </c>
      <c r="D4" s="2162" t="str">
        <f ca="1">A4&amp;"（注册号："&amp;B4&amp;"）"</f>
        <v>梁津（注册号：1119970066）</v>
      </c>
      <c r="E4" s="2163" t="s">
        <v>2146</v>
      </c>
      <c r="F4" s="1219">
        <f ca="1">IF(G4&lt;B2,"已过期",96010014)</f>
        <v>96010014</v>
      </c>
      <c r="G4" s="2164">
        <v>47118</v>
      </c>
      <c r="H4" s="2165" t="str">
        <f ca="1">E4&amp;"（注册号："&amp;F4&amp;"）"</f>
        <v>梁津（注册号：96010014）</v>
      </c>
    </row>
    <row r="5" spans="1:8" ht="24" customHeight="1">
      <c r="A5" s="1219" t="s">
        <v>2147</v>
      </c>
      <c r="B5" s="1219">
        <f ca="1">IF(C5&lt;B2,"已过期",1119970111)</f>
        <v>1119970111</v>
      </c>
      <c r="C5" s="2161">
        <v>45937</v>
      </c>
      <c r="D5" s="2162" t="str">
        <f t="shared" ref="D5:D15" ca="1" si="0">A5&amp;"（注册号："&amp;B5&amp;"）"</f>
        <v>叶凌（注册号：1119970111）</v>
      </c>
      <c r="E5" s="2163" t="s">
        <v>2147</v>
      </c>
      <c r="F5" s="1219">
        <f ca="1">IF(G5&lt;B2,"已过期",94010078)</f>
        <v>94010078</v>
      </c>
      <c r="G5" s="2164">
        <v>46387</v>
      </c>
      <c r="H5" s="2165" t="str">
        <f t="shared" ref="H5:H16" ca="1" si="1">E5&amp;"（注册号："&amp;F5&amp;"）"</f>
        <v>叶凌（注册号：94010078）</v>
      </c>
    </row>
    <row r="6" spans="1:8" ht="24" customHeight="1">
      <c r="A6" s="1219" t="s">
        <v>2148</v>
      </c>
      <c r="B6" s="1219" t="str">
        <f ca="1">IF(C6&lt;B2,"已过期",1120050019)</f>
        <v>已过期</v>
      </c>
      <c r="C6" s="2161">
        <v>45410</v>
      </c>
      <c r="D6" s="2162" t="str">
        <f t="shared" ca="1" si="0"/>
        <v>王鹏（注册号：已过期）</v>
      </c>
      <c r="E6" s="2163" t="s">
        <v>2148</v>
      </c>
      <c r="F6" s="1219">
        <f ca="1">IF(G6&lt;B2,"已过期",2002110030)</f>
        <v>2002110030</v>
      </c>
      <c r="G6" s="2164">
        <v>46387</v>
      </c>
      <c r="H6" s="2165" t="str">
        <f t="shared" ca="1" si="1"/>
        <v>王鹏（注册号：2002110030）</v>
      </c>
    </row>
    <row r="7" spans="1:8" ht="24" customHeight="1">
      <c r="A7" s="1219" t="s">
        <v>2149</v>
      </c>
      <c r="B7" s="1219">
        <f ca="1">IF(C7&lt;B2,"已过期",1120000080)</f>
        <v>1120000080</v>
      </c>
      <c r="C7" s="2161">
        <v>45937</v>
      </c>
      <c r="D7" s="2162" t="str">
        <f t="shared" ca="1" si="0"/>
        <v>欧红伟（注册号：1120000080）</v>
      </c>
      <c r="E7" s="2163" t="s">
        <v>2149</v>
      </c>
      <c r="F7" s="1219">
        <f ca="1">IF(G7&lt;B2,"已过期",2000110082)</f>
        <v>2000110082</v>
      </c>
      <c r="G7" s="2164">
        <v>46387</v>
      </c>
      <c r="H7" s="2165" t="str">
        <f t="shared" ca="1" si="1"/>
        <v>欧红伟（注册号：2000110082）</v>
      </c>
    </row>
    <row r="8" spans="1:8" ht="24" customHeight="1">
      <c r="A8" s="1219" t="s">
        <v>2150</v>
      </c>
      <c r="B8" s="1219">
        <f ca="1">IF(C8&lt;B2,"已过期",1419970001)</f>
        <v>1419970001</v>
      </c>
      <c r="C8" s="2161">
        <v>45937</v>
      </c>
      <c r="D8" s="2162" t="str">
        <f t="shared" ca="1" si="0"/>
        <v>吴薇（注册号：1419970001）</v>
      </c>
      <c r="E8" s="2163" t="s">
        <v>2150</v>
      </c>
      <c r="F8" s="1219">
        <f ca="1">IF(G8&lt;B2,"已过期",2002110125)</f>
        <v>2002110125</v>
      </c>
      <c r="G8" s="2164">
        <v>47118</v>
      </c>
      <c r="H8" s="2165" t="str">
        <f t="shared" ca="1" si="1"/>
        <v>吴薇（注册号：2002110125）</v>
      </c>
    </row>
    <row r="9" spans="1:8" ht="24" customHeight="1">
      <c r="A9" s="1219" t="s">
        <v>2151</v>
      </c>
      <c r="B9" s="1219" t="str">
        <f ca="1">IF(C9&lt;B2,"已过期",1120060040)</f>
        <v>已过期</v>
      </c>
      <c r="C9" s="2166">
        <v>45592</v>
      </c>
      <c r="D9" s="2162" t="str">
        <f t="shared" ca="1" si="0"/>
        <v>陈颖（注册号：已过期）</v>
      </c>
      <c r="E9" s="2163" t="s">
        <v>2151</v>
      </c>
      <c r="F9" s="1219">
        <f ca="1">IF(G9&lt;B2,"已过期",2004110096)</f>
        <v>2004110096</v>
      </c>
      <c r="G9" s="2164">
        <v>47118</v>
      </c>
      <c r="H9" s="2165" t="str">
        <f t="shared" ca="1" si="1"/>
        <v>陈颖（注册号：2004110096）</v>
      </c>
    </row>
    <row r="10" spans="1:8" ht="24" customHeight="1">
      <c r="A10" s="1219" t="s">
        <v>2152</v>
      </c>
      <c r="B10" s="1219" t="str">
        <f ca="1">IF(C10&lt;B2,"已过期",1120100036)</f>
        <v>已过期</v>
      </c>
      <c r="C10" s="2166">
        <v>45752</v>
      </c>
      <c r="D10" s="2162" t="str">
        <f t="shared" ca="1" si="0"/>
        <v>崔锴（注册号：已过期）</v>
      </c>
      <c r="E10" s="2163" t="s">
        <v>2152</v>
      </c>
      <c r="F10" s="1219">
        <f ca="1">IF(G10&lt;B2,"已过期",2010110070)</f>
        <v>2010110070</v>
      </c>
      <c r="G10" s="2164">
        <v>47907</v>
      </c>
      <c r="H10" s="2165" t="str">
        <f t="shared" ca="1" si="1"/>
        <v>崔锴（注册号：2010110070）</v>
      </c>
    </row>
    <row r="11" spans="1:8" ht="24" customHeight="1">
      <c r="A11" s="1219" t="s">
        <v>2153</v>
      </c>
      <c r="B11" s="1219">
        <f ca="1">IF(C11&lt;B2,"已过期",1120070131)</f>
        <v>1120070131</v>
      </c>
      <c r="C11" s="2161">
        <v>45937</v>
      </c>
      <c r="D11" s="2162" t="str">
        <f t="shared" ca="1" si="0"/>
        <v>郑燚（注册号：1120070131）</v>
      </c>
      <c r="E11" s="2163" t="s">
        <v>2153</v>
      </c>
      <c r="F11" s="1219">
        <f ca="1">IF(G11&lt;B2,"已过期",2014110011)</f>
        <v>2014110011</v>
      </c>
      <c r="G11" s="2164">
        <v>49302</v>
      </c>
      <c r="H11" s="2165" t="str">
        <f t="shared" ca="1" si="1"/>
        <v>郑燚（注册号：2014110011）</v>
      </c>
    </row>
    <row r="12" spans="1:8" ht="24" customHeight="1">
      <c r="A12" s="1219" t="s">
        <v>2154</v>
      </c>
      <c r="B12" s="1219">
        <f ca="1">IF(C12&lt;B2,"已过期",1120040230)</f>
        <v>1120040230</v>
      </c>
      <c r="C12" s="2166">
        <v>45937</v>
      </c>
      <c r="D12" s="2162" t="str">
        <f t="shared" ca="1" si="0"/>
        <v>苏海（注册号：1120040230）</v>
      </c>
      <c r="E12" s="2163" t="s">
        <v>2154</v>
      </c>
      <c r="F12" s="1219">
        <f ca="1">IF(G12&lt;B2,"已过期",98030020)</f>
        <v>98030020</v>
      </c>
      <c r="G12" s="2164">
        <v>47118</v>
      </c>
      <c r="H12" s="2165" t="str">
        <f t="shared" ca="1" si="1"/>
        <v>苏海（注册号：98030020）</v>
      </c>
    </row>
    <row r="13" spans="1:8" ht="24" customHeight="1">
      <c r="A13" s="1219" t="s">
        <v>2155</v>
      </c>
      <c r="B13" s="1219" t="str">
        <f ca="1">IF(C13&lt;B2,"已过期",1120020033)</f>
        <v>已过期</v>
      </c>
      <c r="C13" s="2161">
        <v>45375</v>
      </c>
      <c r="D13" s="2162" t="str">
        <f t="shared" ca="1" si="0"/>
        <v>刘敬东（注册号：已过期）</v>
      </c>
      <c r="E13" s="2163" t="s">
        <v>2155</v>
      </c>
      <c r="F13" s="1219">
        <f ca="1">IF(G13&lt;B2,"已过期",2000110137)</f>
        <v>2000110137</v>
      </c>
      <c r="G13" s="2164">
        <v>46387</v>
      </c>
      <c r="H13" s="2165" t="str">
        <f t="shared" ca="1" si="1"/>
        <v>刘敬东（注册号：2000110137）</v>
      </c>
    </row>
    <row r="14" spans="1:8" ht="24" customHeight="1">
      <c r="A14" s="1219" t="s">
        <v>2156</v>
      </c>
      <c r="B14" s="1219" t="str">
        <f ca="1">IF(C14&lt;B2,"已过期",1119980106)</f>
        <v>已过期</v>
      </c>
      <c r="C14" s="2166">
        <v>44969</v>
      </c>
      <c r="D14" s="2162" t="str">
        <f t="shared" ca="1" si="0"/>
        <v>刘俊财（注册号：已过期）</v>
      </c>
      <c r="E14" s="2163" t="s">
        <v>2156</v>
      </c>
      <c r="F14" s="1219">
        <f ca="1">IF(G14&lt;B2,"已过期",96010063)</f>
        <v>96010063</v>
      </c>
      <c r="G14" s="2164">
        <v>47483</v>
      </c>
      <c r="H14" s="2165" t="str">
        <f t="shared" ca="1" si="1"/>
        <v>刘俊财（注册号：96010063）</v>
      </c>
    </row>
    <row r="15" spans="1:8" ht="24" customHeight="1">
      <c r="A15" s="1219" t="s">
        <v>2435</v>
      </c>
      <c r="B15" s="1219">
        <v>1120210056</v>
      </c>
      <c r="C15" s="2166">
        <v>45410</v>
      </c>
      <c r="D15" s="2162" t="str">
        <f t="shared" si="0"/>
        <v>宁小鳗（注册号：1120210056）</v>
      </c>
      <c r="E15" s="2163" t="s">
        <v>2157</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40" t="s">
        <v>2158</v>
      </c>
      <c r="B17" s="3240"/>
      <c r="C17" s="3240"/>
      <c r="D17" s="3240"/>
      <c r="E17" s="3240"/>
      <c r="F17" s="3240"/>
      <c r="G17" s="3240"/>
      <c r="H17" s="3240"/>
    </row>
    <row r="18" spans="1:8" ht="24" customHeight="1">
      <c r="A18" s="3241" t="s">
        <v>2159</v>
      </c>
      <c r="B18" s="3241"/>
      <c r="C18" s="3241"/>
      <c r="D18" s="2159"/>
      <c r="E18" s="3242" t="s">
        <v>2160</v>
      </c>
      <c r="F18" s="3241"/>
      <c r="G18" s="3241"/>
    </row>
    <row r="19" spans="1:8" s="2169" customFormat="1" ht="24" customHeight="1">
      <c r="A19" s="2168" t="s">
        <v>2161</v>
      </c>
      <c r="B19" s="1219" t="s">
        <v>2162</v>
      </c>
      <c r="C19" s="1219" t="s">
        <v>2141</v>
      </c>
      <c r="D19" s="2159"/>
      <c r="E19" s="2163" t="s">
        <v>2161</v>
      </c>
      <c r="F19" s="1219" t="s">
        <v>2162</v>
      </c>
      <c r="G19" s="1219" t="s">
        <v>2141</v>
      </c>
    </row>
    <row r="20" spans="1:8" s="2169" customFormat="1" ht="24" customHeight="1">
      <c r="A20" s="2170" t="s">
        <v>2163</v>
      </c>
      <c r="B20" s="2170" t="s">
        <v>2164</v>
      </c>
      <c r="C20" s="2164">
        <v>45898</v>
      </c>
      <c r="D20" s="2171"/>
      <c r="E20" s="2172" t="s">
        <v>2165</v>
      </c>
      <c r="F20" s="2175" t="s">
        <v>2436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面积清单</vt:lpstr>
      <vt:lpstr>中指</vt:lpstr>
      <vt:lpstr>租金案例</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2025-08-05T05:45:00Z</cp:lastPrinted>
  <dcterms:created xsi:type="dcterms:W3CDTF">2015-07-13T07:17:23Z</dcterms:created>
  <dcterms:modified xsi:type="dcterms:W3CDTF">2025-08-12T02:15:42Z</dcterms:modified>
</cp:coreProperties>
</file>