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Sheet1" sheetId="8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<sst xmlns="http://schemas.openxmlformats.org/spreadsheetml/2006/main" count="9509" uniqueCount="3253">
  <si>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</si>
  <si>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</si>
  <si>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</si>
  <si>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</si>
  <si>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</si>
  <si>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</si>
  <si>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</si>
  <si>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</si>
  <si>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</si>
  <si>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</si>
  <si>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</si>
  <si>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</si>
  <si>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</si>
  <si>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</si>
  <si>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</si>
  <si>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</si>
  <si>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</si>
  <si>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</si>
  <si>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</si>
  <si>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</si>
  <si>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</si>
  <si>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</si>
  <si>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</si>
  <si>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</si>
  <si>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</si>
  <si>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</si>
  <si>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</si>
  <si>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</si>
  <si>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</si>
  <si>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</si>
  <si>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</si>
  <si>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</si>
  <si>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</si>
  <si>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</si>
  <si>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</si>
  <si>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</si>
  <si>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</si>
  <si>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</si>
  <si>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</si>
  <si>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</si>
  <si>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</si>
  <si>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</si>
  <si>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</si>
  <si>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</si>
  <si>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</si>
  <si>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</si>
  <si>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</si>
  <si>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</si>
  <si>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</si>
  <si>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</si>
  <si>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</si>
  <si>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</si>
  <si>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</si>
  <si>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</si>
  <si>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</si>
  <si>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</si>
  <si>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</si>
  <si>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</si>
  <si>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</si>
  <si>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</si>
  <si>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</si>
  <si>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</si>
  <si>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</si>
  <si>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</si>
  <si>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</si>
  <si>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</si>
  <si>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</si>
  <si>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</si>
  <si>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</si>
  <si>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</si>
  <si>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</si>
  <si>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</si>
  <si>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</si>
  <si>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</si>
  <si>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</si>
  <si>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</si>
  <si>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</si>
  <si>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</si>
  <si>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</si>
  <si>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</si>
  <si>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</si>
  <si>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</si>
  <si>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</si>
  <si>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</si>
  <si>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</si>
  <si>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</si>
  <si>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</si>
  <si>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</si>
  <si>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</si>
  <si>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</si>
  <si>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</si>
  <si>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</si>
  <si>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</si>
  <si>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</si>
  <si>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</si>
  <si>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</si>
  <si>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</si>
  <si>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</si>
  <si>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</si>
  <si>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</si>
  <si>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</si>
  <si>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</si>
  <si>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</si>
  <si>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</si>
  <si>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</si>
  <si>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</si>
  <si>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</si>
  <si>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</si>
  <si>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</si>
  <si>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</si>
  <si>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</si>
  <si>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</si>
  <si>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</si>
  <si>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</si>
  <si>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</si>
  <si>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</si>
  <si>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</si>
  <si>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</si>
  <si>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</si>
  <si>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</si>
  <si>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</si>
  <si>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</si>
  <si>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</si>
  <si>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</si>
  <si>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</si>
  <si>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</si>
  <si>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</si>
  <si>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</si>
  <si>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</si>
  <si>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</si>
  <si>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</si>
  <si>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</si>
  <si>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</si>
  <si>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</si>
  <si>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</si>
  <si>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</si>
  <si>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</si>
  <si>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</si>
  <si>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</si>
  <si>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</si>
  <si>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</si>
  <si>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</si>
  <si>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</si>
  <si>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</si>
  <si>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</si>
  <si>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</si>
  <si>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</si>
  <si>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</si>
  <si>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</si>
  <si>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</si>
  <si>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</si>
  <si>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</si>
  <si>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</si>
  <si>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</si>
  <si>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</si>
  <si>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</si>
  <si>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</si>
  <si>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</si>
  <si>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</si>
  <si>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</si>
  <si>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</si>
  <si>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</si>
  <si>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</si>
  <si>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</si>
  <si>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</si>
  <si>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</si>
  <si>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</si>
  <si>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</si>
  <si>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</si>
  <si>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</si>
  <si>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</si>
  <si>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</si>
  <si>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</si>
  <si>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</si>
  <si>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</si>
  <si>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</si>
  <si>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</si>
  <si>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</si>
  <si>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</si>
  <si>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</si>
  <si>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</si>
  <si>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</si>
  <si>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</si>
  <si>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</si>
  <si>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</si>
  <si>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</si>
  <si>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</si>
  <si>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</si>
  <si>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</si>
  <si>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</si>
  <si>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</si>
  <si>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</si>
  <si>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</si>
  <si>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</si>
  <si>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</si>
  <si>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</si>
  <si>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</si>
  <si>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</si>
  <si>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</si>
  <si>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</si>
  <si>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</si>
  <si>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</si>
  <si>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</si>
  <si>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</si>
  <si>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</si>
  <si>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</si>
  <si>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</si>
  <si>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</si>
  <si>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</si>
  <si>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</si>
  <si>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</si>
  <si>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</si>
  <si>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</si>
  <si>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</si>
  <si>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</si>
  <si>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</si>
  <si>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</si>
  <si>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</si>
  <si>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</si>
  <si>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</si>
  <si>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</si>
  <si>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</si>
  <si>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</si>
  <si>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</si>
  <si>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</si>
  <si>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</si>
  <si>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</si>
  <si>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</si>
  <si>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</si>
  <si>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</si>
  <si>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</si>
  <si>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</si>
  <si>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</si>
  <si>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</si>
  <si>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</si>
  <si>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</si>
  <si>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</si>
  <si>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</si>
  <si>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</si>
  <si>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</si>
  <si>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</si>
  <si>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</si>
  <si>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</si>
  <si>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</si>
  <si>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</si>
  <si>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</si>
  <si>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</si>
  <si>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</si>
  <si>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</si>
  <si>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</si>
  <si>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</si>
  <si>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</si>
  <si>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</si>
  <si>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</si>
  <si>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</si>
  <si>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</si>
  <si>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</si>
  <si>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</si>
  <si>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</si>
  <si>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</si>
  <si>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</si>
  <si>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</si>
  <si>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</si>
  <si>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</si>
  <si>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</si>
  <si>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</si>
  <si>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</si>
  <si>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</si>
  <si>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</si>
  <si>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</si>
  <si>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</si>
  <si>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</si>
  <si>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</si>
  <si>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</si>
  <si>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</si>
  <si>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</si>
  <si>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</si>
  <si>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</si>
  <si>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</si>
  <si>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</si>
  <si>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</si>
  <si>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</si>
  <si>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</si>
  <si>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</si>
  <si>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</si>
  <si>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</si>
  <si>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</si>
  <si>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</si>
  <si>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</si>
  <si>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</si>
  <si>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</si>
  <si>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</si>
  <si>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</si>
  <si>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</si>
  <si>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</si>
  <si>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</si>
  <si>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</si>
  <si>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</si>
  <si>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</si>
  <si>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</si>
  <si>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</si>
  <si>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</si>
  <si>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</si>
  <si>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</si>
  <si>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</si>
  <si>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</si>
  <si>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</si>
  <si>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</si>
  <si>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</si>
  <si>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</si>
  <si>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</si>
  <si>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</si>
  <si>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</si>
  <si>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</si>
  <si>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</si>
  <si>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</si>
  <si>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</si>
  <si>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</si>
  <si>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</si>
  <si>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</si>
  <si>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</si>
  <si>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</si>
  <si>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</si>
  <si>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</si>
  <si>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</si>
  <si>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</si>
  <si>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</si>
  <si>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</si>
  <si>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</si>
  <si>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</si>
  <si>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</si>
  <si>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</si>
  <si>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</si>
  <si>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</si>
  <si>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</si>
  <si>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</si>
  <si>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</si>
  <si>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</si>
  <si>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</si>
  <si>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</si>
  <si>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</si>
  <si>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</si>
  <si>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</si>
  <si>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</si>
  <si>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</si>
  <si>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</si>
  <si>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</si>
  <si>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</si>
  <si>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</si>
  <si>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</si>
  <si>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</si>
  <si>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</si>
  <si>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</si>
  <si>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</si>
  <si>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</si>
  <si>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</si>
  <si>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</si>
  <si>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</si>
  <si>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</si>
  <si>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</si>
  <si>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</si>
  <si>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</si>
  <si>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</si>
  <si>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</si>
  <si>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</si>
  <si>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</si>
  <si>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</si>
  <si>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</si>
  <si>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</si>
  <si>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</si>
  <si>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</si>
  <si>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</si>
  <si>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</si>
  <si>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</si>
  <si>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</si>
  <si>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</si>
  <si>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</si>
  <si>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</si>
  <si>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</si>
  <si>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</si>
  <si>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</si>
  <si>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</si>
  <si>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</si>
  <si>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</si>
  <si>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</si>
  <si>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</si>
  <si>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</si>
  <si>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</si>
  <si>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</si>
  <si>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</si>
  <si>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</si>
  <si>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</si>
  <si>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</si>
  <si>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</si>
  <si>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</si>
  <si>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</si>
  <si>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</si>
  <si>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</si>
  <si>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</si>
  <si>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</si>
  <si>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</si>
  <si>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</si>
  <si>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</si>
  <si>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</si>
  <si>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</si>
  <si>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</si>
  <si>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</si>
  <si>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</si>
  <si>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</si>
  <si>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</si>
  <si>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</si>
  <si>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</si>
  <si>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</si>
  <si>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</si>
  <si>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</si>
  <si>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</si>
  <si>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</si>
  <si>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</si>
  <si>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</si>
  <si>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</si>
  <si>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</si>
  <si>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</si>
  <si>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</si>
  <si>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</si>
  <si>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</si>
  <si>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</si>
  <si>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</si>
  <si>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</si>
  <si>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</si>
  <si>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</si>
  <si>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</si>
  <si>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</si>
  <si>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</si>
  <si>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</si>
  <si>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</si>
  <si>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</si>
  <si>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</si>
  <si>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</si>
  <si>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</si>
  <si>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</si>
  <si>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</si>
  <si>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</si>
  <si>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</si>
  <si>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</si>
  <si>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</si>
  <si>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</si>
  <si>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</si>
  <si>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</si>
  <si>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</si>
  <si>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</si>
  <si>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</si>
  <si>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</si>
  <si>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</si>
  <si>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</si>
  <si>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</si>
  <si>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</si>
  <si>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</si>
  <si>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</si>
  <si>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</si>
  <si>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</si>
  <si>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</si>
  <si>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</si>
  <si>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</si>
  <si>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</si>
  <si>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</si>
  <si>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</si>
  <si>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</si>
  <si>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</si>
  <si>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</si>
  <si>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</si>
  <si>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</si>
  <si>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</si>
  <si>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</si>
  <si>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</si>
  <si>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</si>
  <si>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</si>
  <si>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</si>
  <si>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</si>
  <si>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</si>
  <si>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</si>
  <si>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</si>
  <si>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</si>
  <si>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</si>
  <si>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</si>
  <si>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</si>
  <si>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</si>
  <si>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</si>
  <si>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</si>
  <si>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</si>
  <si>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</si>
  <si>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</si>
  <si>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</si>
  <si>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</si>
  <si>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</si>
  <si>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</si>
  <si>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</si>
  <si>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</si>
  <si>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</si>
  <si>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</si>
  <si>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</si>
  <si>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</si>
  <si>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</si>
  <si>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</si>
  <si>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</si>
  <si>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</si>
  <si>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</si>
  <si>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</si>
  <si>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</si>
  <si>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</si>
  <si>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</si>
  <si>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</si>
  <si>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</si>
  <si>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</si>
  <si>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</si>
  <si>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</si>
  <si>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</si>
  <si>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</si>
  <si>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</si>
  <si>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</si>
  <si>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</si>
  <si>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</si>
  <si>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</si>
  <si>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</si>
  <si>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</si>
  <si>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</si>
  <si>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</si>
  <si>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</si>
  <si>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</si>
  <si>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</si>
  <si>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</si>
  <si>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</si>
  <si>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</si>
  <si>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</si>
  <si>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</si>
  <si>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</si>
  <si>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</si>
  <si>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</si>
  <si>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</si>
  <si>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</si>
  <si>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</si>
  <si>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</si>
  <si>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</si>
  <si>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</si>
  <si>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</si>
  <si>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</si>
  <si>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</si>
  <si>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</si>
  <si>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</si>
  <si>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</si>
  <si>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</si>
  <si>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</si>
  <si>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</si>
  <si>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</si>
  <si>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</si>
  <si>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</si>
  <si>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</si>
  <si>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</si>
  <si>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</si>
  <si>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</si>
  <si>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</si>
  <si>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</si>
  <si>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</si>
  <si>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</si>
  <si>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</si>
  <si>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</si>
  <si>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</si>
  <si>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</si>
  <si>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</si>
  <si>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</si>
  <si>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</si>
  <si>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</si>
  <si>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</si>
  <si>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</si>
  <si>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</si>
  <si>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</si>
  <si>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</si>
  <si>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</si>
  <si>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</si>
  <si>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</si>
  <si>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</si>
  <si>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</si>
  <si>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</si>
  <si>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</si>
  <si>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</si>
  <si>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</si>
  <si>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</si>
  <si>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</si>
  <si>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</si>
  <si>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</si>
  <si>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</si>
  <si>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</si>
  <si>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</si>
  <si>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</si>
  <si>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</si>
  <si>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</si>
  <si>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</si>
  <si>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</si>
  <si>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</si>
  <si>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</si>
  <si>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大丰路84号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</si>
  <si>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</si>
  <si>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</si>
  <si>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</si>
  <si>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</si>
  <si>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</si>
  <si>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</si>
  <si>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</si>
  <si>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</si>
  <si>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</si>
  <si>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</si>
  <si>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</si>
  <si>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</si>
  <si>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</si>
  <si>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</si>
  <si>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</si>
  <si>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</si>
  <si>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</si>
  <si>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</si>
  <si>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</si>
  <si>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</si>
  <si>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</si>
  <si>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</si>
  <si>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</si>
  <si>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</si>
  <si>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</si>
  <si>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</si>
  <si>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</si>
  <si>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</si>
  <si>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</si>
  <si>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</si>
  <si>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</si>
  <si>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</si>
  <si>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</si>
  <si>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</si>
  <si>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</si>
  <si>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</si>
  <si>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</si>
  <si>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</si>
  <si>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</si>
  <si>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</si>
  <si>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</si>
  <si>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</si>
  <si>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</si>
  <si>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</si>
  <si>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</si>
  <si>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</si>
  <si>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</si>
  <si>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</si>
  <si>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</si>
  <si>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</si>
  <si>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</si>
  <si>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</si>
  <si>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</si>
  <si>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</si>
  <si>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</si>
  <si>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</si>
  <si>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</si>
  <si>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</si>
  <si>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</si>
  <si>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</si>
  <si>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</si>
  <si>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</si>
  <si>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</si>
  <si>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</si>
  <si>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</si>
  <si>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</si>
  <si>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</si>
  <si>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</si>
  <si>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</si>
  <si>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</si>
  <si>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</si>
  <si>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</si>
  <si>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</si>
  <si>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</si>
  <si>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</si>
  <si>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</si>
  <si>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</si>
  <si>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</si>
  <si>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</si>
  <si>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</si>
  <si>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</si>
  <si>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</si>
  <si>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</si>
  <si>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</si>
  <si>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</si>
  <si>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</si>
  <si>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</si>
  <si>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</si>
  <si>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</si>
  <si>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</si>
  <si>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</si>
  <si>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</si>
  <si>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</si>
  <si>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</si>
  <si>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</si>
  <si>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</si>
  <si>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</si>
  <si>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</si>
  <si>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</si>
  <si>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</si>
  <si>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</si>
  <si>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</si>
  <si>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</si>
  <si>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</si>
  <si>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</si>
  <si>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</si>
  <si>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</si>
  <si>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</si>
  <si>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</si>
  <si>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</si>
  <si>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</si>
  <si>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</si>
  <si>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</si>
  <si>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</si>
  <si>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</si>
  <si>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</si>
  <si>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</si>
  <si>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</si>
  <si>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</si>
  <si>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</si>
  <si>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</si>
  <si>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</si>
  <si>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</si>
  <si>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</si>
  <si>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</si>
  <si>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</si>
  <si>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</si>
  <si>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</si>
  <si>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</si>
  <si>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</si>
  <si>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</si>
  <si>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</si>
  <si>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</si>
  <si>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</si>
  <si>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</si>
  <si>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</si>
  <si>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</si>
  <si>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</si>
  <si>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</si>
  <si>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</si>
  <si>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</si>
  <si>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</si>
  <si>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</si>
  <si>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</si>
  <si>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</si>
  <si>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</si>
  <si>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</si>
  <si>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</si>
  <si>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</si>
  <si>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</si>
  <si>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</si>
  <si>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</si>
  <si>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</si>
  <si>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</si>
  <si>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</si>
  <si>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</si>
  <si>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</si>
  <si>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</si>
  <si>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</si>
  <si>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</si>
  <si>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</si>
  <si>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</si>
  <si>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</si>
  <si>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</si>
  <si>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</si>
  <si>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</si>
  <si>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</si>
  <si>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</si>
  <si>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</si>
  <si>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</si>
  <si>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</si>
  <si>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</si>
  <si>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</si>
  <si>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</si>
  <si>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</si>
  <si>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</si>
  <si>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</si>
  <si>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</si>
  <si>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</si>
  <si>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</si>
  <si>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</si>
  <si>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</si>
  <si>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</si>
  <si>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</si>
  <si>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</si>
  <si>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</si>
  <si>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</si>
  <si>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</si>
  <si>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</si>
  <si>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</si>
  <si>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</si>
  <si>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</si>
  <si>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</si>
  <si>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</si>
  <si>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</si>
  <si>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</si>
  <si>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</si>
  <si>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</si>
  <si>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</si>
  <si>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</si>
  <si>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</si>
  <si>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</si>
  <si>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</si>
  <si>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</si>
  <si>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</si>
  <si>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</si>
  <si>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</si>
  <si>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</si>
  <si>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</si>
  <si>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</si>
  <si>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</si>
  <si>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</si>
  <si>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</si>
  <si>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</si>
  <si>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</si>
  <si>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</si>
  <si>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</si>
  <si>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</si>
  <si>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</si>
  <si>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</si>
  <si>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</si>
  <si>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</si>
  <si>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</si>
  <si>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</si>
  <si>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</si>
  <si>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</si>
  <si>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</si>
  <si>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</si>
  <si>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</si>
  <si>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</si>
  <si>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</si>
  <si>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</si>
  <si>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</si>
  <si>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</si>
  <si>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</si>
  <si>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</si>
  <si>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</si>
  <si>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</si>
  <si>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</si>
  <si>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</si>
  <si>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</si>
  <si>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</si>
  <si>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</si>
  <si>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</si>
  <si>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</si>
  <si>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</si>
  <si>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</si>
  <si>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</si>
  <si>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</si>
  <si>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</si>
  <si>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</si>
  <si>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</si>
  <si>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</si>
  <si>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</si>
  <si>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</si>
  <si>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</si>
  <si>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</si>
  <si>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</si>
  <si>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</si>
  <si>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</si>
  <si>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</si>
  <si>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</si>
  <si>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</si>
  <si>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</si>
  <si>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</si>
  <si>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</si>
  <si>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</si>
  <si>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</si>
  <si>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</si>
  <si>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</si>
  <si>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</si>
  <si>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</si>
  <si>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</si>
  <si>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</si>
  <si>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</si>
  <si>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</si>
  <si>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</si>
  <si>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</si>
  <si>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</si>
  <si>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</si>
  <si>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</si>
  <si>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</si>
  <si>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</si>
  <si>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</si>
  <si>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</si>
  <si>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</si>
  <si>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</si>
  <si>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</si>
  <si>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</si>
  <si>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</si>
  <si>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</si>
  <si>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</si>
  <si>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</si>
  <si>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</si>
  <si>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</si>
  <si>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</si>
  <si>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</si>
  <si>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</si>
  <si>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</si>
  <si>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</si>
  <si>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</si>
  <si>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</si>
  <si>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</si>
  <si>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</si>
  <si>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</si>
  <si>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</si>
  <si>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</si>
  <si>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</si>
  <si>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</si>
  <si>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</si>
  <si>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</si>
  <si>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</si>
  <si>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</si>
  <si>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</si>
  <si>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</si>
  <si>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</si>
  <si>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</si>
  <si>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</si>
  <si>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</si>
  <si>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</si>
  <si>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</si>
  <si>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</si>
  <si>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</si>
  <si>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</si>
  <si>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</si>
  <si>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</si>
  <si>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</si>
  <si>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</si>
  <si>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</si>
  <si>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</si>
  <si>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</si>
  <si>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</si>
  <si>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</si>
  <si>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</si>
  <si>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</si>
  <si>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</si>
  <si>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</si>
  <si>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</si>
  <si>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</si>
  <si>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</si>
  <si>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</si>
  <si>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</si>
  <si>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</si>
  <si>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</si>
  <si>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</si>
  <si>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</si>
  <si>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</si>
  <si>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</si>
  <si>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</si>
  <si>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</si>
  <si>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</si>
  <si>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</si>
  <si>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</si>
  <si>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</si>
  <si>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</si>
  <si>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</si>
  <si>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</si>
  <si>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</si>
  <si>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</si>
  <si>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</si>
  <si>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</si>
  <si>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</si>
  <si>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</si>
  <si>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</si>
  <si>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</si>
  <si>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</si>
  <si>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</si>
  <si>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</si>
  <si>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</si>
  <si>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</si>
  <si>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</si>
  <si>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</si>
  <si>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</si>
  <si>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</si>
  <si>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</si>
  <si>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</si>
  <si>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</si>
  <si>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</si>
  <si>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</si>
  <si>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</si>
  <si>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</si>
  <si>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</si>
  <si>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</si>
  <si>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</si>
  <si>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</si>
  <si>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</si>
  <si>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</si>
  <si>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</si>
  <si>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</si>
  <si>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</si>
  <si>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</si>
  <si>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</si>
  <si>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</si>
  <si>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</si>
  <si>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</si>
  <si>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</si>
  <si>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</si>
  <si>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</si>
  <si>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</si>
  <si>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</si>
  <si>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</si>
  <si>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</si>
  <si>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</si>
  <si>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</si>
  <si>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</si>
  <si>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</si>
  <si>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</si>
  <si>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</si>
  <si>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</si>
  <si>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</si>
  <si>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</si>
  <si>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</si>
  <si>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</si>
  <si>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</si>
  <si>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</si>
  <si>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</si>
  <si>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</si>
  <si>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</si>
  <si>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</si>
  <si>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</si>
  <si>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</si>
  <si>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</si>
  <si>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</si>
  <si>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</si>
  <si>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</si>
  <si>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</si>
  <si>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</si>
  <si>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</si>
  <si>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</si>
  <si>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</si>
  <si>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</si>
  <si>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</si>
  <si>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</si>
  <si>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</si>
  <si>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</si>
  <si>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</si>
  <si>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</si>
  <si>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</si>
  <si>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</si>
  <si>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</si>
  <si>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</si>
  <si>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</si>
  <si>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</si>
  <si>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</si>
  <si>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</si>
  <si>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</si>
  <si>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</si>
  <si>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</si>
  <si>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</si>
  <si>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</si>
  <si>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</si>
  <si>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</si>
  <si>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</si>
  <si>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</si>
  <si>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</si>
  <si>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</si>
  <si>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</si>
  <si>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</si>
  <si>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</si>
  <si>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</si>
  <si>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</si>
  <si>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</si>
  <si>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</si>
  <si>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</si>
  <si>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</si>
  <si>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</si>
  <si>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</si>
  <si>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</si>
  <si>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</si>
  <si>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</si>
  <si>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</si>
  <si>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</si>
  <si>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</si>
  <si>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</si>
  <si>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</si>
  <si>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</si>
  <si>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</si>
  <si>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</si>
  <si>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</si>
  <si>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</si>
  <si>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</si>
  <si>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</si>
  <si>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</si>
  <si>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</si>
  <si>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</si>
  <si>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</si>
  <si>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</si>
  <si>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</si>
  <si>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</si>
  <si>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</si>
  <si>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</si>
  <si>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</si>
  <si>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</si>
  <si>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</si>
  <si>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</si>
  <si>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</si>
  <si>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</si>
  <si>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</si>
  <si>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</si>
  <si>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</si>
  <si>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</si>
  <si>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</si>
  <si>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</si>
  <si>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</si>
  <si>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</si>
  <si>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</si>
  <si>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</si>
  <si>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</si>
  <si>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</si>
  <si>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</si>
  <si>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</si>
  <si>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</si>
  <si>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</si>
  <si>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</si>
  <si>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</si>
  <si>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</si>
  <si>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</si>
  <si>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</si>
  <si>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</si>
  <si>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</si>
  <si>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</si>
  <si>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</si>
  <si>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</si>
  <si>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</si>
  <si>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</si>
  <si>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</si>
  <si>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</si>
  <si>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</si>
  <si>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</si>
  <si>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</si>
  <si>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</si>
  <si>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</si>
  <si>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</si>
  <si>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</si>
  <si>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</si>
  <si>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</si>
  <si>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</si>
  <si>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</si>
  <si>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</si>
  <si>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</si>
  <si>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</si>
  <si>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</si>
  <si>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</si>
  <si>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</si>
  <si>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</si>
  <si>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</si>
  <si>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</si>
  <si>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</si>
  <si>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</si>
  <si>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</si>
  <si>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</si>
  <si>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</si>
  <si>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</si>
  <si>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</si>
  <si>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</si>
  <si>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</si>
  <si>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</si>
  <si>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</si>
  <si>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</si>
  <si>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</si>
  <si>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</si>
  <si>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</si>
  <si>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</si>
  <si>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</si>
  <si>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</si>
  <si>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</si>
  <si>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</si>
  <si>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</si>
  <si>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</si>
  <si>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</si>
  <si>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</si>
  <si>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</si>
  <si>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</si>
  <si>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</si>
  <si>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</si>
  <si>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</si>
  <si>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</si>
  <si>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</si>
  <si>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</si>
  <si>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</si>
  <si>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</si>
  <si>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</si>
  <si>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</si>
  <si>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</si>
  <si>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</si>
  <si>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</si>
  <si>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</si>
  <si>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</si>
  <si>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</si>
  <si>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</si>
  <si>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</si>
  <si>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</si>
  <si>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</si>
  <si>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</si>
  <si>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</si>
  <si>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</si>
  <si>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</si>
  <si>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</si>
  <si>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</si>
  <si>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</si>
  <si>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</si>
  <si>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</si>
  <si>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</si>
  <si>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</si>
  <si>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</si>
  <si>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</si>
  <si>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</si>
  <si>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</si>
  <si>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</si>
  <si>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</si>
  <si>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</si>
  <si>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</si>
  <si>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</si>
  <si>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</si>
  <si>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</si>
  <si>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</si>
  <si>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</si>
  <si>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</si>
  <si>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</si>
  <si>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</si>
  <si>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</si>
  <si>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</si>
  <si>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</si>
  <si>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</si>
  <si>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</si>
  <si>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</si>
  <si>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</si>
  <si>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</si>
  <si>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</si>
  <si>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</si>
  <si>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</si>
  <si>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</si>
  <si>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</si>
  <si>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</si>
  <si>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</si>
  <si>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</si>
  <si>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</si>
  <si>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</si>
  <si>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</si>
  <si>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</si>
  <si>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</si>
  <si>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</si>
  <si>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</si>
  <si>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</si>
  <si>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</si>
  <si>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</si>
  <si>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</si>
  <si>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</si>
  <si>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</si>
  <si>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</si>
  <si>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</si>
  <si>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</si>
  <si>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</si>
  <si>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</si>
  <si>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</si>
  <si>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</si>
  <si>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</si>
  <si>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</si>
  <si>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</si>
  <si>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</si>
  <si>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</si>
  <si>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</si>
  <si>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</si>
  <si>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</si>
  <si>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</si>
  <si>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</si>
  <si>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</si>
  <si>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</si>
  <si>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</si>
  <si>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</si>
  <si>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</si>
  <si>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</si>
  <si>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</si>
  <si>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</si>
  <si>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</si>
  <si>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</si>
  <si>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</si>
  <si>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</si>
  <si>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</si>
  <si>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</si>
  <si>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</si>
  <si>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</si>
  <si>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</si>
  <si>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</si>
  <si>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</si>
  <si>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</si>
  <si>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</si>
  <si>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</si>
  <si>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</si>
  <si>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</si>
  <si>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</si>
  <si>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</si>
  <si>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</si>
  <si>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</si>
  <si>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</si>
  <si>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</si>
  <si>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</si>
  <si>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</si>
  <si>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</si>
  <si>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</si>
  <si>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</si>
  <si>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</si>
  <si>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</si>
  <si>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</si>
  <si>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</si>
  <si>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</si>
  <si>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</si>
  <si>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</si>
  <si>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</si>
  <si>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</si>
  <si>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</si>
  <si>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</si>
  <si>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</si>
  <si>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</si>
  <si>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</si>
  <si>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</si>
  <si>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</si>
  <si>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</si>
  <si>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</si>
  <si>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</si>
  <si>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</si>
  <si>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</si>
  <si>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</si>
  <si>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</si>
  <si>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</si>
  <si>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</si>
  <si>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</si>
  <si>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</si>
  <si>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</si>
  <si>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</si>
  <si>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</si>
  <si>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</si>
  <si>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</si>
  <si>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</si>
  <si>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</si>
  <si>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</si>
  <si>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</si>
  <si>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</si>
  <si>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</si>
  <si>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</si>
  <si>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</si>
  <si>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</si>
  <si>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</si>
  <si>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</si>
  <si>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</si>
  <si>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</si>
  <si>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</si>
  <si>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</si>
  <si>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</si>
  <si>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</si>
  <si>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</si>
  <si>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</si>
  <si>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</si>
  <si>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</si>
  <si>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</si>
  <si>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</si>
  <si>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</si>
  <si>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</si>
  <si>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</si>
  <si>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</si>
  <si>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</si>
  <si>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</si>
  <si>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</si>
  <si>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</si>
  <si>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</si>
  <si>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</si>
  <si>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</si>
  <si>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</si>
  <si>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</si>
  <si>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</si>
  <si>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</si>
  <si>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</si>
  <si>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</si>
  <si>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</si>
  <si>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</si>
  <si>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</si>
  <si>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</si>
  <si>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</si>
  <si>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</si>
  <si>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</si>
  <si>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</si>
  <si>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</si>
  <si>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</si>
  <si>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</si>
  <si>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</si>
  <si>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</si>
  <si>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</si>
  <si>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</si>
  <si>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</si>
  <si>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</si>
  <si>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</si>
  <si>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</si>
  <si>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</si>
  <si>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</si>
  <si>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</si>
  <si>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</si>
  <si>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</si>
  <si>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</si>
  <si>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</si>
  <si>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</si>
  <si>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</si>
  <si>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</si>
  <si>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</si>
  <si>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</si>
  <si>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</si>
  <si>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</si>
  <si>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</si>
  <si>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</si>
  <si>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</si>
  <si>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</si>
  <si>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</si>
  <si>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</si>
  <si>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</si>
  <si>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</si>
  <si>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</si>
  <si>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</si>
  <si>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</si>
  <si>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</si>
  <si>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</si>
  <si>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</si>
  <si>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</si>
  <si>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</si>
  <si>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</si>
  <si>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</si>
  <si>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</si>
  <si>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</si>
  <si>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</si>
  <si>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</si>
  <si>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</si>
  <si>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</si>
  <si>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</si>
  <si>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</si>
  <si>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</si>
  <si>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</si>
  <si>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</si>
  <si>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</si>
  <si>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</si>
  <si>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</si>
  <si>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</si>
  <si>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</si>
  <si>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</si>
  <si>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</si>
  <si>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</si>
  <si>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</si>
  <si>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</si>
  <si>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</si>
  <si>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</si>
  <si>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</si>
  <si>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</si>
  <si>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</si>
  <si>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</si>
  <si>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</si>
  <si>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</si>
  <si>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</si>
  <si>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</si>
  <si>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</si>
  <si>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</si>
  <si>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</si>
  <si>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</si>
  <si>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</si>
  <si>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</si>
  <si>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</si>
  <si>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</si>
  <si>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</si>
  <si>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</si>
  <si>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</si>
  <si>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</si>
  <si>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</si>
  <si>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</si>
  <si>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</si>
  <si>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</si>
  <si>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</si>
  <si>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</si>
  <si>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</si>
  <si>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</si>
  <si>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</si>
  <si>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</si>
  <si>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</si>
  <si>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</si>
  <si>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</si>
  <si>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</si>
  <si>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</si>
  <si>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</si>
  <si>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</si>
  <si>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</si>
  <si>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</si>
  <si>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</si>
  <si>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</si>
  <si>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</si>
  <si>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</si>
  <si>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</si>
  <si>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</si>
  <si>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</si>
  <si>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</si>
  <si>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</si>
  <si>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</si>
  <si>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</si>
  <si>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</si>
  <si>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</si>
  <si>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</si>
  <si>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</si>
  <si>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</si>
  <si>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</si>
  <si>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</si>
  <si>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</si>
  <si>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</si>
  <si>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</si>
  <si>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</si>
  <si>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</si>
  <si>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</si>
  <si>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</si>
  <si>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</si>
  <si>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</si>
  <si>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</si>
  <si>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</si>
  <si>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</si>
  <si>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</si>
  <si>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</si>
  <si>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</si>
  <si>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</si>
  <si>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</si>
  <si>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</si>
  <si>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</si>
  <si>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</si>
  <si>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</si>
  <si>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</si>
  <si>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</si>
  <si>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</si>
  <si>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</si>
  <si>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</si>
  <si>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</si>
  <si>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</si>
  <si>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</si>
  <si>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</si>
  <si>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</si>
  <si>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</si>
  <si>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</si>
  <si>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</si>
  <si>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</si>
  <si>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</si>
  <si>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</si>
  <si>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</si>
  <si>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</si>
  <si>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</si>
  <si>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</si>
  <si>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</si>
  <si>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</si>
  <si>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</si>
  <si>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</si>
  <si>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</si>
  <si>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</si>
  <si>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</si>
  <si>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</si>
  <si>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</si>
  <si>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</si>
  <si>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</si>
  <si>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</si>
  <si>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</si>
  <si>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</si>
  <si>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</si>
  <si>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</si>
  <si>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</si>
  <si>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</si>
  <si>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</si>
  <si>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</si>
  <si>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</si>
  <si>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</si>
  <si>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</si>
  <si>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</si>
  <si>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</si>
  <si>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</si>
  <si>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</si>
  <si>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</si>
  <si>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</si>
  <si>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</si>
  <si>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</si>
  <si>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</si>
  <si>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</si>
  <si>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</si>
  <si>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</si>
  <si>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</si>
  <si>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</si>
  <si>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</si>
  <si>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</si>
  <si>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</si>
  <si>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</si>
  <si>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</si>
  <si>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</si>
  <si>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</si>
  <si>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</si>
  <si>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</si>
  <si>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</si>
  <si>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</si>
  <si>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</si>
  <si>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</si>
  <si>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</si>
  <si>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</si>
  <si>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</si>
  <si>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</si>
  <si>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</si>
  <si>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</si>
  <si>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</si>
  <si>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</si>
  <si>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</si>
  <si>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</si>
  <si>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</si>
  <si>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</si>
  <si>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</si>
  <si>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</si>
  <si>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</si>
  <si>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</si>
  <si>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</si>
  <si>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</si>
  <si>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</si>
  <si>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</si>
  <si>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</si>
  <si>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</si>
  <si>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</si>
  <si>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</si>
  <si>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</si>
  <si>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</si>
  <si>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</si>
  <si>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</si>
  <si>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</si>
  <si>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</si>
  <si>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</si>
  <si>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</si>
  <si>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</si>
  <si>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</si>
  <si>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</si>
  <si>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</si>
  <si>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</si>
  <si>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</si>
  <si>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</si>
  <si>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</si>
  <si>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</si>
  <si>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</si>
  <si>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</si>
  <si>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</si>
  <si>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</si>
  <si>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</si>
  <si>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</si>
  <si>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</si>
  <si>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</si>
  <si>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</si>
  <si>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</si>
  <si>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</si>
  <si>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</si>
  <si>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r>
      <rPr>
        <sz val="11"/>
        <color indexed="8"/>
        <rFont val="宋体"/>
        <charset val="134"/>
      </rPr>
      <t>环境状况</t>
    </r>
  </si>
  <si>
    <t>楼面地价</t>
  </si>
  <si>
    <r>
      <rPr>
        <sz val="11"/>
        <rFont val="宋体"/>
        <charset val="134"/>
      </rPr>
      <t>北京市</t>
    </r>
  </si>
  <si>
    <r>
      <rPr>
        <b/>
        <sz val="11"/>
        <color indexed="8"/>
        <rFont val="宋体"/>
        <charset val="134"/>
      </rPr>
      <t>工业</t>
    </r>
  </si>
  <si>
    <t>地块名称</t>
  </si>
  <si>
    <t>城市</t>
  </si>
  <si>
    <t>地块编号</t>
  </si>
  <si>
    <t>建设用地面积(㎡)</t>
  </si>
  <si>
    <t>规划建筑面积(㎡)</t>
  </si>
  <si>
    <t>用地性质</t>
  </si>
  <si>
    <t>详细规划</t>
  </si>
  <si>
    <t>出让年限(年)</t>
  </si>
  <si>
    <t>容积率</t>
  </si>
  <si>
    <t>出让方式</t>
  </si>
  <si>
    <t>截止时间</t>
  </si>
  <si>
    <t>成交时间</t>
  </si>
  <si>
    <t>交易状态</t>
  </si>
  <si>
    <t>受让单位</t>
  </si>
  <si>
    <t>起始价(万元)</t>
  </si>
  <si>
    <t>成交价(万元)</t>
  </si>
  <si>
    <t>成交每亩价(万元/亩)</t>
  </si>
  <si>
    <t>成交楼面价(元/㎡)</t>
  </si>
  <si>
    <t>溢价率(%)</t>
  </si>
  <si>
    <t>中新天津生态城(原旅游区区域内)</t>
  </si>
  <si>
    <t>天津市</t>
  </si>
  <si>
    <t>津滨生(挂)G2024-3号</t>
  </si>
  <si>
    <t xml:space="preserve"> 工业用地 </t>
  </si>
  <si>
    <t xml:space="preserve"> 50年 </t>
  </si>
  <si>
    <t xml:space="preserve"> 1.0且≤2.0 </t>
  </si>
  <si>
    <t xml:space="preserve"> 挂牌 </t>
  </si>
  <si>
    <t xml:space="preserve"> 已成交 </t>
  </si>
  <si>
    <t xml:space="preserve"> 天津开发区精锐精密模具有限公司  </t>
  </si>
  <si>
    <t>滨海新区大港石化产业园区</t>
  </si>
  <si>
    <t>津滨大(挂)G2024-2号</t>
  </si>
  <si>
    <t xml:space="preserve"> 0.7-1.5 </t>
  </si>
  <si>
    <t xml:space="preserve"> 仁国低碳能源科技(天津)有限公司  </t>
  </si>
  <si>
    <t>中新天津生态城(原旅游区区域内),其四至为东至用地范围、南至云溪道、西至用地范围、北至用地范围(以挂牌文件附图为准)</t>
  </si>
  <si>
    <t>津滨生(挂)G2024-2号</t>
  </si>
  <si>
    <t xml:space="preserve"> 1.0-2.0 </t>
  </si>
  <si>
    <t xml:space="preserve"> 天津保能电气设备有限公司  </t>
  </si>
  <si>
    <t>滨海新区大港开发区</t>
  </si>
  <si>
    <t>津滨大(挂)G2024-4号</t>
  </si>
  <si>
    <t xml:space="preserve"> 工业 </t>
  </si>
  <si>
    <t xml:space="preserve"> 0.8-2.5 </t>
  </si>
  <si>
    <t xml:space="preserve"> 中能国科(天津)科技发展有限公司  </t>
  </si>
  <si>
    <t>天津开发区南港工业区</t>
  </si>
  <si>
    <t>津滨开(挂)G2024-16号</t>
  </si>
  <si>
    <t xml:space="preserve"> 0.6-1.2 </t>
  </si>
  <si>
    <t xml:space="preserve"> 天津经济技术开发区南港发展集团有限公司  </t>
  </si>
  <si>
    <t>天津开发区西区</t>
  </si>
  <si>
    <t>津滨开(挂)G2024-8号</t>
  </si>
  <si>
    <t xml:space="preserve"> 0.8-2.0 </t>
  </si>
  <si>
    <t xml:space="preserve"> 天津博蕴纯化装备材料科技有限公司  </t>
  </si>
  <si>
    <t>天津港保税区空港经济区东十道北侧</t>
  </si>
  <si>
    <t>津滨保(挂)G2024-3号</t>
  </si>
  <si>
    <t xml:space="preserve"> ≥0.8 </t>
  </si>
  <si>
    <t xml:space="preserve"> 天津凯普林光电科技有限公司  </t>
  </si>
  <si>
    <t>滨海高新区华苑科技园</t>
  </si>
  <si>
    <t>津滨高(挂)G2024-1号</t>
  </si>
  <si>
    <t xml:space="preserve"> 1.1-2.5 </t>
  </si>
  <si>
    <t xml:space="preserve"> 天津市津腾实验设备有限公司  </t>
  </si>
  <si>
    <t>天津开发区现代产业区</t>
  </si>
  <si>
    <t>津滨开(挂)G2024-15号</t>
  </si>
  <si>
    <t xml:space="preserve"> 20年 </t>
  </si>
  <si>
    <t xml:space="preserve"> 凯迪利尔(天津)智能装备有限公司  </t>
  </si>
  <si>
    <t>津滨开(挂)G2024-11号</t>
  </si>
  <si>
    <t xml:space="preserve"> 0.6-1.8 </t>
  </si>
  <si>
    <t xml:space="preserve"> 天津得川石化有限公司  </t>
  </si>
  <si>
    <t>津滨开(挂)G2024-13号</t>
  </si>
  <si>
    <t xml:space="preserve"> 新蓝海乳业(天津)有限公司  </t>
  </si>
  <si>
    <t>津滨开(挂)G2024-12号</t>
  </si>
  <si>
    <t xml:space="preserve"> 天津七彩包装有限公司  </t>
  </si>
  <si>
    <t>津滨开(挂)G2024-2号</t>
  </si>
  <si>
    <t xml:space="preserve"> 40年 </t>
  </si>
  <si>
    <t xml:space="preserve"> 天津悦鸣科技发展有限公司  </t>
  </si>
  <si>
    <t>津滨开(挂)G2024-14号</t>
  </si>
  <si>
    <t xml:space="preserve"> 天津市自由行汽车科技有限公司  </t>
  </si>
  <si>
    <t>天津开发区</t>
  </si>
  <si>
    <t>津滨开(挂)G2024-10号</t>
  </si>
  <si>
    <t xml:space="preserve"> 天津大冢饮料有限公司  </t>
  </si>
  <si>
    <t>津滨开(挂)G2024-7号</t>
  </si>
  <si>
    <t xml:space="preserve"> 1.1-2.0 </t>
  </si>
  <si>
    <t xml:space="preserve"> 天津德高化成科技有限公司  </t>
  </si>
  <si>
    <t>津滨开(挂)G2024-6号</t>
  </si>
  <si>
    <t xml:space="preserve"> 兹戈图水工业(天津)有限公司  </t>
  </si>
  <si>
    <t>津滨生(挂)G2024-1号</t>
  </si>
  <si>
    <t xml:space="preserve"> &gt;1.0且≤2.0 </t>
  </si>
  <si>
    <t xml:space="preserve"> 天津控感科技有限公司  </t>
  </si>
  <si>
    <t>津滨开(挂)G2024-4号</t>
  </si>
  <si>
    <t xml:space="preserve"> 辰星(天津)自动化设备有限公司  </t>
  </si>
  <si>
    <t>津滨开(挂)G2024-3号</t>
  </si>
  <si>
    <t xml:space="preserve"> 天津洁美电子信息材料有限公司  </t>
  </si>
  <si>
    <t>天津港保税区临港经济区泰江道北侧</t>
  </si>
  <si>
    <t>津滨保(挂)G2023-20号</t>
  </si>
  <si>
    <t xml:space="preserve"> 天津华威津保技术服务有限公司  </t>
  </si>
  <si>
    <t>津滨开(挂)G2024-1号</t>
  </si>
  <si>
    <t xml:space="preserve"> 天津惠瑞科技有限公司  </t>
  </si>
  <si>
    <t>天津港保税区临港经济区淮河东道北侧</t>
  </si>
  <si>
    <t>津滨保(挂)G2023-21号</t>
  </si>
  <si>
    <t xml:space="preserve"> 天津华威技术服务有限公司  </t>
  </si>
  <si>
    <t>滨海新区五经路以西</t>
  </si>
  <si>
    <t>津滨汉(挂)G2023-1号</t>
  </si>
  <si>
    <t xml:space="preserve"> 0.8-1.2 </t>
  </si>
  <si>
    <t xml:space="preserve"> 天津市明丰工贸有限公司  </t>
  </si>
  <si>
    <t>中新天津生态城中部片区</t>
  </si>
  <si>
    <t>津滨生转让(挂)G2024-1号</t>
  </si>
  <si>
    <t xml:space="preserve"> 一类工业用地 </t>
  </si>
  <si>
    <t xml:space="preserve"> &gt;1.0且≤1.8 </t>
  </si>
  <si>
    <t xml:space="preserve"> 天津垠瑞万新智能科技有限公司  </t>
  </si>
  <si>
    <t>天津港保税区空港经济区环河南路以北、中心大道以西</t>
  </si>
  <si>
    <t>津滨保(挂)G2023-18号</t>
  </si>
  <si>
    <t xml:space="preserve"> 天津恒瑞医药有限公司  </t>
  </si>
  <si>
    <t>滨海高新区渤龙湖科技园</t>
  </si>
  <si>
    <t>津滨高(挂)G2023-10号</t>
  </si>
  <si>
    <t xml:space="preserve"> 天津光电聚能通信股份有限公司  </t>
  </si>
  <si>
    <t>滨海新区中塘工业区</t>
  </si>
  <si>
    <t>津滨大(挂)G2023-4号</t>
  </si>
  <si>
    <t xml:space="preserve"> 0.8-1.5 </t>
  </si>
  <si>
    <t xml:space="preserve"> 天津滨海金隅混凝土有限公司  </t>
  </si>
  <si>
    <t>滨海新区嵩山路以西、营城街以南</t>
  </si>
  <si>
    <t>津滨汉(挂)G2023-4号</t>
  </si>
  <si>
    <t xml:space="preserve"> 天津盛凯建筑科技有限公司  </t>
  </si>
  <si>
    <t>津滨高(挂)G2023-7号</t>
  </si>
  <si>
    <t xml:space="preserve"> 天津光大光合汽车科技有限公司  </t>
  </si>
  <si>
    <t>津滨大(挂)G2023-3号</t>
  </si>
  <si>
    <t xml:space="preserve"> 天津中冠汽车部件制造有限公司  </t>
  </si>
  <si>
    <t>天津开发区逸仙园工业区</t>
  </si>
  <si>
    <t>津滨开(挂)G2023-30号</t>
  </si>
  <si>
    <t xml:space="preserve"> 三恩(天津)医疗技术有限公司  </t>
  </si>
  <si>
    <t>津滨开(挂)G2023-35号</t>
  </si>
  <si>
    <t xml:space="preserve"> 0.6-1.5 </t>
  </si>
  <si>
    <t xml:space="preserve"> 天津绿菱气体有限公司  </t>
  </si>
  <si>
    <t>津滨高(挂)G2023-6号</t>
  </si>
  <si>
    <t xml:space="preserve"> 1.0-2.5 </t>
  </si>
  <si>
    <t xml:space="preserve"> 天津贵途汽车零部件有限公司  </t>
  </si>
  <si>
    <t>津滨开(挂)G2023-36号</t>
  </si>
  <si>
    <t xml:space="preserve"> 1.1-2 </t>
  </si>
  <si>
    <t xml:space="preserve"> 天津泓博智能科技有限公司  </t>
  </si>
  <si>
    <t>津滨开(挂)G2023-37号</t>
  </si>
  <si>
    <t xml:space="preserve"> 青松(天津)制药有限公司  </t>
  </si>
  <si>
    <t>津滨开(挂)G2023-38号</t>
  </si>
  <si>
    <t xml:space="preserve"> 天津宏华数码新材料有限公司  </t>
  </si>
  <si>
    <t>津滨开(挂)G2023-34号</t>
  </si>
  <si>
    <t xml:space="preserve"> 专项化学用品制造 </t>
  </si>
  <si>
    <t xml:space="preserve"> 天津金科日化新材料有限公司  </t>
  </si>
  <si>
    <t>天津港保税区空港经济区航昌道南侧</t>
  </si>
  <si>
    <t>津滨保(挂)G2023-17号</t>
  </si>
  <si>
    <t xml:space="preserve"> 专用设备制造业 </t>
  </si>
  <si>
    <t xml:space="preserve"> 天津佰焰科技股份有限公司  </t>
  </si>
  <si>
    <t>津滨开(挂)G2023-33号</t>
  </si>
  <si>
    <t xml:space="preserve"> 仓储用地 </t>
  </si>
  <si>
    <t xml:space="preserve"> 0.5-1.8 </t>
  </si>
  <si>
    <t xml:space="preserve"> 国家粮食和物资储备局北京局  </t>
  </si>
  <si>
    <t>天津开发区南部新兴产业区(滨海新区太平镇)</t>
  </si>
  <si>
    <t>津滨开(挂)G2023-25号</t>
  </si>
  <si>
    <t xml:space="preserve"> 糖果、巧克力及蜜饯制造 </t>
  </si>
  <si>
    <t xml:space="preserve"> 天津普天童乐食品有限公司  </t>
  </si>
  <si>
    <t>津滨开(挂)G2023-24号</t>
  </si>
  <si>
    <t xml:space="preserve"> 初级形态塑料及合成树脂制造 </t>
  </si>
  <si>
    <t xml:space="preserve"> 桐砚(天津)新材料有限公司  </t>
  </si>
  <si>
    <t>津滨开(挂)G2023-28号</t>
  </si>
  <si>
    <t xml:space="preserve"> 容积率≤2.0 </t>
  </si>
  <si>
    <t xml:space="preserve"> 天津南港仓储有限公司  </t>
  </si>
  <si>
    <t>滨海新区汉沽化工街以北</t>
  </si>
  <si>
    <t>津滨汉(挂)G2023-5号</t>
  </si>
  <si>
    <t xml:space="preserve"> 废弃资源综合利用业 </t>
  </si>
  <si>
    <t xml:space="preserve"> 天津居乾再生资源环保科技有限公司  </t>
  </si>
  <si>
    <t>津滨大(挂)G2023-2号</t>
  </si>
  <si>
    <t xml:space="preserve"> 橡胶和塑料制品业 </t>
  </si>
  <si>
    <t xml:space="preserve"> 0.9-1.5 </t>
  </si>
  <si>
    <t xml:space="preserve"> 天津滨海新区大港天力胶管有限公司  </t>
  </si>
  <si>
    <t>滨海新区古林街道工农村</t>
  </si>
  <si>
    <t>津滨集(挂)G2023-1号</t>
  </si>
  <si>
    <t xml:space="preserve"> 通用设备制造业 </t>
  </si>
  <si>
    <t xml:space="preserve"> 天津市工农强村富民商贸有限责任公司  </t>
  </si>
  <si>
    <t>天津港保税区空港区域纬七道以北</t>
  </si>
  <si>
    <t>津滨保(挂)G2023-13号</t>
  </si>
  <si>
    <t xml:space="preserve"> 铁路、船舶、航空航天和其它运输设备制造业 </t>
  </si>
  <si>
    <t xml:space="preserve"> 天津安达维尔航空技术有限公司  </t>
  </si>
  <si>
    <t>津滨生(挂)G2023-4号</t>
  </si>
  <si>
    <t xml:space="preserve"> 电气机械和器材制造业 </t>
  </si>
  <si>
    <t xml:space="preserve"> 天津奥源电力技术有限公司  </t>
  </si>
  <si>
    <t>中新天津生态城(原中心渔港区域内)</t>
  </si>
  <si>
    <t>津滨生(挂)G2023-3号</t>
  </si>
  <si>
    <t xml:space="preserve"> &gt;1.0且&lt;2.0 </t>
  </si>
  <si>
    <t xml:space="preserve"> 天津滨海旅游区基础设施建设有限公司  </t>
  </si>
  <si>
    <t>滨海新区汉沽紫东街以北</t>
  </si>
  <si>
    <t>津滨汉(挂)G2023-3号</t>
  </si>
  <si>
    <t xml:space="preserve"> 天津义达机械制造有限公司  </t>
  </si>
  <si>
    <t>津滨开(挂)G2023-21号</t>
  </si>
  <si>
    <t xml:space="preserve"> 金隅节能科技(天津)有限公司  </t>
  </si>
  <si>
    <t>津滨开(挂)G2023-22号</t>
  </si>
  <si>
    <t xml:space="preserve"> 中化学(天津)新材料科技有限公司  </t>
  </si>
  <si>
    <t>天津开发区微电子工业区</t>
  </si>
  <si>
    <t>津滨开(挂)G2023-16号</t>
  </si>
  <si>
    <t xml:space="preserve"> 0.8-0.9 </t>
  </si>
  <si>
    <t xml:space="preserve"> 天津经济技术开发区微电子工业区总公司  </t>
  </si>
  <si>
    <t>津滨开(挂)G2023-18号</t>
  </si>
  <si>
    <t xml:space="preserve"> 30年 </t>
  </si>
  <si>
    <t xml:space="preserve"> 1.0-1.5 </t>
  </si>
  <si>
    <t xml:space="preserve"> 天津市伊诺登医疗科技有限公司  </t>
  </si>
  <si>
    <t>津滨开(挂)G2023-23号</t>
  </si>
  <si>
    <t xml:space="preserve"> 天津渤海化学试剂有限责任公司  </t>
  </si>
  <si>
    <t>滨海高新区海洋科技园</t>
  </si>
  <si>
    <t>津滨高(挂)G2023-4号</t>
  </si>
  <si>
    <t xml:space="preserve"> ≥1.0 </t>
  </si>
  <si>
    <t xml:space="preserve"> 天津元和工业设备有限公司  </t>
  </si>
  <si>
    <t>津滨高(挂)G2023-5号</t>
  </si>
  <si>
    <t xml:space="preserve"> 天津亿利环保科技有限公司  </t>
  </si>
  <si>
    <t>滨海新区汉沽营城街以南</t>
  </si>
  <si>
    <t>津滨汉(挂)G2023-2号</t>
  </si>
  <si>
    <t xml:space="preserve"> 天津智鑫智能装备有限公司  </t>
  </si>
  <si>
    <t>天津港保税区临港区域</t>
  </si>
  <si>
    <t>津滨保(挂)G2023-10号</t>
  </si>
  <si>
    <t xml:space="preserve"> ≥0.2 </t>
  </si>
  <si>
    <t xml:space="preserve"> 液空轻程(天津)氢能有限公司  </t>
  </si>
  <si>
    <t>天津港保税区空港区域经三路以东</t>
  </si>
  <si>
    <t>津滨保(挂)G2023-14号</t>
  </si>
  <si>
    <t xml:space="preserve"> 0.7-2.0 </t>
  </si>
  <si>
    <t xml:space="preserve"> 天津麦康药业有限公司  </t>
  </si>
  <si>
    <t>滨海高新区华苑科技园(环内)</t>
  </si>
  <si>
    <t>津滨高(挂)G2023-1号</t>
  </si>
  <si>
    <t xml:space="preserve"> 工业用地(新型产业用地) </t>
  </si>
  <si>
    <t xml:space="preserve"> 2.0-3.0 </t>
  </si>
  <si>
    <t xml:space="preserve"> 天津金海通半导体设备股份有限公司  </t>
  </si>
  <si>
    <t>津滨开(挂)G2023-17号</t>
  </si>
  <si>
    <t xml:space="preserve"> 天津经济技术开发区天格产业园发展有限责任公司  </t>
  </si>
  <si>
    <t>天津港保税区空港经济区领航路西侧</t>
  </si>
  <si>
    <t>津滨保(挂)G2023-12号</t>
  </si>
  <si>
    <t xml:space="preserve"> 0.5-2.0 </t>
  </si>
  <si>
    <t xml:space="preserve"> 天津天保航空产业发展有限公司  </t>
  </si>
  <si>
    <t>天津港保税区空港经济区西九道立交桥西侧</t>
  </si>
  <si>
    <t>津滨保(挂)G2023-11号</t>
  </si>
  <si>
    <t xml:space="preserve"> 0.08-2.0 </t>
  </si>
  <si>
    <t>天津开发区中区(原轻纺经济区)</t>
  </si>
  <si>
    <t>津滨轻纺(挂)G2023-1号</t>
  </si>
  <si>
    <t xml:space="preserve"> 天津普利特新材料有限公司  </t>
  </si>
  <si>
    <t>津滨开(挂)G2023-13号</t>
  </si>
  <si>
    <t xml:space="preserve"> 天津东泉石油技术开发有限公司  </t>
  </si>
  <si>
    <t>天津港保税区空港区域环河南路以北</t>
  </si>
  <si>
    <t>津滨保(挂)G2023-7号</t>
  </si>
  <si>
    <t xml:space="preserve"> ≥0.7 </t>
  </si>
  <si>
    <t xml:space="preserve"> 特变电工京津冀智能科技有限公司  </t>
  </si>
  <si>
    <t>天津港保税区临港区域渤海五十三路以西、黄河道以北</t>
  </si>
  <si>
    <t>津滨保(挂)G2023-5号</t>
  </si>
  <si>
    <t xml:space="preserve"> ≥0.7且≤1.8 </t>
  </si>
  <si>
    <t xml:space="preserve"> 天津鑫正船舶海洋重工有限公司  </t>
  </si>
  <si>
    <t>津滨开(挂)G2023-12号</t>
  </si>
  <si>
    <t xml:space="preserve"> 优诺金生物工程(天津)有限责任公司  </t>
  </si>
  <si>
    <t>津滨开(挂)G2023-14号</t>
  </si>
  <si>
    <t xml:space="preserve"> 0.6-2.0 </t>
  </si>
  <si>
    <t>津滨开(挂)G2023-15号</t>
  </si>
  <si>
    <t xml:space="preserve"> 天津泰达科技工业园有限公司  </t>
  </si>
  <si>
    <t>津滨高(挂)G2023-3号</t>
  </si>
  <si>
    <t xml:space="preserve"> 天津中高芯材半导体科技有限公司  </t>
  </si>
  <si>
    <t>津滨高(挂)G2023-2号</t>
  </si>
  <si>
    <t xml:space="preserve"> 天津赛德美新能源科技有限公司  </t>
  </si>
  <si>
    <t>津滨生(挂)G2023-2号</t>
  </si>
  <si>
    <t xml:space="preserve"> 天津控感科技产业股份有限公司  </t>
  </si>
  <si>
    <t>津滨生(挂)G2023-1号</t>
  </si>
  <si>
    <t>天津港保税区空港区域东十道以北、环河东路以西</t>
  </si>
  <si>
    <t>津滨保(挂)G2023-6号</t>
  </si>
  <si>
    <t>津滨开(挂)G2023-9号</t>
  </si>
  <si>
    <t xml:space="preserve"> 天津泰港产业发展有限公司  </t>
  </si>
  <si>
    <t>津滨开(挂)G2023-1号</t>
  </si>
  <si>
    <t xml:space="preserve"> 诺和诺德(中国)制药有限公司  </t>
  </si>
  <si>
    <t>津滨开(挂)G2023-10号</t>
  </si>
  <si>
    <t xml:space="preserve"> 天津肯博利精密工具有限公司  </t>
  </si>
  <si>
    <t>津滨开(挂)G2023-6号</t>
  </si>
  <si>
    <t xml:space="preserve"> 天津经济技术开发区国有资产经营有限公司  </t>
  </si>
  <si>
    <t>津滨开(挂)G2023-7号</t>
  </si>
  <si>
    <t xml:space="preserve"> 蓝硕电气(天津)有限公司  </t>
  </si>
  <si>
    <t>津滨高(挂)G2022-6号</t>
  </si>
  <si>
    <t xml:space="preserve"> 曙光信息产业股份有限公司  </t>
  </si>
  <si>
    <t>津滨开(挂)G2023-8号</t>
  </si>
  <si>
    <t xml:space="preserve"> 0.6-1.0 </t>
  </si>
  <si>
    <t xml:space="preserve"> 天津中圣泰港新能源科技有限公司  </t>
  </si>
  <si>
    <t>天津港保税区空港经济区</t>
  </si>
  <si>
    <t>津滨保(挂)G2022-16号</t>
  </si>
  <si>
    <t xml:space="preserve"> 天津天保生物医药产业发展有限公司  </t>
  </si>
  <si>
    <t>津滨高(挂)G2022-14号</t>
  </si>
  <si>
    <t xml:space="preserve"> 天津力神新能源科技有限公司  </t>
  </si>
  <si>
    <t>天津港保税区临港区域渤海二十三路以东、淮河东道以北</t>
  </si>
  <si>
    <t>津滨保(挂)G2023-2号</t>
  </si>
  <si>
    <t xml:space="preserve"> 0.75-1.0 </t>
  </si>
  <si>
    <t xml:space="preserve"> 天津路通新材料科技有限公司  </t>
  </si>
  <si>
    <t>天津东疆综合保税区新港九号路以南、青海路以东</t>
  </si>
  <si>
    <t>津滨东(挂)G2023-1号</t>
  </si>
  <si>
    <t xml:space="preserve"> 天津东疆置业有限公司  </t>
  </si>
  <si>
    <t>天津港保税区空港经济区环东干道五与环东干道一交口</t>
  </si>
  <si>
    <t>津滨保(挂)G2022-13号</t>
  </si>
  <si>
    <t xml:space="preserve"> 天津正天医疗器械有限公司  </t>
  </si>
  <si>
    <t>天津港保税区临港区域渤海三十三路以东、黄河路以南</t>
  </si>
  <si>
    <t>津滨保(挂)G2022-8号</t>
  </si>
  <si>
    <t xml:space="preserve"> 0.7-1.0 </t>
  </si>
  <si>
    <t xml:space="preserve"> 天津皕劼同创精密钛铸造有限公司  </t>
  </si>
  <si>
    <t>津滨开(挂)G2023-3号</t>
  </si>
  <si>
    <t xml:space="preserve"> 工业用地(铁路专用线) </t>
  </si>
  <si>
    <t xml:space="preserve"> 0-0.5 </t>
  </si>
  <si>
    <t xml:space="preserve"> 华电国际电力股份有限公司天津开发区分公司  </t>
  </si>
  <si>
    <t>津滨开(挂)G2022-30号</t>
  </si>
  <si>
    <t>津滨轻纺(挂)G2022-2号</t>
  </si>
  <si>
    <t xml:space="preserve"> 天津铭鑫汽车技术有限公司  </t>
  </si>
  <si>
    <t>津滨高(挂)G2022-8号</t>
  </si>
  <si>
    <t xml:space="preserve"> 天地伟业技术有限公司  </t>
  </si>
  <si>
    <t>天津开发区现代产业园</t>
  </si>
  <si>
    <t>津滨开(挂)G2022-29号</t>
  </si>
  <si>
    <t xml:space="preserve"> 天津经济技术开发区天富产业园发展有限责任公司  </t>
  </si>
  <si>
    <t>津滨生(挂)G2022-6号</t>
  </si>
  <si>
    <t xml:space="preserve"> 天津市德芯科技开发有限公司  </t>
  </si>
  <si>
    <t>津滨高(挂)G2022-16号</t>
  </si>
  <si>
    <t xml:space="preserve"> 天津汇融蓝湾运营管理有限公司  </t>
  </si>
  <si>
    <t>滨海中关村科技园</t>
  </si>
  <si>
    <t>津滨北塘(挂)G2022-1号</t>
  </si>
  <si>
    <t xml:space="preserve"> 一类工业用地(新型产业用地) </t>
  </si>
  <si>
    <t xml:space="preserve"> 1.5-1.8,1.5-1.6 </t>
  </si>
  <si>
    <t xml:space="preserve"> 北塘湾(天津)产业园发展有限公司  </t>
  </si>
  <si>
    <t>津滨轻纺(挂)G2022-1号</t>
  </si>
  <si>
    <t xml:space="preserve"> 东纶科技实业(天津)有限公司  </t>
  </si>
  <si>
    <t>津滨开(挂)G2022-26号</t>
  </si>
  <si>
    <t xml:space="preserve"> 中石化石油化工科学研究院有限公司  </t>
  </si>
  <si>
    <t>津滨开(挂)G2022-27号</t>
  </si>
  <si>
    <t xml:space="preserve"> 天津天诚新材料有限公司  </t>
  </si>
  <si>
    <t>天津滨海高新区渤龙湖科技园</t>
  </si>
  <si>
    <t>津滨高(挂)G2022-11号</t>
  </si>
  <si>
    <t xml:space="preserve"> 天津乐味素生物科技有限公司  </t>
  </si>
  <si>
    <t>津滨高(挂)G2022-12号</t>
  </si>
  <si>
    <t xml:space="preserve"> 47年 </t>
  </si>
  <si>
    <t xml:space="preserve"> 天津津村制药有限公司  </t>
  </si>
  <si>
    <t>津滨开(挂)G2022-25号</t>
  </si>
  <si>
    <t xml:space="preserve"> 中石化石油工程技术研究院有限公司  </t>
  </si>
  <si>
    <t>津滨开(挂)G2022-24号</t>
  </si>
  <si>
    <t xml:space="preserve"> 0.7-2.5 </t>
  </si>
  <si>
    <t xml:space="preserve"> 航天材料及工艺研究所  </t>
  </si>
  <si>
    <t>津滨开(挂)G2022-23号</t>
  </si>
  <si>
    <t xml:space="preserve"> 广东鸿图(天津)汽车零部件有限公司  </t>
  </si>
  <si>
    <t>天津滨海高新区海洋科技园内</t>
  </si>
  <si>
    <t>津滨高(挂)G2022-10号</t>
  </si>
  <si>
    <t xml:space="preserve"> 1.5-4.0 </t>
  </si>
  <si>
    <t xml:space="preserve"> 天津市海洋高新技术开发有限公司  </t>
  </si>
  <si>
    <t>津滨高(挂)G2022-7号</t>
  </si>
  <si>
    <t xml:space="preserve"> 天津芯哲微电子科技有限公司  </t>
  </si>
  <si>
    <t>津滨开(挂)G2022-18号</t>
  </si>
  <si>
    <t xml:space="preserve"> 天津市锦晖生物科技有限责任公司  </t>
  </si>
  <si>
    <t>津滨开(挂)G2022-17号</t>
  </si>
  <si>
    <t xml:space="preserve"> 天津市中置天龙智能科技有限责任公司  </t>
  </si>
  <si>
    <t>天津港保税区临港区域渤海三十二路与泰江道交口</t>
  </si>
  <si>
    <t>津滨保(挂)G2022-6号</t>
  </si>
  <si>
    <t xml:space="preserve"> 博德世达(天津)能源科技有限公司  </t>
  </si>
  <si>
    <t>津滨开(挂)G2022-16号</t>
  </si>
  <si>
    <t xml:space="preserve"> 天津博锐恩实业有限公司  </t>
  </si>
  <si>
    <t>津滨开(挂)G2022-15号</t>
  </si>
  <si>
    <t xml:space="preserve"> 华融科创生物科技(天津)有限公司  </t>
  </si>
  <si>
    <t>津滨开(挂)G2022-13号</t>
  </si>
  <si>
    <t xml:space="preserve"> 新丽华(天津)涂料有限公司  </t>
  </si>
  <si>
    <t>津滨开(挂)G2022-14号</t>
  </si>
  <si>
    <t>津滨开(挂)G2022-12号</t>
  </si>
  <si>
    <t xml:space="preserve"> 天津四环恒兴汽车饰件制造有限公司  </t>
  </si>
  <si>
    <t>津滨保(挂)G2022-5号</t>
  </si>
  <si>
    <t xml:space="preserve"> 斯凯杰科亚太(天津)机械有限公司  </t>
  </si>
  <si>
    <t>津滨保(挂)G2021-18号</t>
  </si>
  <si>
    <t xml:space="preserve"> 中海油能源发展装备技术有限公司  </t>
  </si>
  <si>
    <t>天津港保税区空港经济区中环东路和东十道交口</t>
  </si>
  <si>
    <t>津滨保(挂)G2022-4号</t>
  </si>
  <si>
    <t xml:space="preserve"> 博格华纳动力驱动系统(天津)有限公司  </t>
  </si>
  <si>
    <t>津滨开(挂)G2022-10号</t>
  </si>
  <si>
    <t xml:space="preserve"> 中国石化催化剂有限公司  </t>
  </si>
  <si>
    <t>津滨开(挂)G2022-9号</t>
  </si>
  <si>
    <t xml:space="preserve"> 天津全和诚科技有限责任公司  </t>
  </si>
  <si>
    <t>天津滨海高新区渤龙湖科技园内</t>
  </si>
  <si>
    <t>津滨高(挂)G2022-4号</t>
  </si>
  <si>
    <t xml:space="preserve"> 天津津荣天宇精密机械股份有限公司  </t>
  </si>
  <si>
    <t>中新天津生态城</t>
  </si>
  <si>
    <t>津滨生(挂)G2022-5号</t>
  </si>
  <si>
    <t xml:space="preserve"> 天津润丰正通科技有限公司  </t>
  </si>
  <si>
    <t>津滨高(挂)G2022-5号</t>
  </si>
  <si>
    <t xml:space="preserve"> 天津望圆智能制造有限公司  </t>
  </si>
  <si>
    <t>津滨开(挂)G2022-4号</t>
  </si>
  <si>
    <t xml:space="preserve"> ≥0.7且&lt;1.0 </t>
  </si>
  <si>
    <t xml:space="preserve"> 豪晟(天津)科技有限公司  </t>
  </si>
  <si>
    <t>津滨高(挂)G2022-2号</t>
  </si>
  <si>
    <t xml:space="preserve"> 天津桀亚莱福生物技术有限公司  </t>
  </si>
  <si>
    <t>津滨高(挂)G2022-3号</t>
  </si>
  <si>
    <t xml:space="preserve"> ≤2.5 </t>
  </si>
  <si>
    <t xml:space="preserve"> 格瑞食品工业(天津)有限公司  </t>
  </si>
  <si>
    <t>津滨开(挂)G2022-6号</t>
  </si>
  <si>
    <t xml:space="preserve"> 天津鼎金新材料有限公司  </t>
  </si>
  <si>
    <t>津滨开(挂)G2022-5号</t>
  </si>
  <si>
    <t>津滨生(挂)G2022-4号</t>
  </si>
  <si>
    <t xml:space="preserve"> &gt;1.0且≤1.5 </t>
  </si>
  <si>
    <t xml:space="preserve"> 天津智科六号产业园发展有限公司  </t>
  </si>
  <si>
    <t>津滨生(挂)G2022-3号</t>
  </si>
  <si>
    <t xml:space="preserve"> 天津智科四号产业园发展有限公司  </t>
  </si>
  <si>
    <t>开发区中区(原轻纺经济区)</t>
  </si>
  <si>
    <t>津滨轻纺(挂)G2021-1号</t>
  </si>
  <si>
    <t xml:space="preserve"> 天津立维科石油技术服务有限公司  </t>
  </si>
  <si>
    <t>津滨高(挂)G2022-1号</t>
  </si>
  <si>
    <t xml:space="preserve"> 康达新材料科技(天津)有限公司  </t>
  </si>
  <si>
    <t>天津开发区现代产业区(原汉沽化工产业园区)</t>
  </si>
  <si>
    <t>津滨开(挂)G2022-3号</t>
  </si>
  <si>
    <t xml:space="preserve"> 天津裕欣科技有限公司  </t>
  </si>
  <si>
    <t>津滨生(挂)G2022-1号</t>
  </si>
  <si>
    <t xml:space="preserve"> ≥1.0且≤2.0 </t>
  </si>
  <si>
    <t xml:space="preserve"> 正和(天津)食品科技有限公司  </t>
  </si>
  <si>
    <t>津滨开(挂)G2022-1号</t>
  </si>
  <si>
    <t xml:space="preserve"> 凯莱英医药集团(天津)股份有限公司  </t>
  </si>
  <si>
    <t>津滨开(挂)G2022-2号</t>
  </si>
  <si>
    <t xml:space="preserve"> 天津药明康德新药开发有限公司  </t>
  </si>
  <si>
    <t>滨海新区汉沽五经路以东</t>
  </si>
  <si>
    <t>津滨汉(挂)G2021-1号</t>
  </si>
  <si>
    <t>津滨开(挂)G2021-28号</t>
  </si>
  <si>
    <t xml:space="preserve"> 天津灯塔涂料工业发展有限公司  </t>
  </si>
  <si>
    <t>津滨开(挂)G2021-29号</t>
  </si>
  <si>
    <t xml:space="preserve"> 1.2-2.0 </t>
  </si>
  <si>
    <t xml:space="preserve"> 天津敏实汽车零部件有限公司  </t>
  </si>
  <si>
    <t>津滨生(挂)G2021-9号</t>
  </si>
  <si>
    <t xml:space="preserve"> 天津平禄冷链物流有限责任公司  </t>
  </si>
  <si>
    <t>天津港保税区空港经济区航空路与西十四道交口</t>
  </si>
  <si>
    <t>津滨保(挂)G2021-13号</t>
  </si>
  <si>
    <t xml:space="preserve"> 西捷(中国)科技有限公司  </t>
  </si>
  <si>
    <t>津滨开(挂)G2021-26号</t>
  </si>
  <si>
    <t xml:space="preserve"> 容积率0.6-1.8 </t>
  </si>
  <si>
    <t xml:space="preserve"> 天津泰港石化环保科技发展有限公司  </t>
  </si>
  <si>
    <t>津滨生(挂)G2021-8号</t>
  </si>
  <si>
    <t xml:space="preserve"> 容积率&gt;1.0且≤2.0 </t>
  </si>
  <si>
    <t xml:space="preserve"> 天津生态城智慧产城建设发展有限公司  </t>
  </si>
  <si>
    <t>滨海新区大港石化产业园区内港兴街以东、金泓路以北</t>
  </si>
  <si>
    <t>津滨大(挂)G2021-4号</t>
  </si>
  <si>
    <t xml:space="preserve"> 容积率1.0-1.5 </t>
  </si>
  <si>
    <t xml:space="preserve"> 天津力天环保科技有限公司  </t>
  </si>
  <si>
    <t>滨海新区大港安达工业园</t>
  </si>
  <si>
    <t>津滨大(挂)G2021-3号</t>
  </si>
  <si>
    <t xml:space="preserve"> 天津诚蒂食品有限公司  </t>
  </si>
  <si>
    <t>津滨开(挂)G2021-24号</t>
  </si>
  <si>
    <t xml:space="preserve"> 容积率0.5-1.8 </t>
  </si>
  <si>
    <t xml:space="preserve"> 中国石油化工股份有限公司天津分公司  </t>
  </si>
  <si>
    <t>津滨高(挂)G2021-7号</t>
  </si>
  <si>
    <t xml:space="preserve"> 容积率为≥1.0 </t>
  </si>
  <si>
    <t xml:space="preserve"> 天津创源生物技术有限公司  </t>
  </si>
  <si>
    <t>津滨高(挂)G2021-8号</t>
  </si>
  <si>
    <t xml:space="preserve"> 容积率为1.0-2.5 </t>
  </si>
  <si>
    <t xml:space="preserve"> 天津旭华产业园发展有限公司  </t>
  </si>
  <si>
    <t>津滨开(挂)G2021-20号</t>
  </si>
  <si>
    <t xml:space="preserve"> 容积率1.0-2.0 </t>
  </si>
  <si>
    <t xml:space="preserve"> 斯芬克司药物研发(天津)股份有限公司  </t>
  </si>
  <si>
    <t>津滨开(挂)G2021-22号</t>
  </si>
  <si>
    <t xml:space="preserve"> 容积率0.6-2.0 </t>
  </si>
  <si>
    <t xml:space="preserve"> 中海油天化高科化工有限公司  </t>
  </si>
  <si>
    <t>天津开发区南部新兴产业区</t>
  </si>
  <si>
    <t>津滨开(挂)G2021-19号</t>
  </si>
  <si>
    <t xml:space="preserve"> 容积率0.7-2.0 </t>
  </si>
  <si>
    <t>津滨开(挂)G2021-21号</t>
  </si>
  <si>
    <t>天津港保税区空港经济区经三路以东</t>
  </si>
  <si>
    <t>津滨保(挂)G2021-19号</t>
  </si>
  <si>
    <t xml:space="preserve"> 天津联风志远创新科技有限公司  </t>
  </si>
  <si>
    <t>津滨开(挂)G2021-23号</t>
  </si>
  <si>
    <t>天津港保税区临港区域渤海三十二路以东、泰江道以南</t>
  </si>
  <si>
    <t>津滨保(挂)G2021-14号</t>
  </si>
  <si>
    <t>天津港保税区临港区域渤海二十七路以东、海河道以北</t>
  </si>
  <si>
    <t>津滨保(挂)G2021-10号</t>
  </si>
  <si>
    <t xml:space="preserve"> 天津博迈科海洋工程有限公司  </t>
  </si>
  <si>
    <t>滨海新区经开区</t>
  </si>
  <si>
    <t>津滨开(挂)G2021-18号</t>
  </si>
  <si>
    <t xml:space="preserve"> SEW-传动设备(天津)有限公司  </t>
  </si>
  <si>
    <t>滨海新区经开区南港工业区</t>
  </si>
  <si>
    <t>津滨开(挂)G2021-17号</t>
  </si>
  <si>
    <t xml:space="preserve"> 天津新宙邦电子材料有限公司  </t>
  </si>
  <si>
    <t>津滨高(挂)G2021-6号</t>
  </si>
  <si>
    <t xml:space="preserve"> 天津市瓦克斯阀门制造有限公司  </t>
  </si>
  <si>
    <t>天津港保税区空港区域天津空港经济区经三路以东</t>
  </si>
  <si>
    <t>津滨保(挂)G2021-17号</t>
  </si>
  <si>
    <t>津滨开(挂)G2021-15号</t>
  </si>
  <si>
    <t xml:space="preserve"> 天津海光药业股份有限公司  </t>
  </si>
  <si>
    <t>天津开发区一汽大众华北基地</t>
  </si>
  <si>
    <t>津滨开(挂)G2021-13号</t>
  </si>
  <si>
    <t xml:space="preserve"> 天津禹帆物流有限公司  </t>
  </si>
  <si>
    <t>宁河区现代产业区温馨道西侧</t>
  </si>
  <si>
    <t>津宁(挂)G2024-01号</t>
  </si>
  <si>
    <t xml:space="preserve"> 兵航安全技术(天津)有限公司  </t>
  </si>
  <si>
    <t>宁河现代产业区华康道东侧</t>
  </si>
  <si>
    <t>津宁(挂)G2024-02号</t>
  </si>
  <si>
    <t xml:space="preserve"> 天津泰氢晨能源科技有限公司  </t>
  </si>
  <si>
    <t>天津开发区一汽大众基地</t>
  </si>
  <si>
    <t>津滨开(挂)G2023-27号</t>
  </si>
  <si>
    <t xml:space="preserve"> 钢压延加工 </t>
  </si>
  <si>
    <t xml:space="preserve"> 天津恒兴威玛钢材加工有限公司  </t>
  </si>
  <si>
    <t>宁河区现代产业区规划温馨道西侧</t>
  </si>
  <si>
    <t>津宁(挂)G2023-02号</t>
  </si>
  <si>
    <t xml:space="preserve"> 天津玖华金属制品有限公司  </t>
  </si>
  <si>
    <t>宁河区现代产业区</t>
  </si>
  <si>
    <t>津宁(挂)G2022-03号</t>
  </si>
  <si>
    <t xml:space="preserve"> 天津市吉星能源发展有限公司  </t>
  </si>
  <si>
    <t>津宁(挂)G2022-04号</t>
  </si>
  <si>
    <t xml:space="preserve"> 天津市法斯特运动器材有限公司  </t>
  </si>
  <si>
    <t>津宁(挂)G2022-07号</t>
  </si>
  <si>
    <t xml:space="preserve"> 天津特未浓生物技术开发有限公司  </t>
  </si>
  <si>
    <t>宁河区经济开发区</t>
  </si>
  <si>
    <t>津宁(挂)G2022-01号</t>
  </si>
  <si>
    <t xml:space="preserve"> 天津宝鑫装备园区管理有限公司  </t>
  </si>
  <si>
    <t>津宁(挂)G2022-02号</t>
  </si>
  <si>
    <t xml:space="preserve"> 清控智明新材料(天津)有限公司  </t>
  </si>
  <si>
    <t>津宁(挂)G2021-07号</t>
  </si>
  <si>
    <t xml:space="preserve"> 恒赫模具科技(天津)有限公司  </t>
  </si>
  <si>
    <t>津宁(挂)G2021-03号</t>
  </si>
  <si>
    <t xml:space="preserve"> 金玖(天津)科技有限公司  </t>
  </si>
  <si>
    <t>津宁(挂)G2021-06号</t>
  </si>
  <si>
    <t xml:space="preserve"> 容积率≥0.7 </t>
  </si>
  <si>
    <t xml:space="preserve"> 中材节能股份有限公司  </t>
  </si>
  <si>
    <t>宁河潘庄工业区</t>
  </si>
  <si>
    <t>津宁(挂)G2021-05号</t>
  </si>
  <si>
    <t xml:space="preserve"> 不小于0.7且不大于2.0 </t>
  </si>
  <si>
    <t xml:space="preserve"> 天津华北智慧创新产业园有限公司  </t>
  </si>
  <si>
    <t>津宁(挂)G2021-04号</t>
  </si>
  <si>
    <t xml:space="preserve"> 天津市北方阀门控制设备有限公司  </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</si>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</sst>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sz val="12"/>
      <color indexed="8"/>
      <name val="宋体"/>
      <charset val="134"/>
    </font>
    <font>
      <b/>
      <sz val="11"/>
      <name val="宋体"/>
      <charset val="134"/>
    </font>
    <font>
      <b/>
      <sz val="16"/>
      <color indexed="10"/>
      <name val="宋体"/>
      <charset val="134"/>
    </font>
    <font>
      <sz val="12"/>
      <color theme="9" tint="-0.249977111117893"/>
      <name val="宋体"/>
      <charset val="134"/>
    </font>
    <font>
      <b/>
      <sz val="10"/>
      <color indexed="53"/>
      <name val="宋体"/>
      <charset val="134"/>
    </font>
    <font>
      <b/>
      <sz val="14"/>
      <color rgb="FFFF0000"/>
      <name val="宋体"/>
      <charset val="134"/>
    </font>
    <font>
      <sz val="14"/>
      <color theme="9" tint="-0.249977111117893"/>
      <name val="宋体"/>
      <charset val="134"/>
    </font>
    <font>
      <vertAlign val="subscript"/>
      <sz val="10"/>
      <color indexed="8"/>
      <name val="宋体"/>
      <charset val="134"/>
    </font>
    <font>
      <b/>
      <vertAlign val="subscript"/>
      <sz val="10"/>
      <name val="宋体"/>
      <charset val="134"/>
    </font>
    <font>
      <vertAlign val="superscript"/>
      <sz val="10"/>
      <color theme="1"/>
      <name val="宋体"/>
      <charset val="134"/>
    </font>
    <font>
      <sz val="11"/>
      <color theme="9" tint="-0.249977111117893"/>
      <name val="宋体"/>
      <charset val="134"/>
    </font>
    <font>
      <sz val="11"/>
      <name val="宋体"/>
      <charset val="134"/>
    </font>
    <font>
      <sz val="10"/>
      <color rgb="FF000000"/>
      <name val="宋体"/>
      <charset val="134"/>
    </font>
    <font>
      <sz val="10"/>
      <color theme="9" tint="-0.249977111117893"/>
      <name val="宋体"/>
      <charset val="134"/>
    </font>
    <font>
      <b/>
      <vertAlign val="subscript"/>
      <sz val="10"/>
      <name val="楷体_GB2312"/>
      <charset val="134"/>
    </font>
    <font>
      <sz val="11"/>
      <color theme="1"/>
      <name val="宋体"/>
      <charset val="134"/>
    </font>
    <font>
      <sz val="14"/>
      <color theme="1"/>
      <name val="宋体"/>
      <charset val="134"/>
    </font>
    <font>
      <b/>
      <sz val="12"/>
      <color indexed="8"/>
      <name val="宋体"/>
      <charset val="134"/>
    </font>
    <font>
      <vertAlign val="subscript"/>
      <sz val="10"/>
      <color theme="1"/>
      <name val="Arial"/>
      <charset val="134"/>
    </font>
    <font>
      <i/>
      <sz val="10"/>
      <name val="宋体"/>
      <charset val="134"/>
    </font>
    <font>
      <sz val="14"/>
      <color rgb="FF000000"/>
      <name val="宋体"/>
      <charset val="134"/>
    </font>
    <font>
      <b/>
      <sz val="11"/>
      <color rgb="FFFF0000"/>
      <name val="宋体"/>
      <charset val="134"/>
    </font>
    <font>
      <b/>
      <sz val="14"/>
      <color theme="1"/>
      <name val="宋体"/>
      <charset val="134"/>
    </font>
    <font>
      <b/>
      <sz val="11"/>
      <color theme="1"/>
      <name val="宋体"/>
      <charset val="134"/>
    </font>
    <font>
      <b/>
      <i/>
      <sz val="14"/>
      <color theme="3" tint="0.399975585192419"/>
      <name val="宋体"/>
      <charset val="134"/>
    </font>
    <font>
      <b/>
      <sz val="10"/>
      <color indexed="10"/>
      <name val="宋体"/>
      <charset val="134"/>
    </font>
    <font>
      <sz val="8"/>
      <color indexed="8"/>
      <name val="仿宋_GB2312"/>
      <charset val="134"/>
    </font>
    <font>
      <sz val="12"/>
      <color theme="1"/>
      <name val="宋体"/>
      <charset val="134"/>
    </font>
    <font>
      <b/>
      <sz val="14"/>
      <color rgb="FF000000"/>
      <name val="宋体"/>
      <charset val="134"/>
    </font>
    <font>
      <sz val="9"/>
      <color indexed="8"/>
      <name val="仿宋_GB2312"/>
      <charset val="134"/>
    </font>
    <font>
      <b/>
      <i/>
      <sz val="11"/>
      <color theme="3" tint="0.399975585192419"/>
      <name val="宋体"/>
      <charset val="134"/>
    </font>
    <font>
      <vertAlign val="superscript"/>
      <sz val="10"/>
      <color theme="1"/>
      <name val="Arial"/>
      <charset val="134"/>
    </font>
    <font>
      <sz val="10"/>
      <color indexed="53"/>
      <name val="宋体"/>
      <charset val="134"/>
    </font>
    <font>
      <sz val="10"/>
      <color rgb="FF707070"/>
      <name val="宋体"/>
      <charset val="134"/>
    </font>
    <font>
      <sz val="12"/>
      <color rgb="FF000000"/>
      <name val="宋体"/>
      <charset val="134"/>
    </font>
    <font>
      <sz val="11"/>
      <color indexed="10"/>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b/>
      <vertAlign val="subscript"/>
      <sz val="10"/>
      <name val="Arial"/>
      <charset val="134"/>
    </font>
    <font>
      <sz val="9"/>
      <color indexed="8"/>
      <name val="宋体"/>
      <charset val="134"/>
    </font>
    <font>
      <b/>
      <sz val="11"/>
      <color indexed="10"/>
      <name val="宋体"/>
      <charset val="134"/>
    </font>
    <font>
      <sz val="10"/>
      <color indexed="10"/>
      <name val="宋体"/>
      <charset val="134"/>
    </font>
    <font>
      <i/>
      <sz val="10"/>
      <name val="楷体_GB2312"/>
      <charset val="134"/>
    </font>
    <font>
      <b/>
      <sz val="18"/>
      <color indexed="10"/>
      <name val="΢ȭхڬˎ̥"/>
      <charset val="134"/>
    </font>
    <font>
      <b/>
      <sz val="10"/>
      <color indexed="10"/>
      <name val="楷体_GB2312"/>
      <charset val="134"/>
    </font>
    <font>
      <i/>
      <sz val="10"/>
      <color indexed="8"/>
      <name val="宋体"/>
      <charset val="134"/>
    </font>
    <font>
      <i/>
      <sz val="14"/>
      <color theme="3" tint="0.399975585192419"/>
      <name val="宋体"/>
      <charset val="134"/>
    </font>
    <font>
      <sz val="8"/>
      <color indexed="8"/>
      <name val="宋体"/>
      <charset val="134"/>
    </font>
    <font>
      <b/>
      <sz val="14"/>
      <color indexed="10"/>
      <name val="宋体"/>
      <charset val="134"/>
      <scheme val="minor"/>
    </font>
    <font>
      <sz val="10"/>
      <color indexed="8"/>
      <name val="楷体_GB2312"/>
      <charset val="134"/>
    </font>
    <font>
      <b/>
      <sz val="12"/>
      <color rgb="FF000000"/>
      <name val="宋体"/>
      <charset val="134"/>
    </font>
    <font>
      <b/>
      <sz val="18"/>
      <color theme="1"/>
      <name val="宋体"/>
      <charset val="134"/>
    </font>
    <font>
      <b/>
      <i/>
      <sz val="10"/>
      <color rgb="FFFF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6"/>
      <name val="宋体"/>
      <charset val="134"/>
    </font>
    <font>
      <sz val="14"/>
      <name val="楷体_GB2312"/>
      <charset val="134"/>
    </font>
    <font>
      <sz val="9"/>
      <name val="宋体"/>
      <charset val="134"/>
    </font>
    <font>
      <sz val="12"/>
      <name val="仿宋_GB2312"/>
      <charset val="134"/>
    </font>
    <font>
      <sz val="11"/>
      <name val="宋体"/>
      <charset val="134"/>
    </font>
    <font>
      <sz val="12"/>
      <name val="宋体"/>
      <charset val="134"/>
    </font>
    <font>
      <b/>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4"/>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11" borderId="0" applyNumberFormat="0" applyBorder="0" applyAlignment="0" applyProtection="0">
      <alignment vertical="center"/>
    </xf>
    <xf numFmtId="0" fontId="164" fillId="43" borderId="0" applyNumberFormat="0" applyBorder="0" applyAlignment="0" applyProtection="0">
      <alignment vertical="center"/>
    </xf>
    <xf numFmtId="0" fontId="165" fillId="44"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4" fillId="48"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0" fillId="16" borderId="0" xfId="0" applyFill="1">
      <alignment vertical="center"/>
    </xf>
    <xf numFmtId="0" fontId="0" fillId="17" borderId="0" xfId="0" applyFill="1">
      <alignment vertical="center"/>
    </xf>
    <xf numFmtId="0" fontId="76" fillId="16" borderId="0" xfId="0" applyNumberFormat="1" applyFont="1" applyFill="1" applyAlignment="1">
      <alignment horizontal="left" vertical="center"/>
    </xf>
    <xf numFmtId="0" fontId="76" fillId="0" borderId="0" xfId="0" applyNumberFormat="1" applyFont="1" applyFill="1" applyAlignment="1">
      <alignment horizontal="left" vertical="center"/>
    </xf>
    <xf numFmtId="0" fontId="76" fillId="17" borderId="0" xfId="0" applyNumberFormat="1" applyFont="1" applyFill="1" applyAlignment="1">
      <alignment horizontal="left" vertical="center"/>
    </xf>
    <xf numFmtId="0" fontId="76" fillId="0" borderId="0" xfId="0" applyNumberFormat="1" applyFont="1" applyAlignment="1">
      <alignment horizontal="left" vertical="center"/>
    </xf>
    <xf numFmtId="14" fontId="76" fillId="0" borderId="0" xfId="0" applyNumberFormat="1" applyFont="1" applyFill="1" applyAlignment="1">
      <alignment horizontal="left" vertical="center"/>
    </xf>
    <xf numFmtId="14" fontId="76" fillId="16" borderId="0" xfId="0" applyNumberFormat="1" applyFont="1" applyFill="1" applyAlignment="1">
      <alignment horizontal="left" vertical="center"/>
    </xf>
    <xf numFmtId="14" fontId="76" fillId="17" borderId="0" xfId="0" applyNumberFormat="1" applyFont="1" applyFill="1" applyAlignment="1">
      <alignment horizontal="left" vertical="center"/>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1"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523875</xdr:colOff>
      <xdr:row>1</xdr:row>
      <xdr:rowOff>133350</xdr:rowOff>
    </xdr:from>
    <xdr:to>
      <xdr:col>12</xdr:col>
      <xdr:colOff>485775</xdr:colOff>
      <xdr:row>39</xdr:row>
      <xdr:rowOff>66675</xdr:rowOff>
    </xdr:to>
    <xdr:pic>
      <xdr:nvPicPr>
        <xdr:cNvPr id="2" name="图片 1"/>
        <xdr:cNvPicPr>
          <a:picLocks noChangeAspect="1"/>
        </xdr:cNvPicPr>
      </xdr:nvPicPr>
      <xdr:blipFill>
        <a:blip r:embed="rId1"/>
        <a:stretch>
          <a:fillRect/>
        </a:stretch>
      </xdr:blipFill>
      <xdr:spPr>
        <a:xfrm>
          <a:off x="523875" y="304800"/>
          <a:ext cx="8191500" cy="6448425"/>
        </a:xfrm>
        <a:prstGeom prst="rect">
          <a:avLst/>
        </a:prstGeom>
        <a:noFill/>
        <a:ln w="9525">
          <a:noFill/>
        </a:ln>
      </xdr:spPr>
    </xdr:pic>
    <xdr:clientData/>
  </xdr:twoCellAnchor>
  <xdr:twoCellAnchor editAs="oneCell">
    <xdr:from>
      <xdr:col>0</xdr:col>
      <xdr:colOff>438150</xdr:colOff>
      <xdr:row>40</xdr:row>
      <xdr:rowOff>133350</xdr:rowOff>
    </xdr:from>
    <xdr:to>
      <xdr:col>12</xdr:col>
      <xdr:colOff>342900</xdr:colOff>
      <xdr:row>79</xdr:row>
      <xdr:rowOff>57150</xdr:rowOff>
    </xdr:to>
    <xdr:pic>
      <xdr:nvPicPr>
        <xdr:cNvPr id="3" name="图片 2"/>
        <xdr:cNvPicPr>
          <a:picLocks noChangeAspect="1"/>
        </xdr:cNvPicPr>
      </xdr:nvPicPr>
      <xdr:blipFill>
        <a:blip r:embed="rId2"/>
        <a:stretch>
          <a:fillRect/>
        </a:stretch>
      </xdr:blipFill>
      <xdr:spPr>
        <a:xfrm>
          <a:off x="438150" y="6991350"/>
          <a:ext cx="8134350" cy="6610350"/>
        </a:xfrm>
        <a:prstGeom prst="rect">
          <a:avLst/>
        </a:prstGeom>
        <a:noFill/>
        <a:ln w="9525">
          <a:noFill/>
        </a:ln>
      </xdr:spPr>
    </xdr:pic>
    <xdr:clientData/>
  </xdr:twoCellAnchor>
  <xdr:twoCellAnchor editAs="oneCell">
    <xdr:from>
      <xdr:col>13</xdr:col>
      <xdr:colOff>123825</xdr:colOff>
      <xdr:row>1</xdr:row>
      <xdr:rowOff>38100</xdr:rowOff>
    </xdr:from>
    <xdr:to>
      <xdr:col>31</xdr:col>
      <xdr:colOff>0</xdr:colOff>
      <xdr:row>34</xdr:row>
      <xdr:rowOff>123825</xdr:rowOff>
    </xdr:to>
    <xdr:pic>
      <xdr:nvPicPr>
        <xdr:cNvPr id="4" name="图片 3"/>
        <xdr:cNvPicPr>
          <a:picLocks noChangeAspect="1"/>
        </xdr:cNvPicPr>
      </xdr:nvPicPr>
      <xdr:blipFill>
        <a:blip r:embed="rId3"/>
        <a:stretch>
          <a:fillRect/>
        </a:stretch>
      </xdr:blipFill>
      <xdr:spPr>
        <a:xfrm>
          <a:off x="9039225" y="209550"/>
          <a:ext cx="12220575" cy="5743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5" spans="1:2">
      <c r="A5" s="3697" t="s">
        <v>5</v>
      </c>
      <c r="B5" s="3698" t="str">
        <f>'预评函-封皮'!B49</f>
        <v>康正预评字号</v>
      </c>
    </row>
    <row r="6" s="3686" customFormat="1" ht="15" spans="1:2">
      <c r="A6" s="3693" t="s">
        <v>6</v>
      </c>
      <c r="B6" s="3694" t="str">
        <f>'预评函-1'!A4</f>
        <v>受贵公司委托，我公司对房地产抵押价值进行了预评估。</v>
      </c>
    </row>
    <row r="7" s="3687" customFormat="1" spans="1:2">
      <c r="A7" s="3695" t="s">
        <v>7</v>
      </c>
      <c r="B7" s="3696" t="str">
        <f>'预评函-1'!A7</f>
        <v>估价对象为房地产，为所有。根据《国有土地使用证》[]，估价对象（分摊）出让国有建设用地使用权面积为3800.1平方米，建筑面积为23244.54平方米。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估价对象为房地产,属开发建设的，该项目尚在开发建设中。根据《国有土地使用证》[]，估价对象（分摊）出让国有建设用地使用权面积为3800.1平方米，规划建筑面积为23244.54平方米。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2024年9月4日</v>
      </c>
    </row>
    <row r="13" s="3687" customFormat="1" spans="1:2">
      <c r="A13" s="3695" t="s">
        <v>13</v>
      </c>
      <c r="B13" s="3696"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本次评估采用的主估价方法为成本法和收益法。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11321</v>
      </c>
    </row>
    <row r="21" s="3687" customFormat="1" spans="1:2">
      <c r="A21" s="3695" t="s">
        <v>21</v>
      </c>
      <c r="B21" s="3696">
        <f ca="1">'预评函-2'!D7</f>
        <v>4870</v>
      </c>
    </row>
    <row r="22" s="3687" customFormat="1" spans="1:2">
      <c r="A22" s="3695" t="s">
        <v>22</v>
      </c>
      <c r="B22" s="3696" t="str">
        <f ca="1">'预评函-2'!D6</f>
        <v>壹亿壹仟叁佰贰拾壹万元整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11321</v>
      </c>
    </row>
    <row r="31" s="3687" customFormat="1" spans="1:2">
      <c r="A31" s="3695" t="s">
        <v>31</v>
      </c>
      <c r="B31" s="3696">
        <f ca="1">'预评函-2'!D15</f>
        <v>4870</v>
      </c>
    </row>
    <row r="32" s="3687" customFormat="1" spans="1:2">
      <c r="A32" s="3695" t="s">
        <v>32</v>
      </c>
      <c r="B32" s="3696" t="str">
        <f ca="1">'预评函-2'!D14</f>
        <v>壹亿壹仟叁佰贰拾壹万元整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房地产</v>
      </c>
    </row>
    <row r="42" s="3687" customFormat="1" spans="1:2">
      <c r="A42" s="3695" t="s">
        <v>42</v>
      </c>
      <c r="B42" s="3696" t="str">
        <f>'预评函-3'!B2</f>
        <v>建筑面积</v>
      </c>
    </row>
    <row r="43" s="3687" customFormat="1" spans="1:2">
      <c r="A43" s="3695" t="s">
        <v>43</v>
      </c>
      <c r="B43" s="3696">
        <f>'预评函-3'!B4</f>
        <v>23244.54</v>
      </c>
    </row>
    <row r="44" s="3687" customFormat="1" spans="1:2">
      <c r="A44" s="3695" t="s">
        <v>44</v>
      </c>
      <c r="B44" s="3696" t="str">
        <f>'预评函-3'!C2</f>
        <v>(分摊)土地面积</v>
      </c>
    </row>
    <row r="45" s="3687" customFormat="1" spans="1:2">
      <c r="A45" s="3695" t="s">
        <v>45</v>
      </c>
      <c r="B45" s="3696">
        <f>'预评函-3'!C4</f>
        <v>3800.1</v>
      </c>
    </row>
    <row r="46" s="3687" customFormat="1" spans="1:2">
      <c r="A46" s="3695" t="s">
        <v>46</v>
      </c>
      <c r="B46" s="3696" t="str">
        <f>'预评函-3'!D2</f>
        <v>出让国有建设用地使用权价值</v>
      </c>
    </row>
    <row r="47" s="3687" customFormat="1" spans="1:2">
      <c r="A47" s="3695" t="s">
        <v>47</v>
      </c>
      <c r="B47" s="3696">
        <f ca="1">'预评函-3'!D4</f>
        <v>1562</v>
      </c>
    </row>
    <row r="48" s="3687" customFormat="1" spans="1:2">
      <c r="A48" s="3695" t="s">
        <v>48</v>
      </c>
      <c r="B48" s="3696">
        <f ca="1">'预评函-3'!E4</f>
        <v>672</v>
      </c>
    </row>
    <row r="49" s="3687" customFormat="1" spans="1:2">
      <c r="A49" s="3695" t="s">
        <v>49</v>
      </c>
      <c r="B49" s="3696" t="str">
        <f ca="1">'预评函-3'!D5</f>
        <v>壹仟伍佰陆拾贰万元整</v>
      </c>
    </row>
    <row r="50" s="3687" customFormat="1" spans="1:2">
      <c r="A50" s="3695" t="s">
        <v>50</v>
      </c>
      <c r="B50" s="3696" t="str">
        <f>'预评函-3'!F2</f>
        <v>在建建筑物价值</v>
      </c>
    </row>
    <row r="51" s="3687" customFormat="1" spans="1:2">
      <c r="A51" s="3695" t="s">
        <v>51</v>
      </c>
      <c r="B51" s="3696">
        <f ca="1">'预评函-3'!F4</f>
        <v>9759</v>
      </c>
    </row>
    <row r="52" s="3687" customFormat="1" spans="1:2">
      <c r="A52" s="3695" t="s">
        <v>52</v>
      </c>
      <c r="B52" s="3696">
        <f ca="1">'预评函-3'!G4</f>
        <v>4198</v>
      </c>
    </row>
    <row r="53" s="3687" customFormat="1" spans="1:2">
      <c r="A53" s="3695" t="s">
        <v>53</v>
      </c>
      <c r="B53" s="3696" t="str">
        <f ca="1">'预评函-3'!F5</f>
        <v>玖仟柒佰伍拾玖万元整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f>'预评函-4'!A4</f>
        <v>0</v>
      </c>
    </row>
    <row r="71" spans="1:2">
      <c r="A71" s="3695" t="s">
        <v>71</v>
      </c>
      <c r="B71" s="3696">
        <f ca="1">'预评函-4'!B4</f>
        <v>0</v>
      </c>
    </row>
    <row r="72" spans="1:2">
      <c r="A72" s="3695" t="s">
        <v>72</v>
      </c>
      <c r="B72" s="3702">
        <f>'预评函-4'!A5</f>
        <v>0</v>
      </c>
    </row>
    <row r="73" s="3685" customFormat="1" ht="15" spans="1:2">
      <c r="A73" s="3697" t="s">
        <v>73</v>
      </c>
      <c r="B73" s="3698">
        <f ca="1">'预评函-4'!B5</f>
        <v>0</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5" style="3528" customWidth="1"/>
    <col min="2" max="2" width="23.25" style="3529" customWidth="1"/>
    <col min="3" max="3" width="13" style="3530" customWidth="1"/>
    <col min="4" max="4" width="5.75" style="3531" customWidth="1"/>
    <col min="5" max="5" width="7.125" style="3531" customWidth="1"/>
    <col min="6" max="6" width="10.625" style="3531" customWidth="1"/>
    <col min="7" max="7" width="7.5" style="3531" customWidth="1"/>
    <col min="8" max="8" width="11.875" style="3530" customWidth="1"/>
    <col min="9" max="9" width="11.625" style="3530" customWidth="1"/>
    <col min="10" max="10" width="9" style="3530" customWidth="1"/>
    <col min="11" max="19" width="9" style="3531" customWidth="1"/>
    <col min="20" max="23" width="9" style="3530" customWidth="1"/>
    <col min="24" max="24" width="21.125"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 defaultRowHeight="13.5"/>
  <cols>
    <col min="1" max="7" width="15.25" style="3476"/>
    <col min="8" max="8" width="5.5" style="3476" customWidth="1"/>
    <col min="9" max="13" width="9.5" style="3477" customWidth="1"/>
    <col min="14" max="18" width="9.5" style="3476" customWidth="1"/>
    <col min="19" max="16384" width="15.25"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45539</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2.29</v>
      </c>
      <c r="D5" s="3486">
        <f>IF(ISERROR(ROUND(POWER(1+E5,A5-C5)*(POWER(1+E5,C5)-1)/(POWER(1+E5,A5)-1),3)),0,ROUND(POWER(1+E5,A5-C5)*(POWER(1+E5,C5)-1)/(POWER(1+E5,A5)-1),4))</f>
        <v>0.1085</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12.29</v>
      </c>
      <c r="D6" s="3486">
        <f>IF(ISERROR(ROUND(POWER(1+E6,A6-C6)*(POWER(1+E6,C6)-1)/(POWER(1+E6,A6)-1),3)),0,ROUND(POWER(1+E6,A6-C6)*(POWER(1+E6,C6)-1)/(POWER(1+E6,A6)-1),4))</f>
        <v>0.4451</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32.31</v>
      </c>
      <c r="D7" s="3486">
        <f>IF(ISERROR(ROUND(POWER(1+E7,A7-C7)*(POWER(1+E7,C7)-1)/(POWER(1+E7,A7)-1),3)),0,ROUND(POWER(1+E7,A7-C7)*(POWER(1+E7,C7)-1)/(POWER(1+E7,A7)-1),4))</f>
        <v>0.7677</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50</v>
      </c>
      <c r="C11" s="504" t="s">
        <v>362</v>
      </c>
      <c r="D11" s="3489">
        <v>0.05</v>
      </c>
      <c r="E11" s="504" t="s">
        <v>363</v>
      </c>
      <c r="F11" s="3490">
        <f>ROUND(1-(1/(POWER(1+D11,B11))),4)</f>
        <v>0.9128</v>
      </c>
    </row>
    <row r="12" spans="1:6">
      <c r="A12" s="503" t="s">
        <v>364</v>
      </c>
      <c r="B12" s="3488">
        <v>20</v>
      </c>
      <c r="C12" s="504" t="s">
        <v>365</v>
      </c>
      <c r="D12" s="3489">
        <f>D11</f>
        <v>0.05</v>
      </c>
      <c r="E12" s="504" t="s">
        <v>366</v>
      </c>
      <c r="F12" s="3490">
        <f>ROUND(1-(1/(POWER(1+D12,B12))),4)</f>
        <v>0.6231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3413.12</v>
      </c>
      <c r="C15" s="504">
        <f>ROUND(F12/F11,4)</f>
        <v>0.6826</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7046.33</v>
      </c>
      <c r="C18" s="559">
        <f>ROUND(F11/F12,4)</f>
        <v>1.4649</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9" sqref="G29"/>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223" customWidth="1"/>
    <col min="10" max="10" width="10" style="3126" customWidth="1"/>
    <col min="11" max="11" width="10" style="3320" customWidth="1"/>
    <col min="12" max="13" width="10" style="3321" customWidth="1"/>
    <col min="14" max="14" width="10" style="3126" customWidth="1"/>
    <col min="15" max="15" width="10" style="987" customWidth="1"/>
    <col min="16" max="17" width="10" style="3126"/>
    <col min="18" max="18" width="10" style="3126" customWidth="1"/>
    <col min="19" max="30" width="10" style="3126"/>
    <col min="31" max="16384" width="10" style="2931"/>
  </cols>
  <sheetData>
    <row r="1" ht="13.5" spans="1:28">
      <c r="A1" s="3322" t="s">
        <v>425</v>
      </c>
      <c r="B1" s="3323" t="str">
        <f>IF(B10="北京市","北京市",C10)&amp;F10&amp;IF(结果表!G1="在建","出让国有建设用地使用权及在建建筑物",IF(结果表!G1="土地","出让国有建设用地使用权",))&amp;B9&amp;"预评估"</f>
        <v>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房地产</v>
      </c>
      <c r="T2" s="2931"/>
      <c r="U2" s="2931"/>
      <c r="V2" s="2931"/>
      <c r="W2" s="2931"/>
      <c r="X2" s="2931"/>
      <c r="Y2" s="2931"/>
      <c r="Z2" s="2931"/>
      <c r="AA2" s="2931"/>
      <c r="AB2" s="2931"/>
    </row>
    <row r="3" spans="1:28">
      <c r="A3" s="2114" t="s">
        <v>427</v>
      </c>
      <c r="B3" s="3331"/>
      <c r="C3" s="3332" t="s">
        <v>428</v>
      </c>
      <c r="D3" s="3331">
        <v>45539</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5" spans="1:28">
      <c r="A4" s="2138"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5"/>
      <c r="K4" s="3442" t="str">
        <f ca="1">CONCATENATE(B4,"（注册号：",C4,")、",D4,"（注册号：",E4,")")</f>
        <v>（注册号：0)、（注册号：0)</v>
      </c>
      <c r="L4" s="3441"/>
      <c r="M4" s="3441"/>
      <c r="N4" s="3368"/>
      <c r="O4" s="3231"/>
      <c r="P4" s="3368"/>
      <c r="Q4" s="3368"/>
      <c r="R4" s="3368"/>
      <c r="S4" s="2932"/>
      <c r="T4" s="2931"/>
      <c r="U4" s="2931"/>
      <c r="V4" s="2931"/>
      <c r="W4" s="2931"/>
      <c r="X4" s="2931"/>
      <c r="Y4" s="2931"/>
      <c r="Z4" s="2931"/>
      <c r="AA4" s="2931"/>
      <c r="AB4" s="2931"/>
    </row>
    <row r="5" ht="13.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5" spans="1:18">
      <c r="A9" s="3351" t="s">
        <v>435</v>
      </c>
      <c r="B9" s="3352" t="s">
        <v>330</v>
      </c>
      <c r="C9" s="3353"/>
      <c r="D9" s="3354"/>
      <c r="E9" s="3352"/>
      <c r="F9" s="3355"/>
      <c r="G9" s="3356"/>
      <c r="H9" s="3356"/>
      <c r="I9" s="3356"/>
      <c r="J9" s="2915"/>
      <c r="K9" s="3446"/>
      <c r="L9" s="3444"/>
      <c r="M9" s="3444"/>
      <c r="N9" s="2915"/>
      <c r="O9" s="3445"/>
      <c r="P9" s="2915"/>
      <c r="Q9" s="2915"/>
      <c r="R9" s="2915"/>
    </row>
    <row r="10" ht="13.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57"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c r="F13" s="3373"/>
      <c r="G13" s="3373"/>
      <c r="H13" s="3373">
        <v>57311</v>
      </c>
      <c r="I13" s="3373"/>
      <c r="J13" s="3452"/>
      <c r="K13" s="3444"/>
      <c r="L13" s="3444"/>
      <c r="M13" s="2915"/>
      <c r="N13" s="3445"/>
      <c r="O13" s="2915"/>
      <c r="P13" s="2915"/>
      <c r="Q13" s="2915"/>
      <c r="AD13" s="2931"/>
    </row>
    <row r="14" spans="1:30">
      <c r="A14" s="2143"/>
      <c r="B14" s="3372" t="s">
        <v>451</v>
      </c>
      <c r="C14" s="3374"/>
      <c r="D14" s="3374"/>
      <c r="E14" s="3374"/>
      <c r="F14" s="3374"/>
      <c r="G14" s="3374"/>
      <c r="H14" s="3374">
        <v>50</v>
      </c>
      <c r="I14" s="3374"/>
      <c r="J14" s="3453"/>
      <c r="K14" s="3444"/>
      <c r="L14" s="3444"/>
      <c r="M14" s="2915"/>
      <c r="N14" s="3445"/>
      <c r="O14" s="2915"/>
      <c r="P14" s="2915"/>
      <c r="Q14" s="2915"/>
      <c r="AD14" s="2931"/>
    </row>
    <row r="15" spans="1:30">
      <c r="A15" s="2150"/>
      <c r="B15" s="3375" t="s">
        <v>452</v>
      </c>
      <c r="C15" s="3376" t="str">
        <f>IF(A13="出让",IF(C13="","",ROUNDDOWN(MIN((C13-$D$3)/365,C14),2)),C14)</f>
        <v/>
      </c>
      <c r="D15" s="3376" t="str">
        <f>IF(A13="出让",IF(D13="","",ROUNDDOWN(MIN((D13-$D$3)/365,D14),2)),D14)</f>
        <v/>
      </c>
      <c r="E15" s="3376" t="str">
        <f>IF(A13="出让",IF(E13="","",ROUNDDOWN(MIN((E13-$D$3)/365,E14),2)),E14)</f>
        <v/>
      </c>
      <c r="F15" s="3376" t="str">
        <f>IF(A13="出让",IF(F13="","",ROUNDDOWN(MIN((F13-$D$3)/365,F14),2)),F14)</f>
        <v/>
      </c>
      <c r="G15" s="3376" t="str">
        <f>IF(A13="出让",IF(G13="","",ROUNDDOWN(MIN((G13-$D$3)/365,G14),2)),G14)</f>
        <v/>
      </c>
      <c r="H15" s="3376">
        <f>IF(A13="出让",IF(H13="","",ROUNDDOWN(MIN((H13-$D$3)/365,H14),2)),H14)</f>
        <v>32.25</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127" t="s">
        <v>455</v>
      </c>
      <c r="B17" s="2114" t="s">
        <v>456</v>
      </c>
      <c r="C17" s="1050">
        <f>'数据-汇总表'!E3</f>
        <v>23244.54</v>
      </c>
      <c r="D17" s="2170"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38" t="s">
        <v>460</v>
      </c>
      <c r="C18" s="3386">
        <f>'数据-汇总表'!D3</f>
        <v>3800.1</v>
      </c>
      <c r="D18" s="2163"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80" t="s">
        <v>462</v>
      </c>
      <c r="B19" s="2119"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4.75" spans="1:28">
      <c r="A21" s="3394"/>
      <c r="B21" s="3400" t="s">
        <v>470</v>
      </c>
      <c r="C21" s="3401" t="s">
        <v>471</v>
      </c>
      <c r="D21" s="3402" t="s">
        <v>472</v>
      </c>
      <c r="E21" s="3403" t="s">
        <v>471</v>
      </c>
      <c r="F21" s="3404"/>
      <c r="G21" s="3036"/>
      <c r="H21" s="3036"/>
      <c r="I21" s="3036"/>
      <c r="J21" s="2915"/>
      <c r="K21" s="3242"/>
      <c r="L21" s="22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4.75" spans="1:28">
      <c r="A22" s="3394"/>
      <c r="B22" s="3405" t="s">
        <v>473</v>
      </c>
      <c r="C22" s="3401" t="s">
        <v>474</v>
      </c>
      <c r="D22" s="3330"/>
      <c r="E22" s="3330"/>
      <c r="F22" s="3330"/>
      <c r="G22" s="3036"/>
      <c r="H22" s="3036"/>
      <c r="I22" s="3036"/>
      <c r="J22" s="2915"/>
      <c r="K22" s="3242"/>
      <c r="L22" s="22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79"/>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79"/>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5" spans="1:22">
      <c r="A27" s="2143" t="s">
        <v>480</v>
      </c>
      <c r="B27" s="2150"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43"/>
      <c r="B28" s="2114"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43"/>
      <c r="B29" s="2114"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50"/>
      <c r="B30" s="2114"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70" t="str">
        <f>IF(B31="现房","成新及维护状况正常否",IF(B31="在建","工程状态是否正常",IF(B31="土地","是否闲置","-")))</f>
        <v>-</v>
      </c>
      <c r="D31" s="237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70" t="str">
        <f>IF(B32="现房","成新及维护状况是否正常",IF(B32="在建","工程状态是否正常",IF(B32="土地","是否闲置","-")))</f>
        <v>-</v>
      </c>
      <c r="D32" s="237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125"/>
      <c r="E33" s="3428"/>
      <c r="F33" s="3036"/>
      <c r="G33" s="3036"/>
      <c r="H33" s="3036"/>
      <c r="I33" s="3036"/>
      <c r="J33" s="2915"/>
      <c r="K33" s="3446"/>
      <c r="L33" s="3444"/>
      <c r="M33" s="3444"/>
      <c r="N33" s="2915"/>
      <c r="O33" s="3445"/>
      <c r="P33" s="2915"/>
      <c r="Q33" s="2915"/>
      <c r="R33" s="2915"/>
      <c r="S33" s="2915"/>
      <c r="T33" s="2915"/>
      <c r="U33" s="2915"/>
      <c r="V33" s="2915"/>
    </row>
    <row r="34" spans="1:22">
      <c r="A34" s="2114" t="s">
        <v>486</v>
      </c>
      <c r="B34" s="607"/>
      <c r="C34" s="607"/>
      <c r="D34" s="607"/>
      <c r="E34" s="607"/>
      <c r="F34" s="607"/>
      <c r="G34" s="607"/>
      <c r="H34" s="607"/>
      <c r="I34" s="3036"/>
      <c r="J34" s="2915"/>
      <c r="K34" s="1050">
        <f>COUNTIF(B34:H34,"——")</f>
        <v>0</v>
      </c>
      <c r="L34" s="2157" t="s">
        <v>487</v>
      </c>
      <c r="M34" s="2157" t="s">
        <v>488</v>
      </c>
      <c r="N34" s="2157" t="s">
        <v>489</v>
      </c>
      <c r="O34" s="2157" t="s">
        <v>490</v>
      </c>
      <c r="P34" s="2157" t="s">
        <v>491</v>
      </c>
      <c r="Q34" s="2157" t="s">
        <v>492</v>
      </c>
      <c r="R34" s="2157" t="s">
        <v>493</v>
      </c>
      <c r="S34" s="1050" t="s">
        <v>494</v>
      </c>
      <c r="T34" s="2157" t="str">
        <f>NUMBERSTRING(7-K34,1)&amp;"通"</f>
        <v>七通</v>
      </c>
      <c r="U34" s="2915"/>
      <c r="V34" s="2915"/>
    </row>
    <row r="35" spans="1:22">
      <c r="A35" s="3429"/>
      <c r="B35" s="1108" t="s">
        <v>495</v>
      </c>
      <c r="C35" s="1108"/>
      <c r="D35" s="1108"/>
      <c r="E35" s="1108"/>
      <c r="F35" s="1108">
        <f>C10</f>
        <v>0</v>
      </c>
      <c r="G35" s="3036"/>
      <c r="H35" s="3036"/>
      <c r="I35" s="3036"/>
      <c r="J35" s="2915"/>
      <c r="K35" s="2157"/>
      <c r="L35" s="2157">
        <f>B34</f>
        <v>0</v>
      </c>
      <c r="M35" s="2159" t="str">
        <f>B34&amp;"、"&amp;C34</f>
        <v>、</v>
      </c>
      <c r="N35" s="2159" t="str">
        <f>B34&amp;"、"&amp;C34&amp;"、"&amp;D34</f>
        <v>、、</v>
      </c>
      <c r="O35" s="2159" t="str">
        <f>B34&amp;"、"&amp;C34&amp;"、"&amp;D34&amp;"、"&amp;E34</f>
        <v>、、、</v>
      </c>
      <c r="P35" s="2159" t="str">
        <f>B34&amp;"、"&amp;C34&amp;"、"&amp;D34&amp;"、"&amp;E34&amp;"、"&amp;F34</f>
        <v>、、、、</v>
      </c>
      <c r="Q35" s="2159" t="str">
        <f>B34&amp;"、"&amp;C34&amp;"、"&amp;D34&amp;"、"&amp;E34&amp;"、"&amp;F34&amp;"、"&amp;G34</f>
        <v>、、、、、</v>
      </c>
      <c r="R35" s="2159" t="str">
        <f>B34&amp;"、"&amp;C34&amp;"、"&amp;D34&amp;"、"&amp;E34&amp;"、"&amp;F34&amp;"、"&amp;G34&amp;"、"&amp;H34</f>
        <v>、、、、、、</v>
      </c>
      <c r="S35" s="1050"/>
      <c r="T35" s="2159" t="str">
        <f>IF(T34="一通",L35,IF(T34="二通",M35,IF(T34="三通",N35,IF(T34="四通",O35,IF(T34="五通",P35,IF(T34="六通",Q35,R35))))))</f>
        <v>、、、、、、</v>
      </c>
      <c r="U35" s="2915"/>
      <c r="V35" s="2915"/>
    </row>
    <row r="36" spans="1:22">
      <c r="A36" s="3430"/>
      <c r="B36" s="1108" t="s">
        <v>444</v>
      </c>
      <c r="C36" s="1108" t="s">
        <v>445</v>
      </c>
      <c r="D36" s="1108" t="s">
        <v>443</v>
      </c>
      <c r="E36" s="1108"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c r="D37" s="3433"/>
      <c r="E37" s="3433"/>
      <c r="F37" s="3433"/>
      <c r="G37" s="3036"/>
      <c r="H37" s="3036"/>
      <c r="I37" s="3036"/>
      <c r="J37" s="2915"/>
      <c r="K37" s="3446"/>
      <c r="L37" s="3444"/>
      <c r="M37" s="3444"/>
      <c r="N37" s="2915"/>
      <c r="O37" s="3445"/>
      <c r="P37" s="2915"/>
      <c r="Q37" s="2915"/>
      <c r="R37" s="2915"/>
      <c r="S37" s="2915"/>
      <c r="T37" s="2915"/>
      <c r="U37" s="2915"/>
      <c r="V37" s="2915"/>
    </row>
    <row r="38" ht="13.5" spans="1:22">
      <c r="A38" s="3434" t="s">
        <v>497</v>
      </c>
      <c r="B38" s="3435"/>
      <c r="C38" s="3435"/>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25" spans="1:30">
      <c r="A39" s="3436" t="s">
        <v>498</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499</v>
      </c>
      <c r="B41" s="2507"/>
      <c r="C41" s="2372"/>
      <c r="D41" s="3368"/>
      <c r="E41" s="3368"/>
      <c r="F41" s="3368"/>
      <c r="G41" s="3368"/>
      <c r="H41" s="3368"/>
      <c r="I41" s="3231"/>
      <c r="J41" s="2915"/>
      <c r="K41" s="3446"/>
      <c r="L41" s="3444"/>
      <c r="M41" s="3444"/>
      <c r="N41" s="2915"/>
      <c r="O41" s="3445"/>
      <c r="P41" s="2915"/>
      <c r="Q41" s="2915"/>
      <c r="R41" s="2915"/>
      <c r="S41" s="2915"/>
      <c r="T41" s="2915"/>
      <c r="U41" s="2915"/>
      <c r="V41" s="2915"/>
    </row>
    <row r="42" ht="24.75" spans="1:22">
      <c r="A42" s="2157" t="s">
        <v>500</v>
      </c>
      <c r="B42" s="1050" t="s">
        <v>501</v>
      </c>
      <c r="C42" s="1050" t="s">
        <v>502</v>
      </c>
      <c r="D42" s="1050" t="s">
        <v>503</v>
      </c>
      <c r="E42" s="1050" t="s">
        <v>504</v>
      </c>
      <c r="F42" s="1050" t="s">
        <v>505</v>
      </c>
      <c r="G42" s="1050" t="s">
        <v>506</v>
      </c>
      <c r="H42" s="1050" t="s">
        <v>507</v>
      </c>
      <c r="I42" s="1050" t="s">
        <v>508</v>
      </c>
      <c r="J42" s="3467" t="s">
        <v>509</v>
      </c>
      <c r="K42" s="3468" t="s">
        <v>510</v>
      </c>
      <c r="L42" s="3468" t="s">
        <v>511</v>
      </c>
      <c r="M42" s="3468" t="s">
        <v>512</v>
      </c>
      <c r="N42" s="3469" t="s">
        <v>513</v>
      </c>
      <c r="O42" s="3469" t="s">
        <v>514</v>
      </c>
      <c r="P42" s="3469" t="s">
        <v>515</v>
      </c>
      <c r="Q42" s="3474" t="s">
        <v>516</v>
      </c>
      <c r="R42" s="3474" t="s">
        <v>517</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8" customWidth="1"/>
    <col min="2" max="2" width="11" style="3228" customWidth="1"/>
    <col min="3" max="3" width="10.375" style="3228" customWidth="1"/>
    <col min="4" max="4" width="9.125" style="3228" customWidth="1"/>
    <col min="5" max="6" width="10" style="3226" customWidth="1"/>
    <col min="7" max="8" width="10" style="3228" customWidth="1"/>
    <col min="9" max="9" width="10.625" style="3228" customWidth="1"/>
    <col min="10" max="10" width="9.5" style="3228" customWidth="1"/>
    <col min="11" max="11" width="11" style="3228" customWidth="1"/>
    <col min="12" max="14" width="9.5" style="3228" customWidth="1"/>
    <col min="15" max="15" width="9.875" style="3228" customWidth="1"/>
    <col min="16" max="16" width="9.75" style="3228" customWidth="1"/>
    <col min="17" max="17" width="9.375" style="3228" customWidth="1"/>
    <col min="18" max="18" width="9.25" style="3228" customWidth="1"/>
    <col min="19" max="19" width="10.875" style="3228" customWidth="1"/>
    <col min="20" max="21" width="10.75" style="3228" customWidth="1"/>
    <col min="22" max="22" width="10.875" style="3228" customWidth="1"/>
    <col min="23" max="27" width="10.75" style="3228" customWidth="1"/>
    <col min="28" max="28" width="10.875" style="3228" customWidth="1"/>
    <col min="29" max="29" width="11" style="3228" customWidth="1"/>
    <col min="30" max="30" width="10" style="3228" customWidth="1"/>
    <col min="31" max="31" width="9.75" style="3228" customWidth="1"/>
    <col min="32" max="46" width="9.5" style="3228" customWidth="1"/>
    <col min="47" max="47" width="18.125" style="3228" customWidth="1"/>
    <col min="48" max="50" width="9.75" style="3228" customWidth="1"/>
    <col min="51" max="55" width="10.5" style="3228" customWidth="1"/>
    <col min="56" max="56" width="9.5" style="3228" customWidth="1"/>
    <col min="57" max="63" width="9.125" style="3228" customWidth="1"/>
    <col min="64" max="64" width="9.5" style="3228" customWidth="1"/>
    <col min="65" max="65" width="9.125" style="3228" customWidth="1"/>
    <col min="66" max="66" width="9.5" style="3228" customWidth="1"/>
    <col min="67" max="69" width="9.125" style="3228" customWidth="1"/>
    <col min="70" max="70" width="9.5" style="3228" customWidth="1"/>
    <col min="71" max="71" width="9" style="3228" customWidth="1"/>
    <col min="72" max="72" width="9.125" style="3228" customWidth="1"/>
    <col min="73" max="16384" width="8.875" style="3228"/>
  </cols>
  <sheetData>
    <row r="1" ht="20.25" spans="1:72">
      <c r="A1" s="3229" t="s">
        <v>518</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519</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0" t="s">
        <v>460</v>
      </c>
      <c r="B2" s="1050" t="s">
        <v>456</v>
      </c>
      <c r="C2" s="1050" t="s">
        <v>520</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521</v>
      </c>
      <c r="AZ2" s="3293" t="s">
        <v>522</v>
      </c>
      <c r="BA2" s="1050" t="s">
        <v>523</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v>3800.1</v>
      </c>
      <c r="B3" s="3233">
        <f>IF(C3="否",G5-AT5,G5)</f>
        <v>23244.54</v>
      </c>
      <c r="C3" s="3234" t="s">
        <v>524</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70" t="s">
        <v>525</v>
      </c>
      <c r="B5" s="2503"/>
      <c r="C5" s="2503"/>
      <c r="D5" s="2656"/>
      <c r="E5" s="3238" t="s">
        <v>124</v>
      </c>
      <c r="F5" s="3238">
        <f>SUM(F13:F587)</f>
        <v>0</v>
      </c>
      <c r="G5" s="3238">
        <f>SUM(G13:G587)</f>
        <v>23244.54</v>
      </c>
      <c r="H5" s="3238">
        <f t="shared" ref="H5:AT5" si="0">SUM(H13:H656)</f>
        <v>23244.54</v>
      </c>
      <c r="I5" s="3238">
        <f t="shared" si="0"/>
        <v>22008.76</v>
      </c>
      <c r="J5" s="3238">
        <f t="shared" si="0"/>
        <v>0</v>
      </c>
      <c r="K5" s="3238">
        <f t="shared" si="0"/>
        <v>1235.78</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70" t="s">
        <v>525</v>
      </c>
      <c r="AW5" s="2503"/>
      <c r="AX5" s="2503"/>
      <c r="AY5" s="3297" t="s">
        <v>124</v>
      </c>
      <c r="AZ5" s="3298">
        <f t="shared" ref="AZ5:BT5" si="1">SUM(AZ13:AZ656)</f>
        <v>23244.54</v>
      </c>
      <c r="BA5" s="3298">
        <f t="shared" si="1"/>
        <v>23244.54</v>
      </c>
      <c r="BB5" s="3298">
        <f t="shared" si="1"/>
        <v>22008.76</v>
      </c>
      <c r="BC5" s="3298">
        <f t="shared" si="1"/>
        <v>1235.78</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70" t="s">
        <v>526</v>
      </c>
      <c r="B6" s="3239"/>
      <c r="C6" s="3239"/>
      <c r="D6" s="3240"/>
      <c r="E6" s="3238">
        <f>H6+AC6+AT6</f>
        <v>3800.1</v>
      </c>
      <c r="F6" s="3238" t="s">
        <v>124</v>
      </c>
      <c r="G6" s="3238" t="s">
        <v>124</v>
      </c>
      <c r="H6" s="3241">
        <f>SUMIF(I$12:AB$12,"总值",I6:AB6)</f>
        <v>3800.1</v>
      </c>
      <c r="I6" s="3238">
        <f t="shared" ref="I6:AB6" si="2">ROUND($A$3*I5/$B$3,2)</f>
        <v>3598.07</v>
      </c>
      <c r="J6" s="3238">
        <f t="shared" si="2"/>
        <v>0</v>
      </c>
      <c r="K6" s="3238">
        <f t="shared" si="2"/>
        <v>202.03</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70" t="s">
        <v>526</v>
      </c>
      <c r="AW6" s="3239"/>
      <c r="AX6" s="3239"/>
      <c r="AY6" s="3299">
        <f>IF(AY3&gt;0,AY3,ROUND($A$3*AZ5/$B$3,2))</f>
        <v>3800.1</v>
      </c>
      <c r="AZ6" s="3238" t="s">
        <v>124</v>
      </c>
      <c r="BA6" s="3238">
        <f>ROUND($AY$6*BA5/$AZ$5,2)</f>
        <v>3800.1</v>
      </c>
      <c r="BB6" s="3238">
        <f>ROUND($AY$6*BB5/$AZ$5,2)</f>
        <v>3598.07</v>
      </c>
      <c r="BC6" s="3238">
        <f t="shared" ref="BC6:BH6" si="4">ROUND($AY$6*BC5/$AZ$5,2)</f>
        <v>202.03</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527</v>
      </c>
      <c r="B7" s="3242" t="s">
        <v>528</v>
      </c>
      <c r="C7" s="3242" t="s">
        <v>501</v>
      </c>
      <c r="D7" s="3242" t="s">
        <v>529</v>
      </c>
      <c r="E7" s="3242" t="s">
        <v>526</v>
      </c>
      <c r="F7" s="3242" t="s">
        <v>530</v>
      </c>
      <c r="G7" s="2616" t="s">
        <v>531</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532</v>
      </c>
      <c r="AV7" s="3284" t="s">
        <v>527</v>
      </c>
      <c r="AW7" s="2642" t="s">
        <v>528</v>
      </c>
      <c r="AX7" s="3284" t="s">
        <v>501</v>
      </c>
      <c r="AY7" s="2503" t="s">
        <v>533</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534</v>
      </c>
      <c r="H8" s="3246" t="s">
        <v>535</v>
      </c>
      <c r="I8" s="3264"/>
      <c r="J8" s="1049"/>
      <c r="K8" s="1049"/>
      <c r="L8" s="1049"/>
      <c r="M8" s="1049"/>
      <c r="N8" s="1049"/>
      <c r="O8" s="1049"/>
      <c r="P8" s="1049"/>
      <c r="Q8" s="1049"/>
      <c r="R8" s="1049"/>
      <c r="S8" s="1049"/>
      <c r="T8" s="1049"/>
      <c r="U8" s="1049"/>
      <c r="V8" s="3271"/>
      <c r="W8" s="1049"/>
      <c r="X8" s="1049"/>
      <c r="Y8" s="1049"/>
      <c r="Z8" s="1049"/>
      <c r="AA8" s="3271"/>
      <c r="AB8" s="3273"/>
      <c r="AC8" s="2421" t="s">
        <v>536</v>
      </c>
      <c r="AD8" s="3274"/>
      <c r="AE8" s="3275"/>
      <c r="AF8" s="1049"/>
      <c r="AG8" s="1049"/>
      <c r="AH8" s="1049"/>
      <c r="AI8" s="1049"/>
      <c r="AJ8" s="1049"/>
      <c r="AK8" s="1049"/>
      <c r="AL8" s="1049"/>
      <c r="AM8" s="1049"/>
      <c r="AN8" s="1049"/>
      <c r="AO8" s="1049"/>
      <c r="AP8" s="1049"/>
      <c r="AQ8" s="1049"/>
      <c r="AR8" s="1049"/>
      <c r="AS8" s="1049"/>
      <c r="AT8" s="2106" t="s">
        <v>537</v>
      </c>
      <c r="AU8" s="3244" t="s">
        <v>538</v>
      </c>
      <c r="AV8" s="2106"/>
      <c r="AW8" s="2590"/>
      <c r="AX8" s="2106"/>
      <c r="AY8" s="2642"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5"/>
    </row>
    <row r="9" s="2934" customFormat="1" ht="12.75" spans="1:72">
      <c r="A9" s="3244"/>
      <c r="B9" s="3244"/>
      <c r="C9" s="3244"/>
      <c r="D9" s="3244"/>
      <c r="E9" s="3244"/>
      <c r="F9" s="3244"/>
      <c r="G9" s="2106"/>
      <c r="H9" s="3247" t="s">
        <v>539</v>
      </c>
      <c r="I9" s="3265" t="s">
        <v>540</v>
      </c>
      <c r="J9" s="2421"/>
      <c r="K9" s="3265" t="s">
        <v>541</v>
      </c>
      <c r="L9" s="2421"/>
      <c r="M9" s="3265"/>
      <c r="N9" s="2421"/>
      <c r="O9" s="3265"/>
      <c r="P9" s="2421"/>
      <c r="Q9" s="3265"/>
      <c r="R9" s="2421"/>
      <c r="S9" s="3265"/>
      <c r="T9" s="2421"/>
      <c r="U9" s="3265"/>
      <c r="V9" s="2421"/>
      <c r="W9" s="3265"/>
      <c r="X9" s="3272"/>
      <c r="Y9" s="3265"/>
      <c r="Z9" s="2421"/>
      <c r="AA9" s="3265"/>
      <c r="AB9" s="2421"/>
      <c r="AC9" s="3245" t="s">
        <v>539</v>
      </c>
      <c r="AD9" s="2270" t="s">
        <v>542</v>
      </c>
      <c r="AE9" s="2120"/>
      <c r="AF9" s="2270" t="s">
        <v>543</v>
      </c>
      <c r="AG9" s="2120"/>
      <c r="AH9" s="2270" t="s">
        <v>542</v>
      </c>
      <c r="AI9" s="2120"/>
      <c r="AJ9" s="2270" t="s">
        <v>543</v>
      </c>
      <c r="AK9" s="2120"/>
      <c r="AL9" s="2270" t="s">
        <v>542</v>
      </c>
      <c r="AM9" s="2120"/>
      <c r="AN9" s="2270" t="s">
        <v>543</v>
      </c>
      <c r="AO9" s="2120"/>
      <c r="AP9" s="2270" t="s">
        <v>542</v>
      </c>
      <c r="AQ9" s="2120"/>
      <c r="AR9" s="2270" t="s">
        <v>543</v>
      </c>
      <c r="AS9" s="3285"/>
      <c r="AT9" s="3244"/>
      <c r="AU9" s="3244" t="s">
        <v>544</v>
      </c>
      <c r="AV9" s="2106"/>
      <c r="AW9" s="2590"/>
      <c r="AX9" s="2106"/>
      <c r="AY9" s="3248"/>
      <c r="AZ9" s="3248" t="s">
        <v>534</v>
      </c>
      <c r="BA9" s="3300" t="s">
        <v>545</v>
      </c>
      <c r="BB9" s="3301"/>
      <c r="BC9" s="2167"/>
      <c r="BD9" s="2167"/>
      <c r="BE9" s="2167"/>
      <c r="BF9" s="2167"/>
      <c r="BG9" s="2167"/>
      <c r="BH9" s="2167"/>
      <c r="BI9" s="2167"/>
      <c r="BJ9" s="2167"/>
      <c r="BK9" s="3306"/>
      <c r="BL9" s="2270" t="s">
        <v>546</v>
      </c>
      <c r="BM9" s="1049"/>
      <c r="BN9" s="3264"/>
      <c r="BO9" s="1049"/>
      <c r="BP9" s="1049"/>
      <c r="BQ9" s="1049"/>
      <c r="BR9" s="1049"/>
      <c r="BS9" s="1049"/>
      <c r="BT9" s="2155"/>
    </row>
    <row r="10" s="2934" customFormat="1" ht="12.75" spans="1:72">
      <c r="A10" s="3244"/>
      <c r="B10" s="3244"/>
      <c r="C10" s="3244"/>
      <c r="D10" s="3244"/>
      <c r="E10" s="3244"/>
      <c r="F10" s="3244"/>
      <c r="G10" s="2106"/>
      <c r="H10" s="3248"/>
      <c r="I10" s="3265" t="s">
        <v>408</v>
      </c>
      <c r="J10" s="2421"/>
      <c r="K10" s="3266" t="s">
        <v>408</v>
      </c>
      <c r="L10" s="2421"/>
      <c r="M10" s="3266"/>
      <c r="N10" s="2421"/>
      <c r="O10" s="3266"/>
      <c r="P10" s="2421"/>
      <c r="Q10" s="3266"/>
      <c r="R10" s="2421"/>
      <c r="S10" s="3266"/>
      <c r="T10" s="2421"/>
      <c r="U10" s="3266"/>
      <c r="V10" s="2421"/>
      <c r="W10" s="3266"/>
      <c r="X10" s="2421"/>
      <c r="Y10" s="3266"/>
      <c r="Z10" s="2421"/>
      <c r="AA10" s="3266"/>
      <c r="AB10" s="2421"/>
      <c r="AC10" s="2106"/>
      <c r="AD10" s="2270" t="s">
        <v>547</v>
      </c>
      <c r="AE10" s="3276"/>
      <c r="AF10" s="2270" t="s">
        <v>547</v>
      </c>
      <c r="AG10" s="3276"/>
      <c r="AH10" s="2270" t="s">
        <v>548</v>
      </c>
      <c r="AI10" s="3276"/>
      <c r="AJ10" s="2270" t="s">
        <v>548</v>
      </c>
      <c r="AK10" s="3276"/>
      <c r="AL10" s="2270" t="s">
        <v>549</v>
      </c>
      <c r="AM10" s="2120"/>
      <c r="AN10" s="2270" t="s">
        <v>549</v>
      </c>
      <c r="AO10" s="2120"/>
      <c r="AP10" s="2270" t="s">
        <v>550</v>
      </c>
      <c r="AQ10" s="2120"/>
      <c r="AR10" s="2270" t="s">
        <v>550</v>
      </c>
      <c r="AS10" s="2120"/>
      <c r="AT10" s="3244"/>
      <c r="AU10" s="3244"/>
      <c r="AV10" s="2106"/>
      <c r="AW10" s="2590"/>
      <c r="AX10" s="2106"/>
      <c r="AY10" s="3248"/>
      <c r="AZ10" s="3248"/>
      <c r="BA10" s="3249" t="s">
        <v>539</v>
      </c>
      <c r="BB10" s="3302" t="str">
        <f>I9</f>
        <v>地上</v>
      </c>
      <c r="BC10" s="2179" t="str">
        <f>K9</f>
        <v>地下</v>
      </c>
      <c r="BD10" s="2179">
        <f>M9</f>
        <v>0</v>
      </c>
      <c r="BE10" s="2179">
        <f>O9</f>
        <v>0</v>
      </c>
      <c r="BF10" s="2179">
        <f>Q9</f>
        <v>0</v>
      </c>
      <c r="BG10" s="2179">
        <f>S9</f>
        <v>0</v>
      </c>
      <c r="BH10" s="2179">
        <f>U9</f>
        <v>0</v>
      </c>
      <c r="BI10" s="2179">
        <f>W9</f>
        <v>0</v>
      </c>
      <c r="BJ10" s="2179">
        <f>Y9</f>
        <v>0</v>
      </c>
      <c r="BK10" s="2179">
        <f>AA9</f>
        <v>0</v>
      </c>
      <c r="BL10" s="2175" t="s">
        <v>539</v>
      </c>
      <c r="BM10" s="1048" t="str">
        <f>AD9</f>
        <v>地上</v>
      </c>
      <c r="BN10" s="2179" t="str">
        <f>AF9</f>
        <v>地下</v>
      </c>
      <c r="BO10" s="1048" t="str">
        <f>AH9</f>
        <v>地上</v>
      </c>
      <c r="BP10" s="2179" t="str">
        <f>AJ9</f>
        <v>地下</v>
      </c>
      <c r="BQ10" s="1048" t="str">
        <f>AL9</f>
        <v>地上</v>
      </c>
      <c r="BR10" s="2179" t="str">
        <f>AN9</f>
        <v>地下</v>
      </c>
      <c r="BS10" s="1048" t="str">
        <f>AP9</f>
        <v>地上</v>
      </c>
      <c r="BT10" s="3310" t="str">
        <f>AR9</f>
        <v>地下</v>
      </c>
    </row>
    <row r="11" s="2934" customFormat="1" ht="12.75" spans="1:72">
      <c r="A11" s="3244"/>
      <c r="B11" s="3244"/>
      <c r="C11" s="3244"/>
      <c r="D11" s="3244"/>
      <c r="E11" s="3244"/>
      <c r="F11" s="3244"/>
      <c r="G11" s="2106"/>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6"/>
      <c r="AD11" s="3277" t="s">
        <v>551</v>
      </c>
      <c r="AE11" s="1106"/>
      <c r="AF11" s="3277" t="s">
        <v>551</v>
      </c>
      <c r="AG11" s="1106"/>
      <c r="AH11" s="3277" t="s">
        <v>552</v>
      </c>
      <c r="AI11" s="3281"/>
      <c r="AJ11" s="3277" t="s">
        <v>552</v>
      </c>
      <c r="AK11" s="1106"/>
      <c r="AL11" s="1048"/>
      <c r="AM11" s="1106"/>
      <c r="AN11" s="1048"/>
      <c r="AO11" s="1106"/>
      <c r="AP11" s="1048"/>
      <c r="AQ11" s="1106"/>
      <c r="AR11" s="1048"/>
      <c r="AS11" s="1106"/>
      <c r="AT11" s="2590"/>
      <c r="AU11" s="3244"/>
      <c r="AV11" s="2106"/>
      <c r="AW11" s="2590"/>
      <c r="AX11" s="2106"/>
      <c r="AY11" s="3248"/>
      <c r="AZ11" s="3248"/>
      <c r="BA11" s="3248"/>
      <c r="BB11" s="3273" t="str">
        <f>I10</f>
        <v>工业</v>
      </c>
      <c r="BC11" s="3273" t="str">
        <f>K10</f>
        <v>工业</v>
      </c>
      <c r="BD11" s="3273">
        <f>M10</f>
        <v>0</v>
      </c>
      <c r="BE11" s="3273">
        <f>O10</f>
        <v>0</v>
      </c>
      <c r="BF11" s="3273">
        <f>Q10</f>
        <v>0</v>
      </c>
      <c r="BG11" s="3273">
        <f>S10</f>
        <v>0</v>
      </c>
      <c r="BH11" s="3273">
        <f>U10</f>
        <v>0</v>
      </c>
      <c r="BI11" s="3273">
        <f>W10</f>
        <v>0</v>
      </c>
      <c r="BJ11" s="3273">
        <f>Y10</f>
        <v>0</v>
      </c>
      <c r="BK11" s="3273">
        <f>AA10</f>
        <v>0</v>
      </c>
      <c r="BL11" s="2106"/>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5" t="str">
        <f>AP10</f>
        <v>未注明</v>
      </c>
      <c r="BT11" s="3311" t="str">
        <f>AR10</f>
        <v>未注明</v>
      </c>
    </row>
    <row r="12" s="3223" customFormat="1" ht="12.75" spans="1:72">
      <c r="A12" s="3250"/>
      <c r="B12" s="3250"/>
      <c r="C12" s="3250"/>
      <c r="D12" s="3250"/>
      <c r="E12" s="3250"/>
      <c r="F12" s="3250"/>
      <c r="G12" s="633"/>
      <c r="H12" s="3251"/>
      <c r="I12" s="2656"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02" t="s">
        <v>554</v>
      </c>
      <c r="W12" s="1050" t="s">
        <v>553</v>
      </c>
      <c r="X12" s="1050" t="s">
        <v>554</v>
      </c>
      <c r="Y12" s="1050" t="s">
        <v>553</v>
      </c>
      <c r="Z12" s="1050" t="s">
        <v>554</v>
      </c>
      <c r="AA12" s="1050" t="s">
        <v>553</v>
      </c>
      <c r="AB12" s="1050" t="s">
        <v>554</v>
      </c>
      <c r="AC12" s="3278"/>
      <c r="AD12" s="2656"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0" t="s">
        <v>554</v>
      </c>
      <c r="AT12" s="3286"/>
      <c r="AU12" s="3250"/>
      <c r="AV12" s="3287"/>
      <c r="AW12" s="2642"/>
      <c r="AX12" s="3287"/>
      <c r="AY12" s="3303"/>
      <c r="AZ12" s="3248"/>
      <c r="BA12" s="3249"/>
      <c r="BB12" s="1047">
        <f>I11</f>
        <v>0</v>
      </c>
      <c r="BC12" s="3304">
        <f>K11</f>
        <v>0</v>
      </c>
      <c r="BD12" s="3304">
        <f>M11</f>
        <v>0</v>
      </c>
      <c r="BE12" s="3273">
        <f>O11</f>
        <v>0</v>
      </c>
      <c r="BF12" s="3273">
        <f>Q11</f>
        <v>0</v>
      </c>
      <c r="BG12" s="3273">
        <f>S11</f>
        <v>0</v>
      </c>
      <c r="BH12" s="3273">
        <f>U11</f>
        <v>0</v>
      </c>
      <c r="BI12" s="3273">
        <f>W11</f>
        <v>0</v>
      </c>
      <c r="BJ12" s="3273">
        <f>Y11</f>
        <v>0</v>
      </c>
      <c r="BK12" s="3273">
        <f>AA11</f>
        <v>0</v>
      </c>
      <c r="BL12" s="2106"/>
      <c r="BM12" s="1048" t="str">
        <f>AD11</f>
        <v>（住宅）</v>
      </c>
      <c r="BN12" s="1048" t="str">
        <f>AF11</f>
        <v>（住宅）</v>
      </c>
      <c r="BO12" s="1047" t="str">
        <f>AH11</f>
        <v>（住宅、计出让金）</v>
      </c>
      <c r="BP12" s="1047" t="str">
        <f>AJ11</f>
        <v>（住宅、计出让金）</v>
      </c>
      <c r="BQ12" s="1047">
        <f>AL11</f>
        <v>0</v>
      </c>
      <c r="BR12" s="1047">
        <f>AN11</f>
        <v>0</v>
      </c>
      <c r="BS12" s="2175">
        <f>AP11</f>
        <v>0</v>
      </c>
      <c r="BT12" s="3311">
        <f>AR11</f>
        <v>0</v>
      </c>
    </row>
    <row r="13" s="3223" customFormat="1" ht="12.75" spans="1:72">
      <c r="A13" s="3252"/>
      <c r="B13" s="3252"/>
      <c r="C13" s="3252"/>
      <c r="D13" s="3253" t="s">
        <v>555</v>
      </c>
      <c r="E13" s="3238">
        <f>IF($C$3="是",ROUND($A$3*G13/$B$3,2),ROUND($A$3*(G13-AT13)/$B$3,2))</f>
        <v>3800.1</v>
      </c>
      <c r="F13" s="3254"/>
      <c r="G13" s="3255">
        <f>H13+AC13+AT13</f>
        <v>23244.54</v>
      </c>
      <c r="H13" s="3241">
        <f>SUMIF(I$12:AB$12,"总值",I13:AB13)</f>
        <v>23244.54</v>
      </c>
      <c r="I13" s="3269">
        <f>1000.58+22243.96-K13</f>
        <v>22008.76</v>
      </c>
      <c r="J13" s="3269"/>
      <c r="K13" s="3269">
        <f>ROUND(22243.96/18,2)</f>
        <v>1235.78</v>
      </c>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0">
        <f t="shared" ref="AV13:AX17" si="6">A13</f>
        <v>0</v>
      </c>
      <c r="AW13" s="1050">
        <f t="shared" si="6"/>
        <v>0</v>
      </c>
      <c r="AX13" s="1050">
        <f t="shared" si="6"/>
        <v>0</v>
      </c>
      <c r="AY13" s="2656">
        <f>ROUND($AY$6*AZ13/$AZ$5,2)</f>
        <v>3800.1</v>
      </c>
      <c r="AZ13" s="3238">
        <f>BA13+BL13</f>
        <v>23244.54</v>
      </c>
      <c r="BA13" s="3238">
        <f>SUM(BB13:BK13)</f>
        <v>23244.54</v>
      </c>
      <c r="BB13" s="3238">
        <f>IF($D13="是",I13-J13,0)</f>
        <v>22008.76</v>
      </c>
      <c r="BC13" s="3238">
        <f>IF($D13="是",K13-L13,0)</f>
        <v>1235.78</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0">
        <f t="shared" si="6"/>
        <v>0</v>
      </c>
      <c r="AW14" s="1050">
        <f t="shared" si="6"/>
        <v>0</v>
      </c>
      <c r="AX14" s="1050">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0">
        <f t="shared" si="6"/>
        <v>0</v>
      </c>
      <c r="AW15" s="1050">
        <f t="shared" si="6"/>
        <v>0</v>
      </c>
      <c r="AX15" s="1050">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0">
        <f t="shared" si="6"/>
        <v>0</v>
      </c>
      <c r="AW16" s="1050">
        <f t="shared" si="6"/>
        <v>0</v>
      </c>
      <c r="AX16" s="1050">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0">
        <f t="shared" si="6"/>
        <v>0</v>
      </c>
      <c r="AW17" s="1050">
        <f t="shared" si="6"/>
        <v>0</v>
      </c>
      <c r="AX17" s="1050">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9">
        <f t="shared" ref="AV18:AV112" si="11">A18</f>
        <v>0</v>
      </c>
      <c r="AW18" s="1369">
        <f t="shared" ref="AW18:AW112" si="12">B18</f>
        <v>0</v>
      </c>
      <c r="AX18" s="1369">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9">
        <f t="shared" si="11"/>
        <v>0</v>
      </c>
      <c r="AW19" s="1369">
        <f t="shared" si="12"/>
        <v>0</v>
      </c>
      <c r="AX19" s="1369">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9">
        <f t="shared" si="11"/>
        <v>0</v>
      </c>
      <c r="AW20" s="1369">
        <f t="shared" si="12"/>
        <v>0</v>
      </c>
      <c r="AX20" s="1369">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9">
        <f t="shared" si="11"/>
        <v>0</v>
      </c>
      <c r="AW21" s="1369">
        <f t="shared" si="12"/>
        <v>0</v>
      </c>
      <c r="AX21" s="1369">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9">
        <f t="shared" si="11"/>
        <v>0</v>
      </c>
      <c r="AW22" s="1369">
        <f t="shared" si="12"/>
        <v>0</v>
      </c>
      <c r="AX22" s="1369">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9">
        <f t="shared" si="11"/>
        <v>0</v>
      </c>
      <c r="AW23" s="1369">
        <f t="shared" si="12"/>
        <v>0</v>
      </c>
      <c r="AX23" s="1369">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9">
        <f t="shared" si="11"/>
        <v>0</v>
      </c>
      <c r="AW24" s="1369">
        <f t="shared" si="12"/>
        <v>0</v>
      </c>
      <c r="AX24" s="1369">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9">
        <f t="shared" si="11"/>
        <v>0</v>
      </c>
      <c r="AW25" s="1369">
        <f t="shared" si="12"/>
        <v>0</v>
      </c>
      <c r="AX25" s="1369">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9">
        <f t="shared" si="11"/>
        <v>0</v>
      </c>
      <c r="AW26" s="1369">
        <f t="shared" si="12"/>
        <v>0</v>
      </c>
      <c r="AX26" s="1369">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9">
        <f t="shared" si="11"/>
        <v>0</v>
      </c>
      <c r="AW27" s="1369">
        <f t="shared" si="12"/>
        <v>0</v>
      </c>
      <c r="AX27" s="1369">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9">
        <f t="shared" si="11"/>
        <v>0</v>
      </c>
      <c r="AW28" s="1369">
        <f t="shared" si="12"/>
        <v>0</v>
      </c>
      <c r="AX28" s="1369">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9">
        <f t="shared" si="11"/>
        <v>0</v>
      </c>
      <c r="AW29" s="1369">
        <f t="shared" si="12"/>
        <v>0</v>
      </c>
      <c r="AX29" s="1369">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9">
        <f t="shared" si="11"/>
        <v>0</v>
      </c>
      <c r="AW30" s="1369">
        <f t="shared" si="12"/>
        <v>0</v>
      </c>
      <c r="AX30" s="1369">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9">
        <f t="shared" si="11"/>
        <v>0</v>
      </c>
      <c r="AW31" s="1369">
        <f t="shared" si="12"/>
        <v>0</v>
      </c>
      <c r="AX31" s="1369">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9">
        <f t="shared" si="11"/>
        <v>0</v>
      </c>
      <c r="AW32" s="1369">
        <f t="shared" si="12"/>
        <v>0</v>
      </c>
      <c r="AX32" s="1369">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9">
        <f t="shared" si="11"/>
        <v>0</v>
      </c>
      <c r="AW33" s="1369">
        <f t="shared" si="12"/>
        <v>0</v>
      </c>
      <c r="AX33" s="1369">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9">
        <f t="shared" si="11"/>
        <v>0</v>
      </c>
      <c r="AW34" s="1369">
        <f t="shared" si="12"/>
        <v>0</v>
      </c>
      <c r="AX34" s="1369">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9">
        <f t="shared" si="11"/>
        <v>0</v>
      </c>
      <c r="AW35" s="1369">
        <f t="shared" si="12"/>
        <v>0</v>
      </c>
      <c r="AX35" s="1369">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9">
        <f t="shared" si="11"/>
        <v>0</v>
      </c>
      <c r="AW36" s="1369">
        <f t="shared" si="12"/>
        <v>0</v>
      </c>
      <c r="AX36" s="1369">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9">
        <f t="shared" si="11"/>
        <v>0</v>
      </c>
      <c r="AW37" s="1369">
        <f t="shared" si="12"/>
        <v>0</v>
      </c>
      <c r="AX37" s="1369">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9">
        <f t="shared" si="11"/>
        <v>0</v>
      </c>
      <c r="AW38" s="1369">
        <f t="shared" si="12"/>
        <v>0</v>
      </c>
      <c r="AX38" s="1369">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9">
        <f t="shared" si="11"/>
        <v>0</v>
      </c>
      <c r="AW39" s="1369">
        <f t="shared" si="12"/>
        <v>0</v>
      </c>
      <c r="AX39" s="1369">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9">
        <f t="shared" si="11"/>
        <v>0</v>
      </c>
      <c r="AW40" s="1369">
        <f t="shared" si="12"/>
        <v>0</v>
      </c>
      <c r="AX40" s="1369">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9">
        <f t="shared" si="11"/>
        <v>0</v>
      </c>
      <c r="AW41" s="1369">
        <f t="shared" si="12"/>
        <v>0</v>
      </c>
      <c r="AX41" s="1369">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9">
        <f t="shared" si="11"/>
        <v>0</v>
      </c>
      <c r="AW42" s="1369">
        <f t="shared" si="12"/>
        <v>0</v>
      </c>
      <c r="AX42" s="1369">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9">
        <f t="shared" si="11"/>
        <v>0</v>
      </c>
      <c r="AW43" s="1369">
        <f t="shared" si="12"/>
        <v>0</v>
      </c>
      <c r="AX43" s="1369">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9">
        <f t="shared" si="11"/>
        <v>0</v>
      </c>
      <c r="AW44" s="1369">
        <f t="shared" si="12"/>
        <v>0</v>
      </c>
      <c r="AX44" s="1369">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9">
        <f t="shared" si="11"/>
        <v>0</v>
      </c>
      <c r="AW45" s="1369">
        <f t="shared" si="12"/>
        <v>0</v>
      </c>
      <c r="AX45" s="1369">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9">
        <f t="shared" si="11"/>
        <v>0</v>
      </c>
      <c r="AW46" s="1369">
        <f t="shared" si="12"/>
        <v>0</v>
      </c>
      <c r="AX46" s="1369">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9">
        <f t="shared" si="11"/>
        <v>0</v>
      </c>
      <c r="AW47" s="1369">
        <f t="shared" si="12"/>
        <v>0</v>
      </c>
      <c r="AX47" s="1369">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9">
        <f t="shared" si="11"/>
        <v>0</v>
      </c>
      <c r="AW48" s="1369">
        <f t="shared" si="12"/>
        <v>0</v>
      </c>
      <c r="AX48" s="1369">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9">
        <f t="shared" si="11"/>
        <v>0</v>
      </c>
      <c r="AW49" s="1369">
        <f t="shared" si="12"/>
        <v>0</v>
      </c>
      <c r="AX49" s="1369">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9">
        <f t="shared" si="11"/>
        <v>0</v>
      </c>
      <c r="AW50" s="1369">
        <f t="shared" si="12"/>
        <v>0</v>
      </c>
      <c r="AX50" s="1369">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9">
        <f t="shared" si="11"/>
        <v>0</v>
      </c>
      <c r="AW51" s="1369">
        <f t="shared" si="12"/>
        <v>0</v>
      </c>
      <c r="AX51" s="1369">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9">
        <f t="shared" si="11"/>
        <v>0</v>
      </c>
      <c r="AW52" s="1369">
        <f t="shared" si="12"/>
        <v>0</v>
      </c>
      <c r="AX52" s="1369">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9">
        <f t="shared" si="11"/>
        <v>0</v>
      </c>
      <c r="AW53" s="1369">
        <f t="shared" si="12"/>
        <v>0</v>
      </c>
      <c r="AX53" s="1369">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9">
        <f t="shared" si="11"/>
        <v>0</v>
      </c>
      <c r="AW54" s="1369">
        <f t="shared" si="12"/>
        <v>0</v>
      </c>
      <c r="AX54" s="1369">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9">
        <f t="shared" si="11"/>
        <v>0</v>
      </c>
      <c r="AW55" s="1369">
        <f t="shared" si="12"/>
        <v>0</v>
      </c>
      <c r="AX55" s="1369">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9">
        <f t="shared" si="11"/>
        <v>0</v>
      </c>
      <c r="AW56" s="1369">
        <f t="shared" si="12"/>
        <v>0</v>
      </c>
      <c r="AX56" s="1369">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9">
        <f t="shared" si="11"/>
        <v>0</v>
      </c>
      <c r="AW57" s="1369">
        <f t="shared" si="12"/>
        <v>0</v>
      </c>
      <c r="AX57" s="1369">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9">
        <f t="shared" si="11"/>
        <v>0</v>
      </c>
      <c r="AW58" s="1369">
        <f t="shared" si="12"/>
        <v>0</v>
      </c>
      <c r="AX58" s="1369">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9">
        <f t="shared" si="11"/>
        <v>0</v>
      </c>
      <c r="AW59" s="1369">
        <f t="shared" si="12"/>
        <v>0</v>
      </c>
      <c r="AX59" s="1369">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9">
        <f t="shared" si="11"/>
        <v>0</v>
      </c>
      <c r="AW60" s="1369">
        <f t="shared" si="12"/>
        <v>0</v>
      </c>
      <c r="AX60" s="1369">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9">
        <f t="shared" si="11"/>
        <v>0</v>
      </c>
      <c r="AW61" s="1369">
        <f t="shared" si="12"/>
        <v>0</v>
      </c>
      <c r="AX61" s="1369">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9">
        <f t="shared" si="11"/>
        <v>0</v>
      </c>
      <c r="AW62" s="1369">
        <f t="shared" si="12"/>
        <v>0</v>
      </c>
      <c r="AX62" s="1369">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9">
        <f t="shared" si="11"/>
        <v>0</v>
      </c>
      <c r="AW63" s="1369">
        <f t="shared" si="12"/>
        <v>0</v>
      </c>
      <c r="AX63" s="1369">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9">
        <f t="shared" si="11"/>
        <v>0</v>
      </c>
      <c r="AW64" s="1369">
        <f t="shared" si="12"/>
        <v>0</v>
      </c>
      <c r="AX64" s="1369">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9">
        <f t="shared" si="11"/>
        <v>0</v>
      </c>
      <c r="AW65" s="1369">
        <f t="shared" si="12"/>
        <v>0</v>
      </c>
      <c r="AX65" s="1369">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9">
        <f t="shared" si="11"/>
        <v>0</v>
      </c>
      <c r="AW66" s="1369">
        <f t="shared" si="12"/>
        <v>0</v>
      </c>
      <c r="AX66" s="1369">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9">
        <f t="shared" si="11"/>
        <v>0</v>
      </c>
      <c r="AW67" s="1369">
        <f t="shared" si="12"/>
        <v>0</v>
      </c>
      <c r="AX67" s="1369">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9">
        <f t="shared" si="11"/>
        <v>0</v>
      </c>
      <c r="AW68" s="1369">
        <f t="shared" si="12"/>
        <v>0</v>
      </c>
      <c r="AX68" s="1369">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9">
        <f t="shared" si="11"/>
        <v>0</v>
      </c>
      <c r="AW69" s="1369">
        <f t="shared" si="12"/>
        <v>0</v>
      </c>
      <c r="AX69" s="1369">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9">
        <f t="shared" si="11"/>
        <v>0</v>
      </c>
      <c r="AW70" s="1369">
        <f t="shared" si="12"/>
        <v>0</v>
      </c>
      <c r="AX70" s="1369">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9">
        <f t="shared" si="11"/>
        <v>0</v>
      </c>
      <c r="AW71" s="1369">
        <f t="shared" si="12"/>
        <v>0</v>
      </c>
      <c r="AX71" s="1369">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9">
        <f t="shared" si="11"/>
        <v>0</v>
      </c>
      <c r="AW72" s="1369">
        <f t="shared" si="12"/>
        <v>0</v>
      </c>
      <c r="AX72" s="1369">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9">
        <f t="shared" si="11"/>
        <v>0</v>
      </c>
      <c r="AW73" s="1369">
        <f t="shared" si="12"/>
        <v>0</v>
      </c>
      <c r="AX73" s="1369">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9">
        <f t="shared" si="11"/>
        <v>0</v>
      </c>
      <c r="AW74" s="1369">
        <f t="shared" si="12"/>
        <v>0</v>
      </c>
      <c r="AX74" s="1369">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9">
        <f t="shared" si="11"/>
        <v>0</v>
      </c>
      <c r="AW75" s="1369">
        <f t="shared" si="12"/>
        <v>0</v>
      </c>
      <c r="AX75" s="1369">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9">
        <f t="shared" si="11"/>
        <v>0</v>
      </c>
      <c r="AW76" s="1369">
        <f t="shared" si="12"/>
        <v>0</v>
      </c>
      <c r="AX76" s="1369">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9">
        <f t="shared" si="11"/>
        <v>0</v>
      </c>
      <c r="AW77" s="1369">
        <f t="shared" si="12"/>
        <v>0</v>
      </c>
      <c r="AX77" s="1369">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9">
        <f t="shared" si="11"/>
        <v>0</v>
      </c>
      <c r="AW78" s="1369">
        <f t="shared" si="12"/>
        <v>0</v>
      </c>
      <c r="AX78" s="1369">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9">
        <f t="shared" si="11"/>
        <v>0</v>
      </c>
      <c r="AW79" s="1369">
        <f t="shared" si="12"/>
        <v>0</v>
      </c>
      <c r="AX79" s="1369">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9">
        <f t="shared" si="11"/>
        <v>0</v>
      </c>
      <c r="AW80" s="1369">
        <f t="shared" si="12"/>
        <v>0</v>
      </c>
      <c r="AX80" s="1369">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9">
        <f t="shared" si="11"/>
        <v>0</v>
      </c>
      <c r="AW81" s="1369">
        <f t="shared" si="12"/>
        <v>0</v>
      </c>
      <c r="AX81" s="1369">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9">
        <f t="shared" si="11"/>
        <v>0</v>
      </c>
      <c r="AW82" s="1369">
        <f t="shared" si="12"/>
        <v>0</v>
      </c>
      <c r="AX82" s="1369">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9">
        <f t="shared" si="11"/>
        <v>0</v>
      </c>
      <c r="AW83" s="1369">
        <f t="shared" si="12"/>
        <v>0</v>
      </c>
      <c r="AX83" s="1369">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9">
        <f t="shared" si="11"/>
        <v>0</v>
      </c>
      <c r="AW84" s="1369">
        <f t="shared" si="12"/>
        <v>0</v>
      </c>
      <c r="AX84" s="1369">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9">
        <f t="shared" si="11"/>
        <v>0</v>
      </c>
      <c r="AW85" s="1369">
        <f t="shared" si="12"/>
        <v>0</v>
      </c>
      <c r="AX85" s="1369">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9">
        <f t="shared" si="11"/>
        <v>0</v>
      </c>
      <c r="AW86" s="1369">
        <f t="shared" si="12"/>
        <v>0</v>
      </c>
      <c r="AX86" s="1369">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9">
        <f t="shared" si="11"/>
        <v>0</v>
      </c>
      <c r="AW87" s="1369">
        <f t="shared" si="12"/>
        <v>0</v>
      </c>
      <c r="AX87" s="1369">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9">
        <f t="shared" si="11"/>
        <v>0</v>
      </c>
      <c r="AW88" s="1369">
        <f t="shared" si="12"/>
        <v>0</v>
      </c>
      <c r="AX88" s="1369">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9">
        <f t="shared" si="11"/>
        <v>0</v>
      </c>
      <c r="AW89" s="1369">
        <f t="shared" si="12"/>
        <v>0</v>
      </c>
      <c r="AX89" s="1369">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9">
        <f t="shared" si="11"/>
        <v>0</v>
      </c>
      <c r="AW90" s="1369">
        <f t="shared" si="12"/>
        <v>0</v>
      </c>
      <c r="AX90" s="1369">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9">
        <f t="shared" si="11"/>
        <v>0</v>
      </c>
      <c r="AW91" s="1369">
        <f t="shared" si="12"/>
        <v>0</v>
      </c>
      <c r="AX91" s="1369">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9">
        <f t="shared" si="11"/>
        <v>0</v>
      </c>
      <c r="AW92" s="1369">
        <f t="shared" si="12"/>
        <v>0</v>
      </c>
      <c r="AX92" s="1369">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9">
        <f t="shared" si="11"/>
        <v>0</v>
      </c>
      <c r="AW93" s="1369">
        <f t="shared" si="12"/>
        <v>0</v>
      </c>
      <c r="AX93" s="1369">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9">
        <f t="shared" si="11"/>
        <v>0</v>
      </c>
      <c r="AW94" s="1369">
        <f t="shared" si="12"/>
        <v>0</v>
      </c>
      <c r="AX94" s="1369">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9">
        <f t="shared" si="11"/>
        <v>0</v>
      </c>
      <c r="AW95" s="1369">
        <f t="shared" si="12"/>
        <v>0</v>
      </c>
      <c r="AX95" s="1369">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9">
        <f t="shared" si="11"/>
        <v>0</v>
      </c>
      <c r="AW96" s="1369">
        <f t="shared" si="12"/>
        <v>0</v>
      </c>
      <c r="AX96" s="1369">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9">
        <f t="shared" si="11"/>
        <v>0</v>
      </c>
      <c r="AW97" s="1369">
        <f t="shared" si="12"/>
        <v>0</v>
      </c>
      <c r="AX97" s="1369">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9">
        <f t="shared" si="11"/>
        <v>0</v>
      </c>
      <c r="AW98" s="1369">
        <f t="shared" si="12"/>
        <v>0</v>
      </c>
      <c r="AX98" s="1369">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9">
        <f t="shared" si="11"/>
        <v>0</v>
      </c>
      <c r="AW99" s="1369">
        <f t="shared" si="12"/>
        <v>0</v>
      </c>
      <c r="AX99" s="1369">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9">
        <f t="shared" si="11"/>
        <v>0</v>
      </c>
      <c r="AW100" s="1369">
        <f t="shared" si="12"/>
        <v>0</v>
      </c>
      <c r="AX100" s="1369">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9">
        <f t="shared" si="11"/>
        <v>0</v>
      </c>
      <c r="AW101" s="1369">
        <f t="shared" si="12"/>
        <v>0</v>
      </c>
      <c r="AX101" s="1369">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9">
        <f t="shared" si="11"/>
        <v>0</v>
      </c>
      <c r="AW102" s="1369">
        <f t="shared" si="12"/>
        <v>0</v>
      </c>
      <c r="AX102" s="1369">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9">
        <f t="shared" si="11"/>
        <v>0</v>
      </c>
      <c r="AW103" s="1369">
        <f t="shared" si="12"/>
        <v>0</v>
      </c>
      <c r="AX103" s="1369">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9">
        <f t="shared" si="11"/>
        <v>0</v>
      </c>
      <c r="AW104" s="1369">
        <f t="shared" si="12"/>
        <v>0</v>
      </c>
      <c r="AX104" s="1369">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9">
        <f t="shared" si="11"/>
        <v>0</v>
      </c>
      <c r="AW105" s="1369">
        <f t="shared" si="12"/>
        <v>0</v>
      </c>
      <c r="AX105" s="1369">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9">
        <f t="shared" si="11"/>
        <v>0</v>
      </c>
      <c r="AW106" s="1369">
        <f t="shared" si="12"/>
        <v>0</v>
      </c>
      <c r="AX106" s="1369">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9">
        <f t="shared" si="11"/>
        <v>0</v>
      </c>
      <c r="AW107" s="1369">
        <f t="shared" si="12"/>
        <v>0</v>
      </c>
      <c r="AX107" s="1369">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9">
        <f t="shared" si="11"/>
        <v>0</v>
      </c>
      <c r="AW108" s="1369">
        <f t="shared" si="12"/>
        <v>0</v>
      </c>
      <c r="AX108" s="1369">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9">
        <f t="shared" si="11"/>
        <v>0</v>
      </c>
      <c r="AW109" s="1369">
        <f t="shared" si="12"/>
        <v>0</v>
      </c>
      <c r="AX109" s="1369">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9">
        <f t="shared" si="11"/>
        <v>0</v>
      </c>
      <c r="AW110" s="1369">
        <f t="shared" si="12"/>
        <v>0</v>
      </c>
      <c r="AX110" s="1369">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9">
        <f t="shared" si="11"/>
        <v>0</v>
      </c>
      <c r="AW111" s="1369">
        <f t="shared" si="12"/>
        <v>0</v>
      </c>
      <c r="AX111" s="1369">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9">
        <f t="shared" si="11"/>
        <v>0</v>
      </c>
      <c r="AW112" s="1369">
        <f t="shared" si="12"/>
        <v>0</v>
      </c>
      <c r="AX112" s="1369">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9">
        <f t="shared" ref="AV113:AV144" si="62">A113</f>
        <v>0</v>
      </c>
      <c r="AW113" s="1369">
        <f t="shared" ref="AW113:AW144" si="63">B113</f>
        <v>0</v>
      </c>
      <c r="AX113" s="1369">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9">
        <f t="shared" si="62"/>
        <v>0</v>
      </c>
      <c r="AW114" s="1369">
        <f t="shared" si="63"/>
        <v>0</v>
      </c>
      <c r="AX114" s="1369">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9">
        <f t="shared" si="62"/>
        <v>0</v>
      </c>
      <c r="AW115" s="1369">
        <f t="shared" si="63"/>
        <v>0</v>
      </c>
      <c r="AX115" s="1369">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9">
        <f t="shared" si="62"/>
        <v>0</v>
      </c>
      <c r="AW116" s="1369">
        <f t="shared" si="63"/>
        <v>0</v>
      </c>
      <c r="AX116" s="1369">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9">
        <f t="shared" si="62"/>
        <v>0</v>
      </c>
      <c r="AW117" s="1369">
        <f t="shared" si="63"/>
        <v>0</v>
      </c>
      <c r="AX117" s="1369">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9">
        <f t="shared" si="62"/>
        <v>0</v>
      </c>
      <c r="AW118" s="1369">
        <f t="shared" si="63"/>
        <v>0</v>
      </c>
      <c r="AX118" s="1369">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9">
        <f t="shared" si="62"/>
        <v>0</v>
      </c>
      <c r="AW119" s="1369">
        <f t="shared" si="63"/>
        <v>0</v>
      </c>
      <c r="AX119" s="1369">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9">
        <f t="shared" si="62"/>
        <v>0</v>
      </c>
      <c r="AW120" s="1369">
        <f t="shared" si="63"/>
        <v>0</v>
      </c>
      <c r="AX120" s="1369">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9">
        <f t="shared" si="62"/>
        <v>0</v>
      </c>
      <c r="AW121" s="1369">
        <f t="shared" si="63"/>
        <v>0</v>
      </c>
      <c r="AX121" s="1369">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9">
        <f t="shared" si="62"/>
        <v>0</v>
      </c>
      <c r="AW122" s="1369">
        <f t="shared" si="63"/>
        <v>0</v>
      </c>
      <c r="AX122" s="1369">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9">
        <f t="shared" si="62"/>
        <v>0</v>
      </c>
      <c r="AW123" s="1369">
        <f t="shared" si="63"/>
        <v>0</v>
      </c>
      <c r="AX123" s="1369">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9">
        <f t="shared" si="62"/>
        <v>0</v>
      </c>
      <c r="AW124" s="1369">
        <f t="shared" si="63"/>
        <v>0</v>
      </c>
      <c r="AX124" s="1369">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9">
        <f t="shared" si="62"/>
        <v>0</v>
      </c>
      <c r="AW125" s="1369">
        <f t="shared" si="63"/>
        <v>0</v>
      </c>
      <c r="AX125" s="1369">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9">
        <f t="shared" si="62"/>
        <v>0</v>
      </c>
      <c r="AW126" s="1369">
        <f t="shared" si="63"/>
        <v>0</v>
      </c>
      <c r="AX126" s="1369">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9">
        <f t="shared" si="62"/>
        <v>0</v>
      </c>
      <c r="AW127" s="1369">
        <f t="shared" si="63"/>
        <v>0</v>
      </c>
      <c r="AX127" s="1369">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9">
        <f t="shared" si="62"/>
        <v>0</v>
      </c>
      <c r="AW128" s="1369">
        <f t="shared" si="63"/>
        <v>0</v>
      </c>
      <c r="AX128" s="1369">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9">
        <f t="shared" si="62"/>
        <v>0</v>
      </c>
      <c r="AW129" s="1369">
        <f t="shared" si="63"/>
        <v>0</v>
      </c>
      <c r="AX129" s="1369">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9">
        <f t="shared" si="62"/>
        <v>0</v>
      </c>
      <c r="AW130" s="1369">
        <f t="shared" si="63"/>
        <v>0</v>
      </c>
      <c r="AX130" s="1369">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9">
        <f t="shared" si="62"/>
        <v>0</v>
      </c>
      <c r="AW131" s="1369">
        <f t="shared" si="63"/>
        <v>0</v>
      </c>
      <c r="AX131" s="1369">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9">
        <f t="shared" si="62"/>
        <v>0</v>
      </c>
      <c r="AW132" s="1369">
        <f t="shared" si="63"/>
        <v>0</v>
      </c>
      <c r="AX132" s="1369">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9">
        <f t="shared" si="62"/>
        <v>0</v>
      </c>
      <c r="AW133" s="1369">
        <f t="shared" si="63"/>
        <v>0</v>
      </c>
      <c r="AX133" s="1369">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9">
        <f t="shared" si="62"/>
        <v>0</v>
      </c>
      <c r="AW134" s="1369">
        <f t="shared" si="63"/>
        <v>0</v>
      </c>
      <c r="AX134" s="1369">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9">
        <f t="shared" si="62"/>
        <v>0</v>
      </c>
      <c r="AW135" s="1369">
        <f t="shared" si="63"/>
        <v>0</v>
      </c>
      <c r="AX135" s="1369">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9">
        <f t="shared" si="62"/>
        <v>0</v>
      </c>
      <c r="AW136" s="1369">
        <f t="shared" si="63"/>
        <v>0</v>
      </c>
      <c r="AX136" s="1369">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9">
        <f t="shared" si="62"/>
        <v>0</v>
      </c>
      <c r="AW137" s="1369">
        <f t="shared" si="63"/>
        <v>0</v>
      </c>
      <c r="AX137" s="1369">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9">
        <f t="shared" si="62"/>
        <v>0</v>
      </c>
      <c r="AW138" s="1369">
        <f t="shared" si="63"/>
        <v>0</v>
      </c>
      <c r="AX138" s="1369">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9">
        <f t="shared" si="62"/>
        <v>0</v>
      </c>
      <c r="AW139" s="1369">
        <f t="shared" si="63"/>
        <v>0</v>
      </c>
      <c r="AX139" s="1369">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9">
        <f t="shared" si="62"/>
        <v>0</v>
      </c>
      <c r="AW140" s="1369">
        <f t="shared" si="63"/>
        <v>0</v>
      </c>
      <c r="AX140" s="1369">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9">
        <f t="shared" si="62"/>
        <v>0</v>
      </c>
      <c r="AW141" s="1369">
        <f t="shared" si="63"/>
        <v>0</v>
      </c>
      <c r="AX141" s="1369">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9">
        <f t="shared" si="62"/>
        <v>0</v>
      </c>
      <c r="AW142" s="1369">
        <f t="shared" si="63"/>
        <v>0</v>
      </c>
      <c r="AX142" s="1369">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9">
        <f t="shared" si="62"/>
        <v>0</v>
      </c>
      <c r="AW143" s="1369">
        <f t="shared" si="63"/>
        <v>0</v>
      </c>
      <c r="AX143" s="1369">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9">
        <f t="shared" si="62"/>
        <v>0</v>
      </c>
      <c r="AW144" s="1369">
        <f t="shared" si="63"/>
        <v>0</v>
      </c>
      <c r="AX144" s="1369">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9">
        <f t="shared" ref="AV145:AV176" si="91">A145</f>
        <v>0</v>
      </c>
      <c r="AW145" s="1369">
        <f t="shared" ref="AW145:AW176" si="92">B145</f>
        <v>0</v>
      </c>
      <c r="AX145" s="1369">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9">
        <f t="shared" si="91"/>
        <v>0</v>
      </c>
      <c r="AW146" s="1369">
        <f t="shared" si="92"/>
        <v>0</v>
      </c>
      <c r="AX146" s="1369">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9">
        <f t="shared" si="91"/>
        <v>0</v>
      </c>
      <c r="AW147" s="1369">
        <f t="shared" si="92"/>
        <v>0</v>
      </c>
      <c r="AX147" s="1369">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9">
        <f t="shared" si="91"/>
        <v>0</v>
      </c>
      <c r="AW148" s="1369">
        <f t="shared" si="92"/>
        <v>0</v>
      </c>
      <c r="AX148" s="1369">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9">
        <f t="shared" si="91"/>
        <v>0</v>
      </c>
      <c r="AW149" s="1369">
        <f t="shared" si="92"/>
        <v>0</v>
      </c>
      <c r="AX149" s="1369">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9">
        <f t="shared" si="91"/>
        <v>0</v>
      </c>
      <c r="AW150" s="1369">
        <f t="shared" si="92"/>
        <v>0</v>
      </c>
      <c r="AX150" s="1369">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9">
        <f t="shared" si="91"/>
        <v>0</v>
      </c>
      <c r="AW151" s="1369">
        <f t="shared" si="92"/>
        <v>0</v>
      </c>
      <c r="AX151" s="1369">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9">
        <f t="shared" si="91"/>
        <v>0</v>
      </c>
      <c r="AW152" s="1369">
        <f t="shared" si="92"/>
        <v>0</v>
      </c>
      <c r="AX152" s="1369">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9">
        <f t="shared" si="91"/>
        <v>0</v>
      </c>
      <c r="AW153" s="1369">
        <f t="shared" si="92"/>
        <v>0</v>
      </c>
      <c r="AX153" s="1369">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9">
        <f t="shared" si="91"/>
        <v>0</v>
      </c>
      <c r="AW154" s="1369">
        <f t="shared" si="92"/>
        <v>0</v>
      </c>
      <c r="AX154" s="1369">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9">
        <f t="shared" si="91"/>
        <v>0</v>
      </c>
      <c r="AW155" s="1369">
        <f t="shared" si="92"/>
        <v>0</v>
      </c>
      <c r="AX155" s="1369">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9">
        <f t="shared" si="91"/>
        <v>0</v>
      </c>
      <c r="AW156" s="1369">
        <f t="shared" si="92"/>
        <v>0</v>
      </c>
      <c r="AX156" s="1369">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9">
        <f t="shared" si="91"/>
        <v>0</v>
      </c>
      <c r="AW157" s="1369">
        <f t="shared" si="92"/>
        <v>0</v>
      </c>
      <c r="AX157" s="1369">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9">
        <f t="shared" si="91"/>
        <v>0</v>
      </c>
      <c r="AW158" s="1369">
        <f t="shared" si="92"/>
        <v>0</v>
      </c>
      <c r="AX158" s="1369">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9">
        <f t="shared" si="91"/>
        <v>0</v>
      </c>
      <c r="AW159" s="1369">
        <f t="shared" si="92"/>
        <v>0</v>
      </c>
      <c r="AX159" s="1369">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9">
        <f t="shared" si="91"/>
        <v>0</v>
      </c>
      <c r="AW160" s="1369">
        <f t="shared" si="92"/>
        <v>0</v>
      </c>
      <c r="AX160" s="1369">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9">
        <f t="shared" si="91"/>
        <v>0</v>
      </c>
      <c r="AW161" s="1369">
        <f t="shared" si="92"/>
        <v>0</v>
      </c>
      <c r="AX161" s="1369">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9">
        <f t="shared" si="91"/>
        <v>0</v>
      </c>
      <c r="AW162" s="1369">
        <f t="shared" si="92"/>
        <v>0</v>
      </c>
      <c r="AX162" s="1369">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9">
        <f t="shared" si="91"/>
        <v>0</v>
      </c>
      <c r="AW163" s="1369">
        <f t="shared" si="92"/>
        <v>0</v>
      </c>
      <c r="AX163" s="1369">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9">
        <f t="shared" si="91"/>
        <v>0</v>
      </c>
      <c r="AW164" s="1369">
        <f t="shared" si="92"/>
        <v>0</v>
      </c>
      <c r="AX164" s="1369">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9">
        <f t="shared" si="91"/>
        <v>0</v>
      </c>
      <c r="AW165" s="1369">
        <f t="shared" si="92"/>
        <v>0</v>
      </c>
      <c r="AX165" s="1369">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9">
        <f t="shared" si="91"/>
        <v>0</v>
      </c>
      <c r="AW166" s="1369">
        <f t="shared" si="92"/>
        <v>0</v>
      </c>
      <c r="AX166" s="1369">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9">
        <f t="shared" si="91"/>
        <v>0</v>
      </c>
      <c r="AW167" s="1369">
        <f t="shared" si="92"/>
        <v>0</v>
      </c>
      <c r="AX167" s="1369">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9">
        <f t="shared" si="91"/>
        <v>0</v>
      </c>
      <c r="AW168" s="1369">
        <f t="shared" si="92"/>
        <v>0</v>
      </c>
      <c r="AX168" s="1369">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9">
        <f t="shared" si="91"/>
        <v>0</v>
      </c>
      <c r="AW169" s="1369">
        <f t="shared" si="92"/>
        <v>0</v>
      </c>
      <c r="AX169" s="1369">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9">
        <f t="shared" si="91"/>
        <v>0</v>
      </c>
      <c r="AW170" s="1369">
        <f t="shared" si="92"/>
        <v>0</v>
      </c>
      <c r="AX170" s="1369">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9">
        <f t="shared" si="91"/>
        <v>0</v>
      </c>
      <c r="AW171" s="1369">
        <f t="shared" si="92"/>
        <v>0</v>
      </c>
      <c r="AX171" s="1369">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9">
        <f t="shared" si="91"/>
        <v>0</v>
      </c>
      <c r="AW172" s="1369">
        <f t="shared" si="92"/>
        <v>0</v>
      </c>
      <c r="AX172" s="1369">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9">
        <f t="shared" si="91"/>
        <v>0</v>
      </c>
      <c r="AW173" s="1369">
        <f t="shared" si="92"/>
        <v>0</v>
      </c>
      <c r="AX173" s="1369">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9">
        <f t="shared" si="91"/>
        <v>0</v>
      </c>
      <c r="AW174" s="1369">
        <f t="shared" si="92"/>
        <v>0</v>
      </c>
      <c r="AX174" s="1369">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9">
        <f t="shared" si="91"/>
        <v>0</v>
      </c>
      <c r="AW175" s="1369">
        <f t="shared" si="92"/>
        <v>0</v>
      </c>
      <c r="AX175" s="1369">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9">
        <f t="shared" si="91"/>
        <v>0</v>
      </c>
      <c r="AW176" s="1369">
        <f t="shared" si="92"/>
        <v>0</v>
      </c>
      <c r="AX176" s="1369">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9">
        <f t="shared" ref="AV177:AV207" si="120">A177</f>
        <v>0</v>
      </c>
      <c r="AW177" s="1369">
        <f t="shared" ref="AW177:AW207" si="121">B177</f>
        <v>0</v>
      </c>
      <c r="AX177" s="1369">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9">
        <f t="shared" si="120"/>
        <v>0</v>
      </c>
      <c r="AW178" s="1369">
        <f t="shared" si="121"/>
        <v>0</v>
      </c>
      <c r="AX178" s="1369">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9">
        <f t="shared" si="120"/>
        <v>0</v>
      </c>
      <c r="AW179" s="1369">
        <f t="shared" si="121"/>
        <v>0</v>
      </c>
      <c r="AX179" s="1369">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9">
        <f t="shared" si="120"/>
        <v>0</v>
      </c>
      <c r="AW180" s="1369">
        <f t="shared" si="121"/>
        <v>0</v>
      </c>
      <c r="AX180" s="1369">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9">
        <f t="shared" si="120"/>
        <v>0</v>
      </c>
      <c r="AW181" s="1369">
        <f t="shared" si="121"/>
        <v>0</v>
      </c>
      <c r="AX181" s="1369">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9">
        <f t="shared" si="120"/>
        <v>0</v>
      </c>
      <c r="AW182" s="1369">
        <f t="shared" si="121"/>
        <v>0</v>
      </c>
      <c r="AX182" s="1369">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9">
        <f t="shared" si="120"/>
        <v>0</v>
      </c>
      <c r="AW183" s="1369">
        <f t="shared" si="121"/>
        <v>0</v>
      </c>
      <c r="AX183" s="1369">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9">
        <f t="shared" si="120"/>
        <v>0</v>
      </c>
      <c r="AW184" s="1369">
        <f t="shared" si="121"/>
        <v>0</v>
      </c>
      <c r="AX184" s="1369">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9">
        <f t="shared" si="120"/>
        <v>0</v>
      </c>
      <c r="AW185" s="1369">
        <f t="shared" si="121"/>
        <v>0</v>
      </c>
      <c r="AX185" s="1369">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9">
        <f t="shared" si="120"/>
        <v>0</v>
      </c>
      <c r="AW186" s="1369">
        <f t="shared" si="121"/>
        <v>0</v>
      </c>
      <c r="AX186" s="1369">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9">
        <f t="shared" si="120"/>
        <v>0</v>
      </c>
      <c r="AW187" s="1369">
        <f t="shared" si="121"/>
        <v>0</v>
      </c>
      <c r="AX187" s="1369">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9">
        <f t="shared" si="120"/>
        <v>0</v>
      </c>
      <c r="AW188" s="1369">
        <f t="shared" si="121"/>
        <v>0</v>
      </c>
      <c r="AX188" s="1369">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9">
        <f t="shared" si="120"/>
        <v>0</v>
      </c>
      <c r="AW189" s="1369">
        <f t="shared" si="121"/>
        <v>0</v>
      </c>
      <c r="AX189" s="1369">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9">
        <f t="shared" si="120"/>
        <v>0</v>
      </c>
      <c r="AW190" s="1369">
        <f t="shared" si="121"/>
        <v>0</v>
      </c>
      <c r="AX190" s="1369">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9">
        <f t="shared" si="120"/>
        <v>0</v>
      </c>
      <c r="AW191" s="1369">
        <f t="shared" si="121"/>
        <v>0</v>
      </c>
      <c r="AX191" s="1369">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9">
        <f t="shared" si="120"/>
        <v>0</v>
      </c>
      <c r="AW192" s="1369">
        <f t="shared" si="121"/>
        <v>0</v>
      </c>
      <c r="AX192" s="1369">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9">
        <f t="shared" si="120"/>
        <v>0</v>
      </c>
      <c r="AW193" s="1369">
        <f t="shared" si="121"/>
        <v>0</v>
      </c>
      <c r="AX193" s="1369">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9">
        <f t="shared" si="120"/>
        <v>0</v>
      </c>
      <c r="AW194" s="1369">
        <f t="shared" si="121"/>
        <v>0</v>
      </c>
      <c r="AX194" s="1369">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9">
        <f t="shared" si="120"/>
        <v>0</v>
      </c>
      <c r="AW195" s="1369">
        <f t="shared" si="121"/>
        <v>0</v>
      </c>
      <c r="AX195" s="1369">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9">
        <f t="shared" si="120"/>
        <v>0</v>
      </c>
      <c r="AW196" s="1369">
        <f t="shared" si="121"/>
        <v>0</v>
      </c>
      <c r="AX196" s="1369">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9">
        <f t="shared" si="120"/>
        <v>0</v>
      </c>
      <c r="AW197" s="1369">
        <f t="shared" si="121"/>
        <v>0</v>
      </c>
      <c r="AX197" s="1369">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9">
        <f t="shared" si="120"/>
        <v>0</v>
      </c>
      <c r="AW198" s="1369">
        <f t="shared" si="121"/>
        <v>0</v>
      </c>
      <c r="AX198" s="1369">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9">
        <f t="shared" si="120"/>
        <v>0</v>
      </c>
      <c r="AW199" s="1369">
        <f t="shared" si="121"/>
        <v>0</v>
      </c>
      <c r="AX199" s="1369">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9">
        <f t="shared" si="120"/>
        <v>0</v>
      </c>
      <c r="AW200" s="1369">
        <f t="shared" si="121"/>
        <v>0</v>
      </c>
      <c r="AX200" s="1369">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9">
        <f t="shared" si="120"/>
        <v>0</v>
      </c>
      <c r="AW201" s="1369">
        <f t="shared" si="121"/>
        <v>0</v>
      </c>
      <c r="AX201" s="1369">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9">
        <f t="shared" si="120"/>
        <v>0</v>
      </c>
      <c r="AW202" s="1369">
        <f t="shared" si="121"/>
        <v>0</v>
      </c>
      <c r="AX202" s="1369">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9">
        <f t="shared" si="120"/>
        <v>0</v>
      </c>
      <c r="AW203" s="1369">
        <f t="shared" si="121"/>
        <v>0</v>
      </c>
      <c r="AX203" s="1369">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9">
        <f t="shared" si="120"/>
        <v>0</v>
      </c>
      <c r="AW204" s="1369">
        <f t="shared" si="121"/>
        <v>0</v>
      </c>
      <c r="AX204" s="1369">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9">
        <f t="shared" si="120"/>
        <v>0</v>
      </c>
      <c r="AW205" s="1369">
        <f t="shared" si="121"/>
        <v>0</v>
      </c>
      <c r="AX205" s="1369">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9">
        <f t="shared" si="120"/>
        <v>0</v>
      </c>
      <c r="AW206" s="1369">
        <f t="shared" si="121"/>
        <v>0</v>
      </c>
      <c r="AX206" s="1369">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9">
        <f t="shared" si="120"/>
        <v>0</v>
      </c>
      <c r="AW207" s="1369">
        <f t="shared" si="121"/>
        <v>0</v>
      </c>
      <c r="AX207" s="1369">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9">
        <f t="shared" ref="AV208:AV302" si="127">A208</f>
        <v>0</v>
      </c>
      <c r="AW208" s="1369">
        <f t="shared" ref="AW208:AW302" si="128">B208</f>
        <v>0</v>
      </c>
      <c r="AX208" s="1369">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9">
        <f t="shared" si="127"/>
        <v>0</v>
      </c>
      <c r="AW209" s="1369">
        <f t="shared" si="128"/>
        <v>0</v>
      </c>
      <c r="AX209" s="1369">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9">
        <f t="shared" si="127"/>
        <v>0</v>
      </c>
      <c r="AW210" s="1369">
        <f t="shared" si="128"/>
        <v>0</v>
      </c>
      <c r="AX210" s="1369">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9">
        <f t="shared" si="127"/>
        <v>0</v>
      </c>
      <c r="AW211" s="1369">
        <f t="shared" si="128"/>
        <v>0</v>
      </c>
      <c r="AX211" s="1369">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9">
        <f t="shared" si="127"/>
        <v>0</v>
      </c>
      <c r="AW212" s="1369">
        <f t="shared" si="128"/>
        <v>0</v>
      </c>
      <c r="AX212" s="1369">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9">
        <f t="shared" si="127"/>
        <v>0</v>
      </c>
      <c r="AW213" s="1369">
        <f t="shared" si="128"/>
        <v>0</v>
      </c>
      <c r="AX213" s="1369">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9">
        <f t="shared" si="127"/>
        <v>0</v>
      </c>
      <c r="AW214" s="1369">
        <f t="shared" si="128"/>
        <v>0</v>
      </c>
      <c r="AX214" s="1369">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9">
        <f t="shared" si="127"/>
        <v>0</v>
      </c>
      <c r="AW215" s="1369">
        <f t="shared" si="128"/>
        <v>0</v>
      </c>
      <c r="AX215" s="1369">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9">
        <f t="shared" si="127"/>
        <v>0</v>
      </c>
      <c r="AW216" s="1369">
        <f t="shared" si="128"/>
        <v>0</v>
      </c>
      <c r="AX216" s="1369">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9">
        <f t="shared" si="127"/>
        <v>0</v>
      </c>
      <c r="AW217" s="1369">
        <f t="shared" si="128"/>
        <v>0</v>
      </c>
      <c r="AX217" s="1369">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9">
        <f t="shared" si="127"/>
        <v>0</v>
      </c>
      <c r="AW218" s="1369">
        <f t="shared" si="128"/>
        <v>0</v>
      </c>
      <c r="AX218" s="1369">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9">
        <f t="shared" si="127"/>
        <v>0</v>
      </c>
      <c r="AW219" s="1369">
        <f t="shared" si="128"/>
        <v>0</v>
      </c>
      <c r="AX219" s="1369">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9">
        <f t="shared" si="127"/>
        <v>0</v>
      </c>
      <c r="AW220" s="1369">
        <f t="shared" si="128"/>
        <v>0</v>
      </c>
      <c r="AX220" s="1369">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9">
        <f t="shared" si="127"/>
        <v>0</v>
      </c>
      <c r="AW221" s="1369">
        <f t="shared" si="128"/>
        <v>0</v>
      </c>
      <c r="AX221" s="1369">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9">
        <f t="shared" si="127"/>
        <v>0</v>
      </c>
      <c r="AW222" s="1369">
        <f t="shared" si="128"/>
        <v>0</v>
      </c>
      <c r="AX222" s="1369">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9">
        <f t="shared" si="127"/>
        <v>0</v>
      </c>
      <c r="AW223" s="1369">
        <f t="shared" si="128"/>
        <v>0</v>
      </c>
      <c r="AX223" s="1369">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9">
        <f t="shared" si="127"/>
        <v>0</v>
      </c>
      <c r="AW224" s="1369">
        <f t="shared" si="128"/>
        <v>0</v>
      </c>
      <c r="AX224" s="1369">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9">
        <f t="shared" si="127"/>
        <v>0</v>
      </c>
      <c r="AW225" s="1369">
        <f t="shared" si="128"/>
        <v>0</v>
      </c>
      <c r="AX225" s="1369">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9">
        <f t="shared" si="127"/>
        <v>0</v>
      </c>
      <c r="AW226" s="1369">
        <f t="shared" si="128"/>
        <v>0</v>
      </c>
      <c r="AX226" s="1369">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9">
        <f t="shared" si="127"/>
        <v>0</v>
      </c>
      <c r="AW227" s="1369">
        <f t="shared" si="128"/>
        <v>0</v>
      </c>
      <c r="AX227" s="1369">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9">
        <f t="shared" si="127"/>
        <v>0</v>
      </c>
      <c r="AW228" s="1369">
        <f t="shared" si="128"/>
        <v>0</v>
      </c>
      <c r="AX228" s="1369">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9">
        <f t="shared" si="127"/>
        <v>0</v>
      </c>
      <c r="AW229" s="1369">
        <f t="shared" si="128"/>
        <v>0</v>
      </c>
      <c r="AX229" s="1369">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9">
        <f t="shared" si="127"/>
        <v>0</v>
      </c>
      <c r="AW230" s="1369">
        <f t="shared" si="128"/>
        <v>0</v>
      </c>
      <c r="AX230" s="1369">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9">
        <f t="shared" si="127"/>
        <v>0</v>
      </c>
      <c r="AW231" s="1369">
        <f t="shared" si="128"/>
        <v>0</v>
      </c>
      <c r="AX231" s="1369">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9">
        <f t="shared" si="127"/>
        <v>0</v>
      </c>
      <c r="AW232" s="1369">
        <f t="shared" si="128"/>
        <v>0</v>
      </c>
      <c r="AX232" s="1369">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9">
        <f t="shared" si="127"/>
        <v>0</v>
      </c>
      <c r="AW233" s="1369">
        <f t="shared" si="128"/>
        <v>0</v>
      </c>
      <c r="AX233" s="1369">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9">
        <f t="shared" si="127"/>
        <v>0</v>
      </c>
      <c r="AW234" s="1369">
        <f t="shared" si="128"/>
        <v>0</v>
      </c>
      <c r="AX234" s="1369">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9">
        <f t="shared" si="127"/>
        <v>0</v>
      </c>
      <c r="AW235" s="1369">
        <f t="shared" si="128"/>
        <v>0</v>
      </c>
      <c r="AX235" s="1369">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9">
        <f t="shared" si="127"/>
        <v>0</v>
      </c>
      <c r="AW236" s="1369">
        <f t="shared" si="128"/>
        <v>0</v>
      </c>
      <c r="AX236" s="1369">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9">
        <f t="shared" si="127"/>
        <v>0</v>
      </c>
      <c r="AW237" s="1369">
        <f t="shared" si="128"/>
        <v>0</v>
      </c>
      <c r="AX237" s="1369">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9">
        <f t="shared" si="127"/>
        <v>0</v>
      </c>
      <c r="AW238" s="1369">
        <f t="shared" si="128"/>
        <v>0</v>
      </c>
      <c r="AX238" s="1369">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9">
        <f t="shared" si="127"/>
        <v>0</v>
      </c>
      <c r="AW239" s="1369">
        <f t="shared" si="128"/>
        <v>0</v>
      </c>
      <c r="AX239" s="1369">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9">
        <f t="shared" si="127"/>
        <v>0</v>
      </c>
      <c r="AW240" s="1369">
        <f t="shared" si="128"/>
        <v>0</v>
      </c>
      <c r="AX240" s="1369">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9">
        <f t="shared" si="127"/>
        <v>0</v>
      </c>
      <c r="AW241" s="1369">
        <f t="shared" si="128"/>
        <v>0</v>
      </c>
      <c r="AX241" s="1369">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9">
        <f t="shared" si="127"/>
        <v>0</v>
      </c>
      <c r="AW242" s="1369">
        <f t="shared" si="128"/>
        <v>0</v>
      </c>
      <c r="AX242" s="1369">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9">
        <f t="shared" si="127"/>
        <v>0</v>
      </c>
      <c r="AW243" s="1369">
        <f t="shared" si="128"/>
        <v>0</v>
      </c>
      <c r="AX243" s="1369">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9">
        <f t="shared" si="127"/>
        <v>0</v>
      </c>
      <c r="AW244" s="1369">
        <f t="shared" si="128"/>
        <v>0</v>
      </c>
      <c r="AX244" s="1369">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9">
        <f t="shared" si="127"/>
        <v>0</v>
      </c>
      <c r="AW245" s="1369">
        <f t="shared" si="128"/>
        <v>0</v>
      </c>
      <c r="AX245" s="1369">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9">
        <f t="shared" si="127"/>
        <v>0</v>
      </c>
      <c r="AW246" s="1369">
        <f t="shared" si="128"/>
        <v>0</v>
      </c>
      <c r="AX246" s="1369">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9">
        <f t="shared" si="127"/>
        <v>0</v>
      </c>
      <c r="AW247" s="1369">
        <f t="shared" si="128"/>
        <v>0</v>
      </c>
      <c r="AX247" s="1369">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9">
        <f t="shared" si="127"/>
        <v>0</v>
      </c>
      <c r="AW248" s="1369">
        <f t="shared" si="128"/>
        <v>0</v>
      </c>
      <c r="AX248" s="1369">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9">
        <f t="shared" si="127"/>
        <v>0</v>
      </c>
      <c r="AW249" s="1369">
        <f t="shared" si="128"/>
        <v>0</v>
      </c>
      <c r="AX249" s="1369">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9">
        <f t="shared" si="127"/>
        <v>0</v>
      </c>
      <c r="AW250" s="1369">
        <f t="shared" si="128"/>
        <v>0</v>
      </c>
      <c r="AX250" s="1369">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9">
        <f t="shared" si="127"/>
        <v>0</v>
      </c>
      <c r="AW251" s="1369">
        <f t="shared" si="128"/>
        <v>0</v>
      </c>
      <c r="AX251" s="1369">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9">
        <f t="shared" si="127"/>
        <v>0</v>
      </c>
      <c r="AW252" s="1369">
        <f t="shared" si="128"/>
        <v>0</v>
      </c>
      <c r="AX252" s="1369">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9">
        <f t="shared" si="127"/>
        <v>0</v>
      </c>
      <c r="AW253" s="1369">
        <f t="shared" si="128"/>
        <v>0</v>
      </c>
      <c r="AX253" s="1369">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9">
        <f t="shared" si="127"/>
        <v>0</v>
      </c>
      <c r="AW254" s="1369">
        <f t="shared" si="128"/>
        <v>0</v>
      </c>
      <c r="AX254" s="1369">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9">
        <f t="shared" si="127"/>
        <v>0</v>
      </c>
      <c r="AW255" s="1369">
        <f t="shared" si="128"/>
        <v>0</v>
      </c>
      <c r="AX255" s="1369">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9">
        <f t="shared" si="127"/>
        <v>0</v>
      </c>
      <c r="AW256" s="1369">
        <f t="shared" si="128"/>
        <v>0</v>
      </c>
      <c r="AX256" s="1369">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9">
        <f t="shared" si="127"/>
        <v>0</v>
      </c>
      <c r="AW257" s="1369">
        <f t="shared" si="128"/>
        <v>0</v>
      </c>
      <c r="AX257" s="1369">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9">
        <f t="shared" si="127"/>
        <v>0</v>
      </c>
      <c r="AW258" s="1369">
        <f t="shared" si="128"/>
        <v>0</v>
      </c>
      <c r="AX258" s="1369">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9">
        <f t="shared" si="127"/>
        <v>0</v>
      </c>
      <c r="AW259" s="1369">
        <f t="shared" si="128"/>
        <v>0</v>
      </c>
      <c r="AX259" s="1369">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9">
        <f t="shared" si="127"/>
        <v>0</v>
      </c>
      <c r="AW260" s="1369">
        <f t="shared" si="128"/>
        <v>0</v>
      </c>
      <c r="AX260" s="1369">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9">
        <f t="shared" si="127"/>
        <v>0</v>
      </c>
      <c r="AW261" s="1369">
        <f t="shared" si="128"/>
        <v>0</v>
      </c>
      <c r="AX261" s="1369">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9">
        <f t="shared" si="127"/>
        <v>0</v>
      </c>
      <c r="AW262" s="1369">
        <f t="shared" si="128"/>
        <v>0</v>
      </c>
      <c r="AX262" s="1369">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9">
        <f t="shared" si="127"/>
        <v>0</v>
      </c>
      <c r="AW263" s="1369">
        <f t="shared" si="128"/>
        <v>0</v>
      </c>
      <c r="AX263" s="1369">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9">
        <f t="shared" si="127"/>
        <v>0</v>
      </c>
      <c r="AW264" s="1369">
        <f t="shared" si="128"/>
        <v>0</v>
      </c>
      <c r="AX264" s="1369">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9">
        <f t="shared" si="127"/>
        <v>0</v>
      </c>
      <c r="AW265" s="1369">
        <f t="shared" si="128"/>
        <v>0</v>
      </c>
      <c r="AX265" s="1369">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9">
        <f t="shared" si="127"/>
        <v>0</v>
      </c>
      <c r="AW266" s="1369">
        <f t="shared" si="128"/>
        <v>0</v>
      </c>
      <c r="AX266" s="1369">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9">
        <f t="shared" si="127"/>
        <v>0</v>
      </c>
      <c r="AW267" s="1369">
        <f t="shared" si="128"/>
        <v>0</v>
      </c>
      <c r="AX267" s="1369">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9">
        <f t="shared" si="127"/>
        <v>0</v>
      </c>
      <c r="AW268" s="1369">
        <f t="shared" si="128"/>
        <v>0</v>
      </c>
      <c r="AX268" s="1369">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9">
        <f t="shared" si="127"/>
        <v>0</v>
      </c>
      <c r="AW269" s="1369">
        <f t="shared" si="128"/>
        <v>0</v>
      </c>
      <c r="AX269" s="1369">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9">
        <f t="shared" si="127"/>
        <v>0</v>
      </c>
      <c r="AW270" s="1369">
        <f t="shared" si="128"/>
        <v>0</v>
      </c>
      <c r="AX270" s="1369">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9">
        <f t="shared" si="127"/>
        <v>0</v>
      </c>
      <c r="AW271" s="1369">
        <f t="shared" si="128"/>
        <v>0</v>
      </c>
      <c r="AX271" s="1369">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9">
        <f t="shared" si="127"/>
        <v>0</v>
      </c>
      <c r="AW272" s="1369">
        <f t="shared" si="128"/>
        <v>0</v>
      </c>
      <c r="AX272" s="1369">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9">
        <f t="shared" si="127"/>
        <v>0</v>
      </c>
      <c r="AW273" s="1369">
        <f t="shared" si="128"/>
        <v>0</v>
      </c>
      <c r="AX273" s="1369">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9">
        <f t="shared" si="127"/>
        <v>0</v>
      </c>
      <c r="AW274" s="1369">
        <f t="shared" si="128"/>
        <v>0</v>
      </c>
      <c r="AX274" s="1369">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9">
        <f t="shared" si="127"/>
        <v>0</v>
      </c>
      <c r="AW275" s="1369">
        <f t="shared" si="128"/>
        <v>0</v>
      </c>
      <c r="AX275" s="1369">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9">
        <f t="shared" si="127"/>
        <v>0</v>
      </c>
      <c r="AW276" s="1369">
        <f t="shared" si="128"/>
        <v>0</v>
      </c>
      <c r="AX276" s="1369">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9">
        <f t="shared" si="127"/>
        <v>0</v>
      </c>
      <c r="AW277" s="1369">
        <f t="shared" si="128"/>
        <v>0</v>
      </c>
      <c r="AX277" s="1369">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9">
        <f t="shared" si="127"/>
        <v>0</v>
      </c>
      <c r="AW278" s="1369">
        <f t="shared" si="128"/>
        <v>0</v>
      </c>
      <c r="AX278" s="1369">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9">
        <f t="shared" si="127"/>
        <v>0</v>
      </c>
      <c r="AW279" s="1369">
        <f t="shared" si="128"/>
        <v>0</v>
      </c>
      <c r="AX279" s="1369">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9">
        <f t="shared" si="127"/>
        <v>0</v>
      </c>
      <c r="AW280" s="1369">
        <f t="shared" si="128"/>
        <v>0</v>
      </c>
      <c r="AX280" s="1369">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9">
        <f t="shared" si="127"/>
        <v>0</v>
      </c>
      <c r="AW281" s="1369">
        <f t="shared" si="128"/>
        <v>0</v>
      </c>
      <c r="AX281" s="1369">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9">
        <f t="shared" si="127"/>
        <v>0</v>
      </c>
      <c r="AW282" s="1369">
        <f t="shared" si="128"/>
        <v>0</v>
      </c>
      <c r="AX282" s="1369">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9">
        <f t="shared" si="127"/>
        <v>0</v>
      </c>
      <c r="AW283" s="1369">
        <f t="shared" si="128"/>
        <v>0</v>
      </c>
      <c r="AX283" s="1369">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9">
        <f t="shared" si="127"/>
        <v>0</v>
      </c>
      <c r="AW284" s="1369">
        <f t="shared" si="128"/>
        <v>0</v>
      </c>
      <c r="AX284" s="1369">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9">
        <f t="shared" si="127"/>
        <v>0</v>
      </c>
      <c r="AW285" s="1369">
        <f t="shared" si="128"/>
        <v>0</v>
      </c>
      <c r="AX285" s="1369">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9">
        <f t="shared" si="127"/>
        <v>0</v>
      </c>
      <c r="AW286" s="1369">
        <f t="shared" si="128"/>
        <v>0</v>
      </c>
      <c r="AX286" s="1369">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9">
        <f t="shared" si="127"/>
        <v>0</v>
      </c>
      <c r="AW287" s="1369">
        <f t="shared" si="128"/>
        <v>0</v>
      </c>
      <c r="AX287" s="1369">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9">
        <f t="shared" si="127"/>
        <v>0</v>
      </c>
      <c r="AW288" s="1369">
        <f t="shared" si="128"/>
        <v>0</v>
      </c>
      <c r="AX288" s="1369">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9">
        <f t="shared" si="127"/>
        <v>0</v>
      </c>
      <c r="AW289" s="1369">
        <f t="shared" si="128"/>
        <v>0</v>
      </c>
      <c r="AX289" s="1369">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9">
        <f t="shared" si="127"/>
        <v>0</v>
      </c>
      <c r="AW290" s="1369">
        <f t="shared" si="128"/>
        <v>0</v>
      </c>
      <c r="AX290" s="1369">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9">
        <f t="shared" si="127"/>
        <v>0</v>
      </c>
      <c r="AW291" s="1369">
        <f t="shared" si="128"/>
        <v>0</v>
      </c>
      <c r="AX291" s="1369">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9">
        <f t="shared" si="127"/>
        <v>0</v>
      </c>
      <c r="AW292" s="1369">
        <f t="shared" si="128"/>
        <v>0</v>
      </c>
      <c r="AX292" s="1369">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9">
        <f t="shared" si="127"/>
        <v>0</v>
      </c>
      <c r="AW293" s="1369">
        <f t="shared" si="128"/>
        <v>0</v>
      </c>
      <c r="AX293" s="1369">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9">
        <f t="shared" si="127"/>
        <v>0</v>
      </c>
      <c r="AW294" s="1369">
        <f t="shared" si="128"/>
        <v>0</v>
      </c>
      <c r="AX294" s="1369">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9">
        <f t="shared" si="127"/>
        <v>0</v>
      </c>
      <c r="AW295" s="1369">
        <f t="shared" si="128"/>
        <v>0</v>
      </c>
      <c r="AX295" s="1369">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9">
        <f t="shared" si="127"/>
        <v>0</v>
      </c>
      <c r="AW296" s="1369">
        <f t="shared" si="128"/>
        <v>0</v>
      </c>
      <c r="AX296" s="1369">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9">
        <f t="shared" si="127"/>
        <v>0</v>
      </c>
      <c r="AW297" s="1369">
        <f t="shared" si="128"/>
        <v>0</v>
      </c>
      <c r="AX297" s="1369">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9">
        <f t="shared" si="127"/>
        <v>0</v>
      </c>
      <c r="AW298" s="1369">
        <f t="shared" si="128"/>
        <v>0</v>
      </c>
      <c r="AX298" s="1369">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9">
        <f t="shared" si="127"/>
        <v>0</v>
      </c>
      <c r="AW299" s="1369">
        <f t="shared" si="128"/>
        <v>0</v>
      </c>
      <c r="AX299" s="1369">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9">
        <f t="shared" si="127"/>
        <v>0</v>
      </c>
      <c r="AW300" s="1369">
        <f t="shared" si="128"/>
        <v>0</v>
      </c>
      <c r="AX300" s="1369">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9">
        <f t="shared" si="127"/>
        <v>0</v>
      </c>
      <c r="AW301" s="1369">
        <f t="shared" si="128"/>
        <v>0</v>
      </c>
      <c r="AX301" s="1369">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9">
        <f t="shared" si="127"/>
        <v>0</v>
      </c>
      <c r="AW302" s="1369">
        <f t="shared" si="128"/>
        <v>0</v>
      </c>
      <c r="AX302" s="1369">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9">
        <f t="shared" ref="AV303:AV334" si="178">A303</f>
        <v>0</v>
      </c>
      <c r="AW303" s="1369">
        <f t="shared" ref="AW303:AW334" si="179">B303</f>
        <v>0</v>
      </c>
      <c r="AX303" s="1369">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9">
        <f t="shared" si="178"/>
        <v>0</v>
      </c>
      <c r="AW304" s="1369">
        <f t="shared" si="179"/>
        <v>0</v>
      </c>
      <c r="AX304" s="1369">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9">
        <f t="shared" si="178"/>
        <v>0</v>
      </c>
      <c r="AW305" s="1369">
        <f t="shared" si="179"/>
        <v>0</v>
      </c>
      <c r="AX305" s="1369">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9">
        <f t="shared" si="178"/>
        <v>0</v>
      </c>
      <c r="AW306" s="1369">
        <f t="shared" si="179"/>
        <v>0</v>
      </c>
      <c r="AX306" s="1369">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9">
        <f t="shared" si="178"/>
        <v>0</v>
      </c>
      <c r="AW307" s="1369">
        <f t="shared" si="179"/>
        <v>0</v>
      </c>
      <c r="AX307" s="1369">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9">
        <f t="shared" si="178"/>
        <v>0</v>
      </c>
      <c r="AW308" s="1369">
        <f t="shared" si="179"/>
        <v>0</v>
      </c>
      <c r="AX308" s="1369">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9">
        <f t="shared" si="178"/>
        <v>0</v>
      </c>
      <c r="AW309" s="1369">
        <f t="shared" si="179"/>
        <v>0</v>
      </c>
      <c r="AX309" s="1369">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9">
        <f t="shared" si="178"/>
        <v>0</v>
      </c>
      <c r="AW310" s="1369">
        <f t="shared" si="179"/>
        <v>0</v>
      </c>
      <c r="AX310" s="1369">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9">
        <f t="shared" si="178"/>
        <v>0</v>
      </c>
      <c r="AW311" s="1369">
        <f t="shared" si="179"/>
        <v>0</v>
      </c>
      <c r="AX311" s="1369">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9">
        <f t="shared" si="178"/>
        <v>0</v>
      </c>
      <c r="AW312" s="1369">
        <f t="shared" si="179"/>
        <v>0</v>
      </c>
      <c r="AX312" s="1369">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9">
        <f t="shared" si="178"/>
        <v>0</v>
      </c>
      <c r="AW313" s="1369">
        <f t="shared" si="179"/>
        <v>0</v>
      </c>
      <c r="AX313" s="1369">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9">
        <f t="shared" si="178"/>
        <v>0</v>
      </c>
      <c r="AW314" s="1369">
        <f t="shared" si="179"/>
        <v>0</v>
      </c>
      <c r="AX314" s="1369">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9">
        <f t="shared" si="178"/>
        <v>0</v>
      </c>
      <c r="AW315" s="1369">
        <f t="shared" si="179"/>
        <v>0</v>
      </c>
      <c r="AX315" s="1369">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9">
        <f t="shared" si="178"/>
        <v>0</v>
      </c>
      <c r="AW316" s="1369">
        <f t="shared" si="179"/>
        <v>0</v>
      </c>
      <c r="AX316" s="1369">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9">
        <f t="shared" si="178"/>
        <v>0</v>
      </c>
      <c r="AW317" s="1369">
        <f t="shared" si="179"/>
        <v>0</v>
      </c>
      <c r="AX317" s="1369">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9">
        <f t="shared" si="178"/>
        <v>0</v>
      </c>
      <c r="AW318" s="1369">
        <f t="shared" si="179"/>
        <v>0</v>
      </c>
      <c r="AX318" s="1369">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9">
        <f t="shared" si="178"/>
        <v>0</v>
      </c>
      <c r="AW319" s="1369">
        <f t="shared" si="179"/>
        <v>0</v>
      </c>
      <c r="AX319" s="1369">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9">
        <f t="shared" si="178"/>
        <v>0</v>
      </c>
      <c r="AW320" s="1369">
        <f t="shared" si="179"/>
        <v>0</v>
      </c>
      <c r="AX320" s="1369">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9">
        <f t="shared" si="178"/>
        <v>0</v>
      </c>
      <c r="AW321" s="1369">
        <f t="shared" si="179"/>
        <v>0</v>
      </c>
      <c r="AX321" s="1369">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9">
        <f t="shared" si="178"/>
        <v>0</v>
      </c>
      <c r="AW322" s="1369">
        <f t="shared" si="179"/>
        <v>0</v>
      </c>
      <c r="AX322" s="1369">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9">
        <f t="shared" si="178"/>
        <v>0</v>
      </c>
      <c r="AW323" s="1369">
        <f t="shared" si="179"/>
        <v>0</v>
      </c>
      <c r="AX323" s="1369">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9">
        <f t="shared" si="178"/>
        <v>0</v>
      </c>
      <c r="AW324" s="1369">
        <f t="shared" si="179"/>
        <v>0</v>
      </c>
      <c r="AX324" s="1369">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9">
        <f t="shared" si="178"/>
        <v>0</v>
      </c>
      <c r="AW325" s="1369">
        <f t="shared" si="179"/>
        <v>0</v>
      </c>
      <c r="AX325" s="1369">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9">
        <f t="shared" si="178"/>
        <v>0</v>
      </c>
      <c r="AW326" s="1369">
        <f t="shared" si="179"/>
        <v>0</v>
      </c>
      <c r="AX326" s="1369">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9">
        <f t="shared" si="178"/>
        <v>0</v>
      </c>
      <c r="AW327" s="1369">
        <f t="shared" si="179"/>
        <v>0</v>
      </c>
      <c r="AX327" s="1369">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9">
        <f t="shared" si="178"/>
        <v>0</v>
      </c>
      <c r="AW328" s="1369">
        <f t="shared" si="179"/>
        <v>0</v>
      </c>
      <c r="AX328" s="1369">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9">
        <f t="shared" si="178"/>
        <v>0</v>
      </c>
      <c r="AW329" s="1369">
        <f t="shared" si="179"/>
        <v>0</v>
      </c>
      <c r="AX329" s="1369">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9">
        <f t="shared" si="178"/>
        <v>0</v>
      </c>
      <c r="AW330" s="1369">
        <f t="shared" si="179"/>
        <v>0</v>
      </c>
      <c r="AX330" s="1369">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9">
        <f t="shared" si="178"/>
        <v>0</v>
      </c>
      <c r="AW331" s="1369">
        <f t="shared" si="179"/>
        <v>0</v>
      </c>
      <c r="AX331" s="1369">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9">
        <f t="shared" si="178"/>
        <v>0</v>
      </c>
      <c r="AW332" s="1369">
        <f t="shared" si="179"/>
        <v>0</v>
      </c>
      <c r="AX332" s="1369">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9">
        <f t="shared" si="178"/>
        <v>0</v>
      </c>
      <c r="AW333" s="1369">
        <f t="shared" si="179"/>
        <v>0</v>
      </c>
      <c r="AX333" s="1369">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9">
        <f t="shared" si="178"/>
        <v>0</v>
      </c>
      <c r="AW334" s="1369">
        <f t="shared" si="179"/>
        <v>0</v>
      </c>
      <c r="AX334" s="1369">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9">
        <f t="shared" ref="AV335:AV366" si="207">A335</f>
        <v>0</v>
      </c>
      <c r="AW335" s="1369">
        <f t="shared" ref="AW335:AW366" si="208">B335</f>
        <v>0</v>
      </c>
      <c r="AX335" s="1369">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9">
        <f t="shared" si="207"/>
        <v>0</v>
      </c>
      <c r="AW336" s="1369">
        <f t="shared" si="208"/>
        <v>0</v>
      </c>
      <c r="AX336" s="1369">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9">
        <f t="shared" si="207"/>
        <v>0</v>
      </c>
      <c r="AW337" s="1369">
        <f t="shared" si="208"/>
        <v>0</v>
      </c>
      <c r="AX337" s="1369">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9">
        <f t="shared" si="207"/>
        <v>0</v>
      </c>
      <c r="AW338" s="1369">
        <f t="shared" si="208"/>
        <v>0</v>
      </c>
      <c r="AX338" s="1369">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9">
        <f t="shared" si="207"/>
        <v>0</v>
      </c>
      <c r="AW339" s="1369">
        <f t="shared" si="208"/>
        <v>0</v>
      </c>
      <c r="AX339" s="1369">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9">
        <f t="shared" si="207"/>
        <v>0</v>
      </c>
      <c r="AW340" s="1369">
        <f t="shared" si="208"/>
        <v>0</v>
      </c>
      <c r="AX340" s="1369">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9">
        <f t="shared" si="207"/>
        <v>0</v>
      </c>
      <c r="AW341" s="1369">
        <f t="shared" si="208"/>
        <v>0</v>
      </c>
      <c r="AX341" s="1369">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9">
        <f t="shared" si="207"/>
        <v>0</v>
      </c>
      <c r="AW342" s="1369">
        <f t="shared" si="208"/>
        <v>0</v>
      </c>
      <c r="AX342" s="1369">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9">
        <f t="shared" si="207"/>
        <v>0</v>
      </c>
      <c r="AW343" s="1369">
        <f t="shared" si="208"/>
        <v>0</v>
      </c>
      <c r="AX343" s="1369">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9">
        <f t="shared" si="207"/>
        <v>0</v>
      </c>
      <c r="AW344" s="1369">
        <f t="shared" si="208"/>
        <v>0</v>
      </c>
      <c r="AX344" s="1369">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9">
        <f t="shared" si="207"/>
        <v>0</v>
      </c>
      <c r="AW345" s="1369">
        <f t="shared" si="208"/>
        <v>0</v>
      </c>
      <c r="AX345" s="1369">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9">
        <f t="shared" si="207"/>
        <v>0</v>
      </c>
      <c r="AW346" s="1369">
        <f t="shared" si="208"/>
        <v>0</v>
      </c>
      <c r="AX346" s="1369">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9">
        <f t="shared" si="207"/>
        <v>0</v>
      </c>
      <c r="AW347" s="1369">
        <f t="shared" si="208"/>
        <v>0</v>
      </c>
      <c r="AX347" s="1369">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9">
        <f t="shared" si="207"/>
        <v>0</v>
      </c>
      <c r="AW348" s="1369">
        <f t="shared" si="208"/>
        <v>0</v>
      </c>
      <c r="AX348" s="1369">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9">
        <f t="shared" si="207"/>
        <v>0</v>
      </c>
      <c r="AW349" s="1369">
        <f t="shared" si="208"/>
        <v>0</v>
      </c>
      <c r="AX349" s="1369">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9">
        <f t="shared" si="207"/>
        <v>0</v>
      </c>
      <c r="AW350" s="1369">
        <f t="shared" si="208"/>
        <v>0</v>
      </c>
      <c r="AX350" s="1369">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9">
        <f t="shared" si="207"/>
        <v>0</v>
      </c>
      <c r="AW351" s="1369">
        <f t="shared" si="208"/>
        <v>0</v>
      </c>
      <c r="AX351" s="1369">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9">
        <f t="shared" si="207"/>
        <v>0</v>
      </c>
      <c r="AW352" s="1369">
        <f t="shared" si="208"/>
        <v>0</v>
      </c>
      <c r="AX352" s="1369">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9">
        <f t="shared" si="207"/>
        <v>0</v>
      </c>
      <c r="AW353" s="1369">
        <f t="shared" si="208"/>
        <v>0</v>
      </c>
      <c r="AX353" s="1369">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9">
        <f t="shared" si="207"/>
        <v>0</v>
      </c>
      <c r="AW354" s="1369">
        <f t="shared" si="208"/>
        <v>0</v>
      </c>
      <c r="AX354" s="1369">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9">
        <f t="shared" si="207"/>
        <v>0</v>
      </c>
      <c r="AW355" s="1369">
        <f t="shared" si="208"/>
        <v>0</v>
      </c>
      <c r="AX355" s="1369">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9">
        <f t="shared" si="207"/>
        <v>0</v>
      </c>
      <c r="AW356" s="1369">
        <f t="shared" si="208"/>
        <v>0</v>
      </c>
      <c r="AX356" s="1369">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9">
        <f t="shared" si="207"/>
        <v>0</v>
      </c>
      <c r="AW357" s="1369">
        <f t="shared" si="208"/>
        <v>0</v>
      </c>
      <c r="AX357" s="1369">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9">
        <f t="shared" si="207"/>
        <v>0</v>
      </c>
      <c r="AW358" s="1369">
        <f t="shared" si="208"/>
        <v>0</v>
      </c>
      <c r="AX358" s="1369">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9">
        <f t="shared" si="207"/>
        <v>0</v>
      </c>
      <c r="AW359" s="1369">
        <f t="shared" si="208"/>
        <v>0</v>
      </c>
      <c r="AX359" s="1369">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9">
        <f t="shared" si="207"/>
        <v>0</v>
      </c>
      <c r="AW360" s="1369">
        <f t="shared" si="208"/>
        <v>0</v>
      </c>
      <c r="AX360" s="1369">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9">
        <f t="shared" si="207"/>
        <v>0</v>
      </c>
      <c r="AW361" s="1369">
        <f t="shared" si="208"/>
        <v>0</v>
      </c>
      <c r="AX361" s="1369">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9">
        <f t="shared" si="207"/>
        <v>0</v>
      </c>
      <c r="AW362" s="1369">
        <f t="shared" si="208"/>
        <v>0</v>
      </c>
      <c r="AX362" s="1369">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9">
        <f t="shared" si="207"/>
        <v>0</v>
      </c>
      <c r="AW363" s="1369">
        <f t="shared" si="208"/>
        <v>0</v>
      </c>
      <c r="AX363" s="1369">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9">
        <f t="shared" si="207"/>
        <v>0</v>
      </c>
      <c r="AW364" s="1369">
        <f t="shared" si="208"/>
        <v>0</v>
      </c>
      <c r="AX364" s="1369">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9">
        <f t="shared" si="207"/>
        <v>0</v>
      </c>
      <c r="AW365" s="1369">
        <f t="shared" si="208"/>
        <v>0</v>
      </c>
      <c r="AX365" s="1369">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9">
        <f t="shared" si="207"/>
        <v>0</v>
      </c>
      <c r="AW366" s="1369">
        <f t="shared" si="208"/>
        <v>0</v>
      </c>
      <c r="AX366" s="1369">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9">
        <f t="shared" ref="AV367:AV397" si="236">A367</f>
        <v>0</v>
      </c>
      <c r="AW367" s="1369">
        <f t="shared" ref="AW367:AW397" si="237">B367</f>
        <v>0</v>
      </c>
      <c r="AX367" s="1369">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9">
        <f t="shared" si="236"/>
        <v>0</v>
      </c>
      <c r="AW368" s="1369">
        <f t="shared" si="237"/>
        <v>0</v>
      </c>
      <c r="AX368" s="1369">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9">
        <f t="shared" si="236"/>
        <v>0</v>
      </c>
      <c r="AW369" s="1369">
        <f t="shared" si="237"/>
        <v>0</v>
      </c>
      <c r="AX369" s="1369">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9">
        <f t="shared" si="236"/>
        <v>0</v>
      </c>
      <c r="AW370" s="1369">
        <f t="shared" si="237"/>
        <v>0</v>
      </c>
      <c r="AX370" s="1369">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9">
        <f t="shared" si="236"/>
        <v>0</v>
      </c>
      <c r="AW371" s="1369">
        <f t="shared" si="237"/>
        <v>0</v>
      </c>
      <c r="AX371" s="1369">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9">
        <f t="shared" si="236"/>
        <v>0</v>
      </c>
      <c r="AW372" s="1369">
        <f t="shared" si="237"/>
        <v>0</v>
      </c>
      <c r="AX372" s="1369">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9">
        <f t="shared" si="236"/>
        <v>0</v>
      </c>
      <c r="AW373" s="1369">
        <f t="shared" si="237"/>
        <v>0</v>
      </c>
      <c r="AX373" s="1369">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9">
        <f t="shared" si="236"/>
        <v>0</v>
      </c>
      <c r="AW374" s="1369">
        <f t="shared" si="237"/>
        <v>0</v>
      </c>
      <c r="AX374" s="1369">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9">
        <f t="shared" si="236"/>
        <v>0</v>
      </c>
      <c r="AW375" s="1369">
        <f t="shared" si="237"/>
        <v>0</v>
      </c>
      <c r="AX375" s="1369">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9">
        <f t="shared" si="236"/>
        <v>0</v>
      </c>
      <c r="AW376" s="1369">
        <f t="shared" si="237"/>
        <v>0</v>
      </c>
      <c r="AX376" s="1369">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9">
        <f t="shared" si="236"/>
        <v>0</v>
      </c>
      <c r="AW377" s="1369">
        <f t="shared" si="237"/>
        <v>0</v>
      </c>
      <c r="AX377" s="1369">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9">
        <f t="shared" si="236"/>
        <v>0</v>
      </c>
      <c r="AW378" s="1369">
        <f t="shared" si="237"/>
        <v>0</v>
      </c>
      <c r="AX378" s="1369">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9">
        <f t="shared" si="236"/>
        <v>0</v>
      </c>
      <c r="AW379" s="1369">
        <f t="shared" si="237"/>
        <v>0</v>
      </c>
      <c r="AX379" s="1369">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9">
        <f t="shared" si="236"/>
        <v>0</v>
      </c>
      <c r="AW380" s="1369">
        <f t="shared" si="237"/>
        <v>0</v>
      </c>
      <c r="AX380" s="1369">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9">
        <f t="shared" si="236"/>
        <v>0</v>
      </c>
      <c r="AW381" s="1369">
        <f t="shared" si="237"/>
        <v>0</v>
      </c>
      <c r="AX381" s="1369">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9">
        <f t="shared" si="236"/>
        <v>0</v>
      </c>
      <c r="AW382" s="1369">
        <f t="shared" si="237"/>
        <v>0</v>
      </c>
      <c r="AX382" s="1369">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9">
        <f t="shared" si="236"/>
        <v>0</v>
      </c>
      <c r="AW383" s="1369">
        <f t="shared" si="237"/>
        <v>0</v>
      </c>
      <c r="AX383" s="1369">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9">
        <f t="shared" si="236"/>
        <v>0</v>
      </c>
      <c r="AW384" s="1369">
        <f t="shared" si="237"/>
        <v>0</v>
      </c>
      <c r="AX384" s="1369">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9">
        <f t="shared" si="236"/>
        <v>0</v>
      </c>
      <c r="AW385" s="1369">
        <f t="shared" si="237"/>
        <v>0</v>
      </c>
      <c r="AX385" s="1369">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9">
        <f t="shared" si="236"/>
        <v>0</v>
      </c>
      <c r="AW386" s="1369">
        <f t="shared" si="237"/>
        <v>0</v>
      </c>
      <c r="AX386" s="1369">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9">
        <f t="shared" si="236"/>
        <v>0</v>
      </c>
      <c r="AW387" s="1369">
        <f t="shared" si="237"/>
        <v>0</v>
      </c>
      <c r="AX387" s="1369">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9">
        <f t="shared" si="236"/>
        <v>0</v>
      </c>
      <c r="AW388" s="1369">
        <f t="shared" si="237"/>
        <v>0</v>
      </c>
      <c r="AX388" s="1369">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9">
        <f t="shared" si="236"/>
        <v>0</v>
      </c>
      <c r="AW389" s="1369">
        <f t="shared" si="237"/>
        <v>0</v>
      </c>
      <c r="AX389" s="1369">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9">
        <f t="shared" si="236"/>
        <v>0</v>
      </c>
      <c r="AW390" s="1369">
        <f t="shared" si="237"/>
        <v>0</v>
      </c>
      <c r="AX390" s="1369">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9">
        <f t="shared" si="236"/>
        <v>0</v>
      </c>
      <c r="AW391" s="1369">
        <f t="shared" si="237"/>
        <v>0</v>
      </c>
      <c r="AX391" s="1369">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9">
        <f t="shared" si="236"/>
        <v>0</v>
      </c>
      <c r="AW392" s="1369">
        <f t="shared" si="237"/>
        <v>0</v>
      </c>
      <c r="AX392" s="1369">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9">
        <f t="shared" si="236"/>
        <v>0</v>
      </c>
      <c r="AW393" s="1369">
        <f t="shared" si="237"/>
        <v>0</v>
      </c>
      <c r="AX393" s="1369">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9">
        <f t="shared" si="236"/>
        <v>0</v>
      </c>
      <c r="AW394" s="1369">
        <f t="shared" si="237"/>
        <v>0</v>
      </c>
      <c r="AX394" s="1369">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9">
        <f t="shared" si="236"/>
        <v>0</v>
      </c>
      <c r="AW395" s="1369">
        <f t="shared" si="237"/>
        <v>0</v>
      </c>
      <c r="AX395" s="1369">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9">
        <f t="shared" si="236"/>
        <v>0</v>
      </c>
      <c r="AW396" s="1369">
        <f t="shared" si="237"/>
        <v>0</v>
      </c>
      <c r="AX396" s="1369">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9">
        <f t="shared" si="236"/>
        <v>0</v>
      </c>
      <c r="AW397" s="1369">
        <f t="shared" si="237"/>
        <v>0</v>
      </c>
      <c r="AX397" s="1369">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9">
        <f t="shared" ref="AV398:AV492" si="243">A398</f>
        <v>0</v>
      </c>
      <c r="AW398" s="1369">
        <f t="shared" ref="AW398:AW492" si="244">B398</f>
        <v>0</v>
      </c>
      <c r="AX398" s="1369">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9">
        <f t="shared" si="243"/>
        <v>0</v>
      </c>
      <c r="AW399" s="1369">
        <f t="shared" si="244"/>
        <v>0</v>
      </c>
      <c r="AX399" s="1369">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9">
        <f t="shared" si="243"/>
        <v>0</v>
      </c>
      <c r="AW400" s="1369">
        <f t="shared" si="244"/>
        <v>0</v>
      </c>
      <c r="AX400" s="1369">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9">
        <f t="shared" si="243"/>
        <v>0</v>
      </c>
      <c r="AW401" s="1369">
        <f t="shared" si="244"/>
        <v>0</v>
      </c>
      <c r="AX401" s="1369">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9">
        <f t="shared" si="243"/>
        <v>0</v>
      </c>
      <c r="AW402" s="1369">
        <f t="shared" si="244"/>
        <v>0</v>
      </c>
      <c r="AX402" s="1369">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9">
        <f t="shared" si="243"/>
        <v>0</v>
      </c>
      <c r="AW403" s="1369">
        <f t="shared" si="244"/>
        <v>0</v>
      </c>
      <c r="AX403" s="1369">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9">
        <f t="shared" si="243"/>
        <v>0</v>
      </c>
      <c r="AW404" s="1369">
        <f t="shared" si="244"/>
        <v>0</v>
      </c>
      <c r="AX404" s="1369">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9">
        <f t="shared" si="243"/>
        <v>0</v>
      </c>
      <c r="AW405" s="1369">
        <f t="shared" si="244"/>
        <v>0</v>
      </c>
      <c r="AX405" s="1369">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9">
        <f t="shared" si="243"/>
        <v>0</v>
      </c>
      <c r="AW406" s="1369">
        <f t="shared" si="244"/>
        <v>0</v>
      </c>
      <c r="AX406" s="1369">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9">
        <f t="shared" si="243"/>
        <v>0</v>
      </c>
      <c r="AW407" s="1369">
        <f t="shared" si="244"/>
        <v>0</v>
      </c>
      <c r="AX407" s="1369">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9">
        <f t="shared" si="243"/>
        <v>0</v>
      </c>
      <c r="AW408" s="1369">
        <f t="shared" si="244"/>
        <v>0</v>
      </c>
      <c r="AX408" s="1369">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9">
        <f t="shared" si="243"/>
        <v>0</v>
      </c>
      <c r="AW409" s="1369">
        <f t="shared" si="244"/>
        <v>0</v>
      </c>
      <c r="AX409" s="1369">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9">
        <f t="shared" si="243"/>
        <v>0</v>
      </c>
      <c r="AW410" s="1369">
        <f t="shared" si="244"/>
        <v>0</v>
      </c>
      <c r="AX410" s="1369">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9">
        <f t="shared" si="243"/>
        <v>0</v>
      </c>
      <c r="AW411" s="1369">
        <f t="shared" si="244"/>
        <v>0</v>
      </c>
      <c r="AX411" s="1369">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9">
        <f t="shared" si="243"/>
        <v>0</v>
      </c>
      <c r="AW412" s="1369">
        <f t="shared" si="244"/>
        <v>0</v>
      </c>
      <c r="AX412" s="1369">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9">
        <f t="shared" si="243"/>
        <v>0</v>
      </c>
      <c r="AW413" s="1369">
        <f t="shared" si="244"/>
        <v>0</v>
      </c>
      <c r="AX413" s="1369">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9">
        <f t="shared" si="243"/>
        <v>0</v>
      </c>
      <c r="AW414" s="1369">
        <f t="shared" si="244"/>
        <v>0</v>
      </c>
      <c r="AX414" s="1369">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9">
        <f t="shared" si="243"/>
        <v>0</v>
      </c>
      <c r="AW415" s="1369">
        <f t="shared" si="244"/>
        <v>0</v>
      </c>
      <c r="AX415" s="1369">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9">
        <f t="shared" si="243"/>
        <v>0</v>
      </c>
      <c r="AW416" s="1369">
        <f t="shared" si="244"/>
        <v>0</v>
      </c>
      <c r="AX416" s="1369">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9">
        <f t="shared" si="243"/>
        <v>0</v>
      </c>
      <c r="AW417" s="1369">
        <f t="shared" si="244"/>
        <v>0</v>
      </c>
      <c r="AX417" s="1369">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9">
        <f t="shared" si="243"/>
        <v>0</v>
      </c>
      <c r="AW418" s="1369">
        <f t="shared" si="244"/>
        <v>0</v>
      </c>
      <c r="AX418" s="1369">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9">
        <f t="shared" si="243"/>
        <v>0</v>
      </c>
      <c r="AW419" s="1369">
        <f t="shared" si="244"/>
        <v>0</v>
      </c>
      <c r="AX419" s="1369">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9">
        <f t="shared" si="243"/>
        <v>0</v>
      </c>
      <c r="AW420" s="1369">
        <f t="shared" si="244"/>
        <v>0</v>
      </c>
      <c r="AX420" s="1369">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9">
        <f t="shared" si="243"/>
        <v>0</v>
      </c>
      <c r="AW421" s="1369">
        <f t="shared" si="244"/>
        <v>0</v>
      </c>
      <c r="AX421" s="1369">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9">
        <f t="shared" si="243"/>
        <v>0</v>
      </c>
      <c r="AW422" s="1369">
        <f t="shared" si="244"/>
        <v>0</v>
      </c>
      <c r="AX422" s="1369">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9">
        <f t="shared" si="243"/>
        <v>0</v>
      </c>
      <c r="AW423" s="1369">
        <f t="shared" si="244"/>
        <v>0</v>
      </c>
      <c r="AX423" s="1369">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9">
        <f t="shared" si="243"/>
        <v>0</v>
      </c>
      <c r="AW424" s="1369">
        <f t="shared" si="244"/>
        <v>0</v>
      </c>
      <c r="AX424" s="1369">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9">
        <f t="shared" si="243"/>
        <v>0</v>
      </c>
      <c r="AW425" s="1369">
        <f t="shared" si="244"/>
        <v>0</v>
      </c>
      <c r="AX425" s="1369">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9">
        <f t="shared" si="243"/>
        <v>0</v>
      </c>
      <c r="AW426" s="1369">
        <f t="shared" si="244"/>
        <v>0</v>
      </c>
      <c r="AX426" s="1369">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9">
        <f t="shared" si="243"/>
        <v>0</v>
      </c>
      <c r="AW427" s="1369">
        <f t="shared" si="244"/>
        <v>0</v>
      </c>
      <c r="AX427" s="1369">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9">
        <f t="shared" si="243"/>
        <v>0</v>
      </c>
      <c r="AW428" s="1369">
        <f t="shared" si="244"/>
        <v>0</v>
      </c>
      <c r="AX428" s="1369">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9">
        <f t="shared" si="243"/>
        <v>0</v>
      </c>
      <c r="AW429" s="1369">
        <f t="shared" si="244"/>
        <v>0</v>
      </c>
      <c r="AX429" s="1369">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9">
        <f t="shared" si="243"/>
        <v>0</v>
      </c>
      <c r="AW430" s="1369">
        <f t="shared" si="244"/>
        <v>0</v>
      </c>
      <c r="AX430" s="1369">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9">
        <f t="shared" si="243"/>
        <v>0</v>
      </c>
      <c r="AW431" s="1369">
        <f t="shared" si="244"/>
        <v>0</v>
      </c>
      <c r="AX431" s="1369">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9">
        <f t="shared" si="243"/>
        <v>0</v>
      </c>
      <c r="AW432" s="1369">
        <f t="shared" si="244"/>
        <v>0</v>
      </c>
      <c r="AX432" s="1369">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9">
        <f t="shared" si="243"/>
        <v>0</v>
      </c>
      <c r="AW433" s="1369">
        <f t="shared" si="244"/>
        <v>0</v>
      </c>
      <c r="AX433" s="1369">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9">
        <f t="shared" si="243"/>
        <v>0</v>
      </c>
      <c r="AW434" s="1369">
        <f t="shared" si="244"/>
        <v>0</v>
      </c>
      <c r="AX434" s="1369">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9">
        <f t="shared" si="243"/>
        <v>0</v>
      </c>
      <c r="AW435" s="1369">
        <f t="shared" si="244"/>
        <v>0</v>
      </c>
      <c r="AX435" s="1369">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9">
        <f t="shared" si="243"/>
        <v>0</v>
      </c>
      <c r="AW436" s="1369">
        <f t="shared" si="244"/>
        <v>0</v>
      </c>
      <c r="AX436" s="1369">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9">
        <f t="shared" si="243"/>
        <v>0</v>
      </c>
      <c r="AW437" s="1369">
        <f t="shared" si="244"/>
        <v>0</v>
      </c>
      <c r="AX437" s="1369">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9">
        <f t="shared" si="243"/>
        <v>0</v>
      </c>
      <c r="AW438" s="1369">
        <f t="shared" si="244"/>
        <v>0</v>
      </c>
      <c r="AX438" s="1369">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9">
        <f t="shared" si="243"/>
        <v>0</v>
      </c>
      <c r="AW439" s="1369">
        <f t="shared" si="244"/>
        <v>0</v>
      </c>
      <c r="AX439" s="1369">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9">
        <f t="shared" si="243"/>
        <v>0</v>
      </c>
      <c r="AW440" s="1369">
        <f t="shared" si="244"/>
        <v>0</v>
      </c>
      <c r="AX440" s="1369">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9">
        <f t="shared" si="243"/>
        <v>0</v>
      </c>
      <c r="AW441" s="1369">
        <f t="shared" si="244"/>
        <v>0</v>
      </c>
      <c r="AX441" s="1369">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9">
        <f t="shared" si="243"/>
        <v>0</v>
      </c>
      <c r="AW442" s="1369">
        <f t="shared" si="244"/>
        <v>0</v>
      </c>
      <c r="AX442" s="1369">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9">
        <f t="shared" si="243"/>
        <v>0</v>
      </c>
      <c r="AW443" s="1369">
        <f t="shared" si="244"/>
        <v>0</v>
      </c>
      <c r="AX443" s="1369">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9">
        <f t="shared" si="243"/>
        <v>0</v>
      </c>
      <c r="AW444" s="1369">
        <f t="shared" si="244"/>
        <v>0</v>
      </c>
      <c r="AX444" s="1369">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9">
        <f t="shared" si="243"/>
        <v>0</v>
      </c>
      <c r="AW445" s="1369">
        <f t="shared" si="244"/>
        <v>0</v>
      </c>
      <c r="AX445" s="1369">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9">
        <f t="shared" si="243"/>
        <v>0</v>
      </c>
      <c r="AW446" s="1369">
        <f t="shared" si="244"/>
        <v>0</v>
      </c>
      <c r="AX446" s="1369">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9">
        <f t="shared" si="243"/>
        <v>0</v>
      </c>
      <c r="AW447" s="1369">
        <f t="shared" si="244"/>
        <v>0</v>
      </c>
      <c r="AX447" s="1369">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9">
        <f t="shared" si="243"/>
        <v>0</v>
      </c>
      <c r="AW448" s="1369">
        <f t="shared" si="244"/>
        <v>0</v>
      </c>
      <c r="AX448" s="1369">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9">
        <f t="shared" si="243"/>
        <v>0</v>
      </c>
      <c r="AW449" s="1369">
        <f t="shared" si="244"/>
        <v>0</v>
      </c>
      <c r="AX449" s="1369">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9">
        <f t="shared" si="243"/>
        <v>0</v>
      </c>
      <c r="AW450" s="1369">
        <f t="shared" si="244"/>
        <v>0</v>
      </c>
      <c r="AX450" s="1369">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9">
        <f t="shared" si="243"/>
        <v>0</v>
      </c>
      <c r="AW451" s="1369">
        <f t="shared" si="244"/>
        <v>0</v>
      </c>
      <c r="AX451" s="1369">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9">
        <f t="shared" si="243"/>
        <v>0</v>
      </c>
      <c r="AW452" s="1369">
        <f t="shared" si="244"/>
        <v>0</v>
      </c>
      <c r="AX452" s="1369">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9">
        <f t="shared" si="243"/>
        <v>0</v>
      </c>
      <c r="AW453" s="1369">
        <f t="shared" si="244"/>
        <v>0</v>
      </c>
      <c r="AX453" s="1369">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9">
        <f t="shared" si="243"/>
        <v>0</v>
      </c>
      <c r="AW454" s="1369">
        <f t="shared" si="244"/>
        <v>0</v>
      </c>
      <c r="AX454" s="1369">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9">
        <f t="shared" si="243"/>
        <v>0</v>
      </c>
      <c r="AW455" s="1369">
        <f t="shared" si="244"/>
        <v>0</v>
      </c>
      <c r="AX455" s="1369">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9">
        <f t="shared" si="243"/>
        <v>0</v>
      </c>
      <c r="AW456" s="1369">
        <f t="shared" si="244"/>
        <v>0</v>
      </c>
      <c r="AX456" s="1369">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9">
        <f t="shared" si="243"/>
        <v>0</v>
      </c>
      <c r="AW457" s="1369">
        <f t="shared" si="244"/>
        <v>0</v>
      </c>
      <c r="AX457" s="1369">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9">
        <f t="shared" si="243"/>
        <v>0</v>
      </c>
      <c r="AW458" s="1369">
        <f t="shared" si="244"/>
        <v>0</v>
      </c>
      <c r="AX458" s="1369">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9">
        <f t="shared" si="243"/>
        <v>0</v>
      </c>
      <c r="AW459" s="1369">
        <f t="shared" si="244"/>
        <v>0</v>
      </c>
      <c r="AX459" s="1369">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9">
        <f t="shared" si="243"/>
        <v>0</v>
      </c>
      <c r="AW460" s="1369">
        <f t="shared" si="244"/>
        <v>0</v>
      </c>
      <c r="AX460" s="1369">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9">
        <f t="shared" si="243"/>
        <v>0</v>
      </c>
      <c r="AW461" s="1369">
        <f t="shared" si="244"/>
        <v>0</v>
      </c>
      <c r="AX461" s="1369">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9">
        <f t="shared" si="243"/>
        <v>0</v>
      </c>
      <c r="AW462" s="1369">
        <f t="shared" si="244"/>
        <v>0</v>
      </c>
      <c r="AX462" s="1369">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9">
        <f t="shared" si="243"/>
        <v>0</v>
      </c>
      <c r="AW463" s="1369">
        <f t="shared" si="244"/>
        <v>0</v>
      </c>
      <c r="AX463" s="1369">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9">
        <f t="shared" si="243"/>
        <v>0</v>
      </c>
      <c r="AW464" s="1369">
        <f t="shared" si="244"/>
        <v>0</v>
      </c>
      <c r="AX464" s="1369">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9">
        <f t="shared" si="243"/>
        <v>0</v>
      </c>
      <c r="AW465" s="1369">
        <f t="shared" si="244"/>
        <v>0</v>
      </c>
      <c r="AX465" s="1369">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9">
        <f t="shared" si="243"/>
        <v>0</v>
      </c>
      <c r="AW466" s="1369">
        <f t="shared" si="244"/>
        <v>0</v>
      </c>
      <c r="AX466" s="1369">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9">
        <f t="shared" si="243"/>
        <v>0</v>
      </c>
      <c r="AW467" s="1369">
        <f t="shared" si="244"/>
        <v>0</v>
      </c>
      <c r="AX467" s="1369">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9">
        <f t="shared" si="243"/>
        <v>0</v>
      </c>
      <c r="AW468" s="1369">
        <f t="shared" si="244"/>
        <v>0</v>
      </c>
      <c r="AX468" s="1369">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9">
        <f t="shared" si="243"/>
        <v>0</v>
      </c>
      <c r="AW469" s="1369">
        <f t="shared" si="244"/>
        <v>0</v>
      </c>
      <c r="AX469" s="1369">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9">
        <f t="shared" si="243"/>
        <v>0</v>
      </c>
      <c r="AW470" s="1369">
        <f t="shared" si="244"/>
        <v>0</v>
      </c>
      <c r="AX470" s="1369">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9">
        <f t="shared" si="243"/>
        <v>0</v>
      </c>
      <c r="AW471" s="1369">
        <f t="shared" si="244"/>
        <v>0</v>
      </c>
      <c r="AX471" s="1369">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9">
        <f t="shared" si="243"/>
        <v>0</v>
      </c>
      <c r="AW472" s="1369">
        <f t="shared" si="244"/>
        <v>0</v>
      </c>
      <c r="AX472" s="1369">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9">
        <f t="shared" si="243"/>
        <v>0</v>
      </c>
      <c r="AW473" s="1369">
        <f t="shared" si="244"/>
        <v>0</v>
      </c>
      <c r="AX473" s="1369">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9">
        <f t="shared" si="243"/>
        <v>0</v>
      </c>
      <c r="AW474" s="1369">
        <f t="shared" si="244"/>
        <v>0</v>
      </c>
      <c r="AX474" s="1369">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9">
        <f t="shared" si="243"/>
        <v>0</v>
      </c>
      <c r="AW475" s="1369">
        <f t="shared" si="244"/>
        <v>0</v>
      </c>
      <c r="AX475" s="1369">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9">
        <f t="shared" si="243"/>
        <v>0</v>
      </c>
      <c r="AW476" s="1369">
        <f t="shared" si="244"/>
        <v>0</v>
      </c>
      <c r="AX476" s="1369">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9">
        <f t="shared" si="243"/>
        <v>0</v>
      </c>
      <c r="AW477" s="1369">
        <f t="shared" si="244"/>
        <v>0</v>
      </c>
      <c r="AX477" s="1369">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9">
        <f t="shared" si="243"/>
        <v>0</v>
      </c>
      <c r="AW478" s="1369">
        <f t="shared" si="244"/>
        <v>0</v>
      </c>
      <c r="AX478" s="1369">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9">
        <f t="shared" si="243"/>
        <v>0</v>
      </c>
      <c r="AW479" s="1369">
        <f t="shared" si="244"/>
        <v>0</v>
      </c>
      <c r="AX479" s="1369">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9">
        <f t="shared" si="243"/>
        <v>0</v>
      </c>
      <c r="AW480" s="1369">
        <f t="shared" si="244"/>
        <v>0</v>
      </c>
      <c r="AX480" s="1369">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9">
        <f t="shared" si="243"/>
        <v>0</v>
      </c>
      <c r="AW481" s="1369">
        <f t="shared" si="244"/>
        <v>0</v>
      </c>
      <c r="AX481" s="1369">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9">
        <f t="shared" si="243"/>
        <v>0</v>
      </c>
      <c r="AW482" s="1369">
        <f t="shared" si="244"/>
        <v>0</v>
      </c>
      <c r="AX482" s="1369">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9">
        <f t="shared" si="243"/>
        <v>0</v>
      </c>
      <c r="AW483" s="1369">
        <f t="shared" si="244"/>
        <v>0</v>
      </c>
      <c r="AX483" s="1369">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9">
        <f t="shared" si="243"/>
        <v>0</v>
      </c>
      <c r="AW484" s="1369">
        <f t="shared" si="244"/>
        <v>0</v>
      </c>
      <c r="AX484" s="1369">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9">
        <f t="shared" si="243"/>
        <v>0</v>
      </c>
      <c r="AW485" s="1369">
        <f t="shared" si="244"/>
        <v>0</v>
      </c>
      <c r="AX485" s="1369">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9">
        <f t="shared" si="243"/>
        <v>0</v>
      </c>
      <c r="AW486" s="1369">
        <f t="shared" si="244"/>
        <v>0</v>
      </c>
      <c r="AX486" s="1369">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9">
        <f t="shared" si="243"/>
        <v>0</v>
      </c>
      <c r="AW487" s="1369">
        <f t="shared" si="244"/>
        <v>0</v>
      </c>
      <c r="AX487" s="1369">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9">
        <f t="shared" si="243"/>
        <v>0</v>
      </c>
      <c r="AW488" s="1369">
        <f t="shared" si="244"/>
        <v>0</v>
      </c>
      <c r="AX488" s="1369">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9">
        <f t="shared" si="243"/>
        <v>0</v>
      </c>
      <c r="AW489" s="1369">
        <f t="shared" si="244"/>
        <v>0</v>
      </c>
      <c r="AX489" s="1369">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9">
        <f t="shared" si="243"/>
        <v>0</v>
      </c>
      <c r="AW490" s="1369">
        <f t="shared" si="244"/>
        <v>0</v>
      </c>
      <c r="AX490" s="1369">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9">
        <f t="shared" si="243"/>
        <v>0</v>
      </c>
      <c r="AW491" s="1369">
        <f t="shared" si="244"/>
        <v>0</v>
      </c>
      <c r="AX491" s="1369">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9">
        <f t="shared" si="243"/>
        <v>0</v>
      </c>
      <c r="AW492" s="1369">
        <f t="shared" si="244"/>
        <v>0</v>
      </c>
      <c r="AX492" s="1369">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9">
        <f t="shared" ref="AV493:AV520" si="294">A493</f>
        <v>0</v>
      </c>
      <c r="AW493" s="1369">
        <f t="shared" ref="AW493:AW520" si="295">B493</f>
        <v>0</v>
      </c>
      <c r="AX493" s="1369">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9">
        <f t="shared" si="294"/>
        <v>0</v>
      </c>
      <c r="AW494" s="1369">
        <f t="shared" si="295"/>
        <v>0</v>
      </c>
      <c r="AX494" s="1369">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9">
        <f t="shared" si="294"/>
        <v>0</v>
      </c>
      <c r="AW495" s="1369">
        <f t="shared" si="295"/>
        <v>0</v>
      </c>
      <c r="AX495" s="1369">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9">
        <f t="shared" si="294"/>
        <v>0</v>
      </c>
      <c r="AW496" s="1369">
        <f t="shared" si="295"/>
        <v>0</v>
      </c>
      <c r="AX496" s="1369">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9">
        <f t="shared" si="294"/>
        <v>0</v>
      </c>
      <c r="AW497" s="1369">
        <f t="shared" si="295"/>
        <v>0</v>
      </c>
      <c r="AX497" s="1369">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9">
        <f t="shared" si="294"/>
        <v>0</v>
      </c>
      <c r="AW498" s="1369">
        <f t="shared" si="295"/>
        <v>0</v>
      </c>
      <c r="AX498" s="1369">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9">
        <f t="shared" si="294"/>
        <v>0</v>
      </c>
      <c r="AW499" s="1369">
        <f t="shared" si="295"/>
        <v>0</v>
      </c>
      <c r="AX499" s="1369">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9">
        <f t="shared" si="294"/>
        <v>0</v>
      </c>
      <c r="AW500" s="1369">
        <f t="shared" si="295"/>
        <v>0</v>
      </c>
      <c r="AX500" s="1369">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9">
        <f t="shared" si="294"/>
        <v>0</v>
      </c>
      <c r="AW501" s="1369">
        <f t="shared" si="295"/>
        <v>0</v>
      </c>
      <c r="AX501" s="1369">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9">
        <f t="shared" si="294"/>
        <v>0</v>
      </c>
      <c r="AW502" s="1369">
        <f t="shared" si="295"/>
        <v>0</v>
      </c>
      <c r="AX502" s="1369">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9">
        <f t="shared" si="294"/>
        <v>0</v>
      </c>
      <c r="AW503" s="1369">
        <f t="shared" si="295"/>
        <v>0</v>
      </c>
      <c r="AX503" s="1369">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9">
        <f t="shared" si="294"/>
        <v>0</v>
      </c>
      <c r="AW504" s="1369">
        <f t="shared" si="295"/>
        <v>0</v>
      </c>
      <c r="AX504" s="1369">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9">
        <f t="shared" si="294"/>
        <v>0</v>
      </c>
      <c r="AW505" s="1369">
        <f t="shared" si="295"/>
        <v>0</v>
      </c>
      <c r="AX505" s="1369">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9">
        <f t="shared" si="294"/>
        <v>0</v>
      </c>
      <c r="AW506" s="1369">
        <f t="shared" si="295"/>
        <v>0</v>
      </c>
      <c r="AX506" s="1369">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9">
        <f t="shared" si="294"/>
        <v>0</v>
      </c>
      <c r="AW507" s="1369">
        <f t="shared" si="295"/>
        <v>0</v>
      </c>
      <c r="AX507" s="1369">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9">
        <f t="shared" si="294"/>
        <v>0</v>
      </c>
      <c r="AW508" s="1369">
        <f t="shared" si="295"/>
        <v>0</v>
      </c>
      <c r="AX508" s="1369">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9">
        <f t="shared" si="294"/>
        <v>0</v>
      </c>
      <c r="AW509" s="1369">
        <f t="shared" si="295"/>
        <v>0</v>
      </c>
      <c r="AX509" s="1369">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9">
        <f t="shared" si="294"/>
        <v>0</v>
      </c>
      <c r="AW510" s="1369">
        <f t="shared" si="295"/>
        <v>0</v>
      </c>
      <c r="AX510" s="1369">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9">
        <f t="shared" si="294"/>
        <v>0</v>
      </c>
      <c r="AW511" s="1369">
        <f t="shared" si="295"/>
        <v>0</v>
      </c>
      <c r="AX511" s="1369">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9">
        <f t="shared" si="294"/>
        <v>0</v>
      </c>
      <c r="AW512" s="1369">
        <f t="shared" si="295"/>
        <v>0</v>
      </c>
      <c r="AX512" s="1369">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9">
        <f t="shared" si="294"/>
        <v>0</v>
      </c>
      <c r="AW513" s="1369">
        <f t="shared" si="295"/>
        <v>0</v>
      </c>
      <c r="AX513" s="1369">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9">
        <f t="shared" si="294"/>
        <v>0</v>
      </c>
      <c r="AW514" s="1369">
        <f t="shared" si="295"/>
        <v>0</v>
      </c>
      <c r="AX514" s="1369">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9">
        <f t="shared" si="294"/>
        <v>0</v>
      </c>
      <c r="AW515" s="1369">
        <f t="shared" si="295"/>
        <v>0</v>
      </c>
      <c r="AX515" s="1369">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9">
        <f t="shared" si="294"/>
        <v>0</v>
      </c>
      <c r="AW516" s="1369">
        <f t="shared" si="295"/>
        <v>0</v>
      </c>
      <c r="AX516" s="1369">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9">
        <f t="shared" si="294"/>
        <v>0</v>
      </c>
      <c r="AW517" s="1369">
        <f t="shared" si="295"/>
        <v>0</v>
      </c>
      <c r="AX517" s="1369">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9">
        <f t="shared" si="294"/>
        <v>0</v>
      </c>
      <c r="AW518" s="1369">
        <f t="shared" si="295"/>
        <v>0</v>
      </c>
      <c r="AX518" s="1369">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9">
        <f t="shared" si="294"/>
        <v>0</v>
      </c>
      <c r="AW519" s="1369">
        <f t="shared" si="295"/>
        <v>0</v>
      </c>
      <c r="AX519" s="1369">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9">
        <f t="shared" si="294"/>
        <v>0</v>
      </c>
      <c r="AW520" s="1369">
        <f t="shared" si="295"/>
        <v>0</v>
      </c>
      <c r="AX520" s="1369">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9">
        <f t="shared" ref="AV521:AV552" si="298">A521</f>
        <v>0</v>
      </c>
      <c r="AW521" s="1369">
        <f t="shared" ref="AW521:AW552" si="299">B521</f>
        <v>0</v>
      </c>
      <c r="AX521" s="1369">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9">
        <f t="shared" si="298"/>
        <v>0</v>
      </c>
      <c r="AW522" s="1369">
        <f t="shared" si="299"/>
        <v>0</v>
      </c>
      <c r="AX522" s="1369">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9">
        <f t="shared" si="298"/>
        <v>0</v>
      </c>
      <c r="AW523" s="1369">
        <f t="shared" si="299"/>
        <v>0</v>
      </c>
      <c r="AX523" s="1369">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9">
        <f t="shared" si="298"/>
        <v>0</v>
      </c>
      <c r="AW524" s="1369">
        <f t="shared" si="299"/>
        <v>0</v>
      </c>
      <c r="AX524" s="1369">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9">
        <f t="shared" si="298"/>
        <v>0</v>
      </c>
      <c r="AW525" s="1369">
        <f t="shared" si="299"/>
        <v>0</v>
      </c>
      <c r="AX525" s="1369">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9">
        <f t="shared" si="298"/>
        <v>0</v>
      </c>
      <c r="AW526" s="1369">
        <f t="shared" si="299"/>
        <v>0</v>
      </c>
      <c r="AX526" s="1369">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9">
        <f t="shared" si="298"/>
        <v>0</v>
      </c>
      <c r="AW527" s="1369">
        <f t="shared" si="299"/>
        <v>0</v>
      </c>
      <c r="AX527" s="1369">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9">
        <f t="shared" si="298"/>
        <v>0</v>
      </c>
      <c r="AW528" s="1369">
        <f t="shared" si="299"/>
        <v>0</v>
      </c>
      <c r="AX528" s="1369">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9">
        <f t="shared" si="298"/>
        <v>0</v>
      </c>
      <c r="AW529" s="1369">
        <f t="shared" si="299"/>
        <v>0</v>
      </c>
      <c r="AX529" s="1369">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9">
        <f t="shared" si="298"/>
        <v>0</v>
      </c>
      <c r="AW530" s="1369">
        <f t="shared" si="299"/>
        <v>0</v>
      </c>
      <c r="AX530" s="1369">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9">
        <f t="shared" si="298"/>
        <v>0</v>
      </c>
      <c r="AW531" s="1369">
        <f t="shared" si="299"/>
        <v>0</v>
      </c>
      <c r="AX531" s="1369">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9">
        <f t="shared" si="298"/>
        <v>0</v>
      </c>
      <c r="AW532" s="1369">
        <f t="shared" si="299"/>
        <v>0</v>
      </c>
      <c r="AX532" s="1369">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9">
        <f t="shared" si="298"/>
        <v>0</v>
      </c>
      <c r="AW533" s="1369">
        <f t="shared" si="299"/>
        <v>0</v>
      </c>
      <c r="AX533" s="1369">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9">
        <f t="shared" si="298"/>
        <v>0</v>
      </c>
      <c r="AW534" s="1369">
        <f t="shared" si="299"/>
        <v>0</v>
      </c>
      <c r="AX534" s="1369">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9">
        <f t="shared" si="298"/>
        <v>0</v>
      </c>
      <c r="AW535" s="1369">
        <f t="shared" si="299"/>
        <v>0</v>
      </c>
      <c r="AX535" s="1369">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9">
        <f t="shared" si="298"/>
        <v>0</v>
      </c>
      <c r="AW536" s="1369">
        <f t="shared" si="299"/>
        <v>0</v>
      </c>
      <c r="AX536" s="1369">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9">
        <f t="shared" si="298"/>
        <v>0</v>
      </c>
      <c r="AW537" s="1369">
        <f t="shared" si="299"/>
        <v>0</v>
      </c>
      <c r="AX537" s="1369">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9">
        <f t="shared" si="298"/>
        <v>0</v>
      </c>
      <c r="AW538" s="1369">
        <f t="shared" si="299"/>
        <v>0</v>
      </c>
      <c r="AX538" s="1369">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9">
        <f t="shared" si="298"/>
        <v>0</v>
      </c>
      <c r="AW539" s="1369">
        <f t="shared" si="299"/>
        <v>0</v>
      </c>
      <c r="AX539" s="1369">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9">
        <f t="shared" si="298"/>
        <v>0</v>
      </c>
      <c r="AW540" s="1369">
        <f t="shared" si="299"/>
        <v>0</v>
      </c>
      <c r="AX540" s="1369">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9">
        <f t="shared" si="298"/>
        <v>0</v>
      </c>
      <c r="AW541" s="1369">
        <f t="shared" si="299"/>
        <v>0</v>
      </c>
      <c r="AX541" s="1369">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9">
        <f t="shared" si="298"/>
        <v>0</v>
      </c>
      <c r="AW542" s="1369">
        <f t="shared" si="299"/>
        <v>0</v>
      </c>
      <c r="AX542" s="1369">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9">
        <f t="shared" si="298"/>
        <v>0</v>
      </c>
      <c r="AW543" s="1369">
        <f t="shared" si="299"/>
        <v>0</v>
      </c>
      <c r="AX543" s="1369">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9">
        <f t="shared" si="298"/>
        <v>0</v>
      </c>
      <c r="AW544" s="1369">
        <f t="shared" si="299"/>
        <v>0</v>
      </c>
      <c r="AX544" s="1369">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9">
        <f t="shared" si="298"/>
        <v>0</v>
      </c>
      <c r="AW545" s="1369">
        <f t="shared" si="299"/>
        <v>0</v>
      </c>
      <c r="AX545" s="1369">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9">
        <f t="shared" si="298"/>
        <v>0</v>
      </c>
      <c r="AW546" s="1369">
        <f t="shared" si="299"/>
        <v>0</v>
      </c>
      <c r="AX546" s="1369">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9">
        <f t="shared" si="298"/>
        <v>0</v>
      </c>
      <c r="AW547" s="1369">
        <f t="shared" si="299"/>
        <v>0</v>
      </c>
      <c r="AX547" s="1369">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9">
        <f t="shared" si="298"/>
        <v>0</v>
      </c>
      <c r="AW548" s="1369">
        <f t="shared" si="299"/>
        <v>0</v>
      </c>
      <c r="AX548" s="1369">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9">
        <f t="shared" si="298"/>
        <v>0</v>
      </c>
      <c r="AW549" s="1369">
        <f t="shared" si="299"/>
        <v>0</v>
      </c>
      <c r="AX549" s="1369">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9">
        <f t="shared" si="298"/>
        <v>0</v>
      </c>
      <c r="AW550" s="1369">
        <f t="shared" si="299"/>
        <v>0</v>
      </c>
      <c r="AX550" s="1369">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9">
        <f t="shared" si="298"/>
        <v>0</v>
      </c>
      <c r="AW551" s="1369">
        <f t="shared" si="299"/>
        <v>0</v>
      </c>
      <c r="AX551" s="1369">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9">
        <f t="shared" si="298"/>
        <v>0</v>
      </c>
      <c r="AW552" s="1369">
        <f t="shared" si="299"/>
        <v>0</v>
      </c>
      <c r="AX552" s="1369">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9">
        <f t="shared" ref="AV553:AV587" si="330">A553</f>
        <v>0</v>
      </c>
      <c r="AW553" s="1369">
        <f t="shared" ref="AW553:AW587" si="331">B553</f>
        <v>0</v>
      </c>
      <c r="AX553" s="1369">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9">
        <f t="shared" si="330"/>
        <v>0</v>
      </c>
      <c r="AW554" s="1369">
        <f t="shared" si="331"/>
        <v>0</v>
      </c>
      <c r="AX554" s="1369">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9">
        <f t="shared" si="330"/>
        <v>0</v>
      </c>
      <c r="AW555" s="1369">
        <f t="shared" si="331"/>
        <v>0</v>
      </c>
      <c r="AX555" s="1369">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9">
        <f t="shared" si="330"/>
        <v>0</v>
      </c>
      <c r="AW556" s="1369">
        <f t="shared" si="331"/>
        <v>0</v>
      </c>
      <c r="AX556" s="1369">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9">
        <f t="shared" si="330"/>
        <v>0</v>
      </c>
      <c r="AW557" s="1369">
        <f t="shared" si="331"/>
        <v>0</v>
      </c>
      <c r="AX557" s="1369">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9">
        <f t="shared" si="330"/>
        <v>0</v>
      </c>
      <c r="AW558" s="1369">
        <f t="shared" si="331"/>
        <v>0</v>
      </c>
      <c r="AX558" s="1369">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9">
        <f t="shared" si="330"/>
        <v>0</v>
      </c>
      <c r="AW559" s="1369">
        <f t="shared" si="331"/>
        <v>0</v>
      </c>
      <c r="AX559" s="1369">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9">
        <f t="shared" si="330"/>
        <v>0</v>
      </c>
      <c r="AW560" s="1369">
        <f t="shared" si="331"/>
        <v>0</v>
      </c>
      <c r="AX560" s="1369">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9">
        <f t="shared" si="330"/>
        <v>0</v>
      </c>
      <c r="AW561" s="1369">
        <f t="shared" si="331"/>
        <v>0</v>
      </c>
      <c r="AX561" s="1369">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9">
        <f t="shared" si="330"/>
        <v>0</v>
      </c>
      <c r="AW562" s="1369">
        <f t="shared" si="331"/>
        <v>0</v>
      </c>
      <c r="AX562" s="1369">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9">
        <f t="shared" si="330"/>
        <v>0</v>
      </c>
      <c r="AW563" s="1369">
        <f t="shared" si="331"/>
        <v>0</v>
      </c>
      <c r="AX563" s="1369">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9">
        <f t="shared" si="330"/>
        <v>0</v>
      </c>
      <c r="AW564" s="1369">
        <f t="shared" si="331"/>
        <v>0</v>
      </c>
      <c r="AX564" s="1369">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9">
        <f t="shared" si="330"/>
        <v>0</v>
      </c>
      <c r="AW565" s="1369">
        <f t="shared" si="331"/>
        <v>0</v>
      </c>
      <c r="AX565" s="1369">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9">
        <f t="shared" si="330"/>
        <v>0</v>
      </c>
      <c r="AW566" s="1369">
        <f t="shared" si="331"/>
        <v>0</v>
      </c>
      <c r="AX566" s="1369">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9">
        <f t="shared" si="330"/>
        <v>0</v>
      </c>
      <c r="AW567" s="1369">
        <f t="shared" si="331"/>
        <v>0</v>
      </c>
      <c r="AX567" s="1369">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9">
        <f t="shared" si="330"/>
        <v>0</v>
      </c>
      <c r="AW568" s="1369">
        <f t="shared" si="331"/>
        <v>0</v>
      </c>
      <c r="AX568" s="1369">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9">
        <f t="shared" si="330"/>
        <v>0</v>
      </c>
      <c r="AW569" s="1369">
        <f t="shared" si="331"/>
        <v>0</v>
      </c>
      <c r="AX569" s="1369">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9">
        <f t="shared" si="330"/>
        <v>0</v>
      </c>
      <c r="AW570" s="1369">
        <f t="shared" si="331"/>
        <v>0</v>
      </c>
      <c r="AX570" s="1369">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9">
        <f t="shared" si="330"/>
        <v>0</v>
      </c>
      <c r="AW571" s="1369">
        <f t="shared" si="331"/>
        <v>0</v>
      </c>
      <c r="AX571" s="1369">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9">
        <f t="shared" si="330"/>
        <v>0</v>
      </c>
      <c r="AW572" s="1369">
        <f t="shared" si="331"/>
        <v>0</v>
      </c>
      <c r="AX572" s="1369">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9">
        <f t="shared" si="330"/>
        <v>0</v>
      </c>
      <c r="AW573" s="1369">
        <f t="shared" si="331"/>
        <v>0</v>
      </c>
      <c r="AX573" s="1369">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9">
        <f t="shared" si="330"/>
        <v>0</v>
      </c>
      <c r="AW574" s="1369">
        <f t="shared" si="331"/>
        <v>0</v>
      </c>
      <c r="AX574" s="1369">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9">
        <f t="shared" si="330"/>
        <v>0</v>
      </c>
      <c r="AW575" s="1369">
        <f t="shared" si="331"/>
        <v>0</v>
      </c>
      <c r="AX575" s="1369">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9">
        <f t="shared" si="330"/>
        <v>0</v>
      </c>
      <c r="AW576" s="1369">
        <f t="shared" si="331"/>
        <v>0</v>
      </c>
      <c r="AX576" s="1369">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9">
        <f t="shared" si="330"/>
        <v>0</v>
      </c>
      <c r="AW577" s="1369">
        <f t="shared" si="331"/>
        <v>0</v>
      </c>
      <c r="AX577" s="1369">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9">
        <f t="shared" si="330"/>
        <v>0</v>
      </c>
      <c r="AW578" s="1369">
        <f t="shared" si="331"/>
        <v>0</v>
      </c>
      <c r="AX578" s="1369">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9">
        <f t="shared" si="330"/>
        <v>0</v>
      </c>
      <c r="AW579" s="1369">
        <f t="shared" si="331"/>
        <v>0</v>
      </c>
      <c r="AX579" s="1369">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9">
        <f t="shared" si="330"/>
        <v>0</v>
      </c>
      <c r="AW580" s="1369">
        <f t="shared" si="331"/>
        <v>0</v>
      </c>
      <c r="AX580" s="1369">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9">
        <f t="shared" si="330"/>
        <v>0</v>
      </c>
      <c r="AW581" s="1369">
        <f t="shared" si="331"/>
        <v>0</v>
      </c>
      <c r="AX581" s="1369">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9">
        <f t="shared" si="330"/>
        <v>0</v>
      </c>
      <c r="AW582" s="1369">
        <f t="shared" si="331"/>
        <v>0</v>
      </c>
      <c r="AX582" s="1369">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9">
        <f t="shared" si="330"/>
        <v>0</v>
      </c>
      <c r="AW583" s="1369">
        <f t="shared" si="331"/>
        <v>0</v>
      </c>
      <c r="AX583" s="1369">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9">
        <f t="shared" si="330"/>
        <v>0</v>
      </c>
      <c r="AW584" s="1369">
        <f t="shared" si="331"/>
        <v>0</v>
      </c>
      <c r="AX584" s="1369">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9">
        <f t="shared" si="330"/>
        <v>0</v>
      </c>
      <c r="AW585" s="1369">
        <f t="shared" si="331"/>
        <v>0</v>
      </c>
      <c r="AX585" s="1369">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9">
        <f t="shared" si="330"/>
        <v>0</v>
      </c>
      <c r="AW586" s="1369">
        <f t="shared" si="331"/>
        <v>0</v>
      </c>
      <c r="AX586" s="1369">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9">
        <f t="shared" si="330"/>
        <v>0</v>
      </c>
      <c r="AW587" s="1369">
        <f t="shared" si="331"/>
        <v>0</v>
      </c>
      <c r="AX587" s="1369">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128" customWidth="1"/>
    <col min="2" max="2" width="10.25" style="3128" customWidth="1"/>
    <col min="3" max="3" width="18.5" style="3128" customWidth="1"/>
    <col min="4" max="4" width="11.625" style="3128" customWidth="1"/>
    <col min="5" max="5" width="13.375" style="3128" customWidth="1"/>
    <col min="6" max="8" width="11.5" style="3128" customWidth="1"/>
    <col min="9" max="9" width="11.125" style="3128" customWidth="1"/>
    <col min="10" max="10" width="3.125" style="3129" customWidth="1"/>
    <col min="11" max="16" width="10" style="3128" customWidth="1"/>
    <col min="17" max="17" width="2.625" style="3128" customWidth="1"/>
    <col min="18" max="18" width="9.375" style="3128" customWidth="1"/>
    <col min="19" max="19" width="10.5" style="3128" customWidth="1"/>
    <col min="20" max="16384" width="9.25" style="3128"/>
  </cols>
  <sheetData>
    <row r="1" ht="19.5" spans="1:16">
      <c r="A1" s="2490" t="s">
        <v>556</v>
      </c>
      <c r="B1" s="2576"/>
      <c r="C1" s="2576"/>
      <c r="D1" s="2576"/>
      <c r="E1" s="2576"/>
      <c r="F1" s="2576"/>
      <c r="G1" s="2576"/>
      <c r="H1" s="2576"/>
      <c r="I1" s="2576"/>
      <c r="J1" s="2576"/>
      <c r="K1" s="2576"/>
      <c r="L1" s="2576"/>
      <c r="M1" s="2576"/>
      <c r="N1" s="2576"/>
      <c r="O1" s="2576"/>
      <c r="P1" s="2576"/>
    </row>
    <row r="2" spans="1:16">
      <c r="A2" s="2406" t="s">
        <v>557</v>
      </c>
      <c r="B2" s="2406"/>
      <c r="C2" s="2406"/>
      <c r="D2" s="2406" t="s">
        <v>558</v>
      </c>
      <c r="E2" s="3130" t="s">
        <v>559</v>
      </c>
      <c r="F2" s="3131"/>
      <c r="G2" s="3132"/>
      <c r="H2" s="3133"/>
      <c r="I2" s="2754" t="s">
        <v>560</v>
      </c>
      <c r="J2" s="3131"/>
      <c r="K2" s="3131"/>
      <c r="L2" s="3131"/>
      <c r="M2" s="3131"/>
      <c r="N2" s="1498"/>
      <c r="O2" s="3131"/>
      <c r="P2" s="3131"/>
    </row>
    <row r="3" ht="15.75" spans="1:16">
      <c r="A3" s="3134" t="s">
        <v>561</v>
      </c>
      <c r="B3" s="3134"/>
      <c r="C3" s="3134"/>
      <c r="D3" s="3135">
        <f>'数据-基础表'!AY6</f>
        <v>3800.1</v>
      </c>
      <c r="E3" s="3135">
        <f>'数据-基础表'!AZ5</f>
        <v>23244.54</v>
      </c>
      <c r="F3" s="3131"/>
      <c r="G3" s="3136"/>
      <c r="H3" s="2524" t="s">
        <v>562</v>
      </c>
      <c r="I3" s="3199">
        <f>ROUND('数据-基础表'!B3/'数据-基础表'!A3,2)</f>
        <v>6.12</v>
      </c>
      <c r="J3" s="3131"/>
      <c r="K3" s="3131"/>
      <c r="L3" s="3131"/>
      <c r="M3" s="3131"/>
      <c r="N3" s="1498"/>
      <c r="O3" s="3131"/>
      <c r="P3" s="3131"/>
    </row>
    <row r="4" ht="15" spans="1:16">
      <c r="A4" s="2752"/>
      <c r="B4" s="2753"/>
      <c r="C4" s="3137"/>
      <c r="D4" s="3138" t="s">
        <v>558</v>
      </c>
      <c r="E4" s="3139" t="s">
        <v>559</v>
      </c>
      <c r="F4" s="3131"/>
      <c r="G4" s="3140" t="s">
        <v>563</v>
      </c>
      <c r="H4" s="2524" t="s">
        <v>564</v>
      </c>
      <c r="I4" s="3199">
        <f>ROUND(SUMIF('数据-基础表'!I9:AS9,"地上",'数据-基础表'!I5:AS5)/'数据-基础表'!A3,2)</f>
        <v>5.79</v>
      </c>
      <c r="J4" s="3131"/>
      <c r="K4" s="3131"/>
      <c r="L4" s="3131"/>
      <c r="M4" s="3131"/>
      <c r="N4" s="1498"/>
      <c r="O4" s="3131"/>
      <c r="P4" s="3131"/>
    </row>
    <row r="5" spans="1:16">
      <c r="A5" s="3141" t="s">
        <v>565</v>
      </c>
      <c r="B5" s="1385" t="s">
        <v>566</v>
      </c>
      <c r="C5" s="1385"/>
      <c r="D5" s="3142">
        <f>ROUND($D$3*E5/$E$3,2)</f>
        <v>0</v>
      </c>
      <c r="E5" s="3143">
        <f>SUMIF('数据-基础表'!$11:$11,"住宅",'数据-基础表'!$5:$5)</f>
        <v>0</v>
      </c>
      <c r="F5" s="3131"/>
      <c r="G5" s="3136"/>
      <c r="H5" s="2524" t="s">
        <v>562</v>
      </c>
      <c r="I5" s="3199">
        <f>ROUND(E31/D31,2)</f>
        <v>6.12</v>
      </c>
      <c r="J5" s="3131"/>
      <c r="K5" s="3131"/>
      <c r="L5" s="3131"/>
      <c r="M5" s="3131"/>
      <c r="N5" s="3131"/>
      <c r="O5" s="3131"/>
      <c r="P5" s="3131"/>
    </row>
    <row r="6" ht="15" spans="1:16">
      <c r="A6" s="3144"/>
      <c r="B6" s="1385" t="s">
        <v>567</v>
      </c>
      <c r="C6" s="1385"/>
      <c r="D6" s="3142">
        <f>ROUND($D$3*E6/$E$3,2)</f>
        <v>3800.1</v>
      </c>
      <c r="E6" s="3143">
        <f>E3-E5</f>
        <v>23244.54</v>
      </c>
      <c r="F6" s="3131"/>
      <c r="G6" s="3145" t="s">
        <v>568</v>
      </c>
      <c r="H6" s="3146" t="s">
        <v>564</v>
      </c>
      <c r="I6" s="3200">
        <f>ROUND(F31/D31,2)</f>
        <v>5.79</v>
      </c>
      <c r="J6" s="3131"/>
      <c r="K6" s="3131"/>
      <c r="L6" s="3131"/>
      <c r="M6" s="3131"/>
      <c r="N6" s="3131"/>
      <c r="O6" s="3131"/>
      <c r="P6" s="3131"/>
    </row>
    <row r="7" ht="15" spans="1:16">
      <c r="A7" s="3147"/>
      <c r="B7" s="3148"/>
      <c r="C7" s="3149"/>
      <c r="D7" s="3138" t="s">
        <v>558</v>
      </c>
      <c r="E7" s="3150" t="s">
        <v>569</v>
      </c>
      <c r="F7" s="3131"/>
      <c r="G7" s="3151" t="s">
        <v>570</v>
      </c>
      <c r="H7" s="3152"/>
      <c r="I7" s="3201"/>
      <c r="J7" s="3131"/>
      <c r="K7" s="3131"/>
      <c r="L7" s="3131"/>
      <c r="M7" s="3131"/>
      <c r="N7" s="3131"/>
      <c r="O7" s="3131"/>
      <c r="P7" s="3131"/>
    </row>
    <row r="8" spans="1:16">
      <c r="A8" s="3141" t="s">
        <v>571</v>
      </c>
      <c r="B8" s="3153" t="s">
        <v>572</v>
      </c>
      <c r="C8" s="3142" t="s">
        <v>573</v>
      </c>
      <c r="D8" s="3142">
        <f t="shared" ref="D8:D15" si="0">ROUND($D$3*E8/$E$3,2)</f>
        <v>3598.07</v>
      </c>
      <c r="E8" s="3154">
        <f>SUMIF('数据-基础表'!BB10:BK10,"地上",'数据-基础表'!BB5:BK5)</f>
        <v>22008.76</v>
      </c>
      <c r="F8" s="3131"/>
      <c r="G8" s="3155"/>
      <c r="H8" s="3155"/>
      <c r="I8" s="3131"/>
      <c r="J8" s="3131"/>
      <c r="K8" s="3131"/>
      <c r="L8" s="3131"/>
      <c r="M8" s="3131"/>
      <c r="N8" s="3131"/>
      <c r="O8" s="3131"/>
      <c r="P8" s="3131"/>
    </row>
    <row r="9" spans="1:16">
      <c r="A9" s="3156"/>
      <c r="B9" s="3157"/>
      <c r="C9" s="3142" t="s">
        <v>574</v>
      </c>
      <c r="D9" s="3142">
        <f t="shared" si="0"/>
        <v>0</v>
      </c>
      <c r="E9" s="3158">
        <v>0</v>
      </c>
      <c r="F9" s="3131"/>
      <c r="G9" s="3155"/>
      <c r="H9" s="3155"/>
      <c r="I9" s="3131"/>
      <c r="J9" s="3131"/>
      <c r="K9" s="3131"/>
      <c r="L9" s="3131"/>
      <c r="M9" s="3131"/>
      <c r="N9" s="3131"/>
      <c r="O9" s="3131"/>
      <c r="P9" s="3131"/>
    </row>
    <row r="10" spans="1:16">
      <c r="A10" s="3156"/>
      <c r="B10" s="3157"/>
      <c r="C10" s="3142" t="s">
        <v>575</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576</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577</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578</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579</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580</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581</v>
      </c>
      <c r="D16" s="3153">
        <f>SUM(D8:D15)</f>
        <v>3598.07</v>
      </c>
      <c r="E16" s="3159">
        <f>SUM(E8:E15)</f>
        <v>22008.76</v>
      </c>
      <c r="F16" s="3131"/>
      <c r="G16" s="3155"/>
      <c r="H16" s="3160" t="s">
        <v>582</v>
      </c>
      <c r="I16" s="3202"/>
      <c r="J16" s="2576"/>
      <c r="K16" s="3203" t="s">
        <v>582</v>
      </c>
      <c r="L16" s="3162"/>
      <c r="M16" s="3162"/>
      <c r="N16" s="3162"/>
      <c r="O16" s="3162"/>
      <c r="P16" s="3204"/>
    </row>
    <row r="17" ht="15" spans="1:19">
      <c r="A17" s="3090" t="s">
        <v>583</v>
      </c>
      <c r="B17" s="3161" t="s">
        <v>584</v>
      </c>
      <c r="C17" s="3089" t="s">
        <v>585</v>
      </c>
      <c r="D17" s="3162" t="s">
        <v>558</v>
      </c>
      <c r="E17" s="3163" t="s">
        <v>559</v>
      </c>
      <c r="F17" s="3164"/>
      <c r="G17" s="3165"/>
      <c r="H17" s="3166" t="s">
        <v>586</v>
      </c>
      <c r="I17" s="3205" t="s">
        <v>587</v>
      </c>
      <c r="J17" s="2576"/>
      <c r="K17" s="3206" t="s">
        <v>588</v>
      </c>
      <c r="L17" s="3207"/>
      <c r="M17" s="3208"/>
      <c r="N17" s="3206" t="s">
        <v>589</v>
      </c>
      <c r="O17" s="3207"/>
      <c r="P17" s="3208"/>
      <c r="R17" s="3221" t="s">
        <v>590</v>
      </c>
      <c r="S17" s="2511"/>
    </row>
    <row r="18" ht="15" spans="1:19">
      <c r="A18" s="3156"/>
      <c r="B18" s="3167"/>
      <c r="C18" s="3168"/>
      <c r="D18" s="3169"/>
      <c r="E18" s="3170" t="s">
        <v>591</v>
      </c>
      <c r="F18" s="3171" t="s">
        <v>564</v>
      </c>
      <c r="G18" s="3172" t="s">
        <v>592</v>
      </c>
      <c r="H18" s="3095" t="s">
        <v>593</v>
      </c>
      <c r="I18" s="3209" t="s">
        <v>594</v>
      </c>
      <c r="J18" s="2576"/>
      <c r="K18" s="3095" t="s">
        <v>595</v>
      </c>
      <c r="L18" s="2773" t="s">
        <v>596</v>
      </c>
      <c r="M18" s="3199" t="s">
        <v>597</v>
      </c>
      <c r="N18" s="3095" t="s">
        <v>595</v>
      </c>
      <c r="O18" s="2773" t="s">
        <v>596</v>
      </c>
      <c r="P18" s="3199" t="s">
        <v>597</v>
      </c>
      <c r="R18" s="2524" t="s">
        <v>593</v>
      </c>
      <c r="S18" s="2524" t="s">
        <v>594</v>
      </c>
    </row>
    <row r="19" spans="1:19">
      <c r="A19" s="3173"/>
      <c r="B19" s="3153" t="s">
        <v>598</v>
      </c>
      <c r="C19" s="3174" t="s">
        <v>599</v>
      </c>
      <c r="D19" s="3142">
        <f>ROUND($D$3*E19/$E$3,2)</f>
        <v>3800.1</v>
      </c>
      <c r="E19" s="3175">
        <f t="shared" ref="E19:E26" si="1">SUM(F19:G19)</f>
        <v>23244.54</v>
      </c>
      <c r="F19" s="3176">
        <f>'数据-基础表'!I13</f>
        <v>22008.76</v>
      </c>
      <c r="G19" s="3177">
        <f>'数据-基础表'!K13</f>
        <v>1235.78</v>
      </c>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3800.1</v>
      </c>
      <c r="S19" s="3222">
        <f t="shared" si="5"/>
        <v>23244.54</v>
      </c>
    </row>
    <row r="20" spans="1:19">
      <c r="A20" s="3178"/>
      <c r="B20" s="3153" t="s">
        <v>598</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598</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598</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598</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598</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598</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598</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75" spans="1:19">
      <c r="A27" s="3178"/>
      <c r="B27" s="3142"/>
      <c r="C27" s="2759" t="s">
        <v>600</v>
      </c>
      <c r="D27" s="3183">
        <f>SUM(D19:D26)</f>
        <v>3800.1</v>
      </c>
      <c r="E27" s="3184">
        <f>IF(SUM(E19:E26)='数据-基础表'!BA5,SUM(E19:E26),IF(F27="地上面积有误","面积有误","地下面积有误"))</f>
        <v>23244.54</v>
      </c>
      <c r="F27" s="3183">
        <f>IF(SUM(F19:F26)=E8,SUM(F19:F26),"地上面积有误")</f>
        <v>22008.76</v>
      </c>
      <c r="G27" s="3185">
        <f>SUM(G19:G26)</f>
        <v>1235.78</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3800.1</v>
      </c>
      <c r="S27" s="2524">
        <f>IF(SUM(S19:S26)=$E$3,SUM(S19:S26),SUM(S19:S26)&amp;"误差"&amp;ROUND(SUM(S19:S26)-E3,2))</f>
        <v>23244.54</v>
      </c>
    </row>
    <row r="28" spans="1:16">
      <c r="A28" s="3178"/>
      <c r="B28" s="3153" t="s">
        <v>601</v>
      </c>
      <c r="C28" s="3098" t="s">
        <v>602</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601</v>
      </c>
      <c r="C29" s="2574" t="s">
        <v>603</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600</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48" t="s">
        <v>604</v>
      </c>
      <c r="D31" s="3193">
        <f>D27+D30</f>
        <v>3800.1</v>
      </c>
      <c r="E31" s="3193">
        <f>E27+E30</f>
        <v>23244.54</v>
      </c>
      <c r="F31" s="3194">
        <f>F27+F30</f>
        <v>22008.76</v>
      </c>
      <c r="G31" s="3195">
        <f>G27+G30</f>
        <v>1235.78</v>
      </c>
      <c r="H31" s="3131"/>
      <c r="I31" s="3131"/>
      <c r="J31" s="3131"/>
      <c r="K31" s="3131"/>
      <c r="L31" s="3131"/>
      <c r="M31" s="3131"/>
      <c r="N31" s="3131"/>
      <c r="O31" s="3131"/>
      <c r="P31" s="3131"/>
    </row>
    <row r="32" spans="1:16">
      <c r="A32" s="3196"/>
      <c r="B32" s="3196" t="s">
        <v>605</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931" customWidth="1"/>
    <col min="2" max="2" width="12" style="2932" customWidth="1"/>
    <col min="3" max="3" width="12.75" style="2932" customWidth="1"/>
    <col min="4" max="4" width="9.125" style="2933" customWidth="1"/>
    <col min="5" max="5" width="15" style="2932" customWidth="1"/>
    <col min="6" max="10" width="8.875" style="2932" customWidth="1"/>
    <col min="11" max="12" width="12.375" style="2934"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0"/>
    <col min="41" max="41" width="11.625" style="2930" customWidth="1"/>
    <col min="42" max="42" width="9.75" style="2930" customWidth="1"/>
    <col min="43" max="67" width="13.75" style="2930"/>
    <col min="68" max="16384" width="13.75" style="2932"/>
  </cols>
  <sheetData>
    <row r="1" ht="19.5" spans="1:44">
      <c r="A1" s="2935" t="s">
        <v>606</v>
      </c>
      <c r="B1" s="2936"/>
      <c r="C1" s="2193"/>
      <c r="D1" s="2937"/>
      <c r="E1" s="2193"/>
      <c r="F1" s="2193"/>
      <c r="G1" s="2193"/>
      <c r="H1" s="2193"/>
      <c r="I1" s="2193"/>
      <c r="J1" s="2193"/>
      <c r="K1" s="1037"/>
      <c r="L1" s="1037"/>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389"/>
      <c r="AO1" s="2389"/>
      <c r="AP1" s="2389"/>
      <c r="AQ1" s="2389"/>
      <c r="AR1" s="2389"/>
    </row>
    <row r="2" s="2927" customFormat="1" ht="15.75" spans="1:67">
      <c r="A2" s="2938" t="s">
        <v>607</v>
      </c>
      <c r="B2" s="2939">
        <f>项目基本情况!D3</f>
        <v>45539</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24" t="s">
        <v>608</v>
      </c>
      <c r="B4" s="2531"/>
      <c r="C4" s="2944"/>
      <c r="D4" s="2945"/>
      <c r="E4" s="2944" t="s">
        <v>609</v>
      </c>
      <c r="F4" s="2944"/>
      <c r="G4" s="2944"/>
      <c r="H4" s="2944"/>
      <c r="I4" s="2944"/>
      <c r="J4" s="3038"/>
      <c r="K4" s="3039"/>
      <c r="L4" s="3040"/>
      <c r="M4" s="2944"/>
      <c r="N4" s="2944" t="s">
        <v>610</v>
      </c>
      <c r="O4" s="2944"/>
      <c r="P4" s="2944"/>
      <c r="Q4" s="2944"/>
      <c r="R4" s="2944"/>
      <c r="S4" s="3038"/>
      <c r="T4" s="3062" t="str">
        <f>'数据-汇总表'!I17</f>
        <v>按面积比例</v>
      </c>
      <c r="U4" s="2531" t="s">
        <v>611</v>
      </c>
      <c r="V4" s="2944"/>
      <c r="W4" s="2944"/>
      <c r="X4" s="2944"/>
      <c r="Y4" s="3038"/>
      <c r="Z4" s="3089" t="s">
        <v>612</v>
      </c>
      <c r="AA4" s="3089"/>
      <c r="AB4" s="3089"/>
      <c r="AC4" s="3089"/>
      <c r="AD4" s="3089"/>
      <c r="AE4" s="3090" t="s">
        <v>613</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585</v>
      </c>
      <c r="B5" s="2947" t="s">
        <v>584</v>
      </c>
      <c r="C5" s="2948" t="s">
        <v>614</v>
      </c>
      <c r="D5" s="2949" t="s">
        <v>615</v>
      </c>
      <c r="E5" s="2950" t="s">
        <v>616</v>
      </c>
      <c r="F5" s="2951" t="s">
        <v>617</v>
      </c>
      <c r="G5" s="2950" t="s">
        <v>618</v>
      </c>
      <c r="H5" s="2950" t="s">
        <v>619</v>
      </c>
      <c r="I5" s="2950" t="s">
        <v>620</v>
      </c>
      <c r="J5" s="3041" t="s">
        <v>621</v>
      </c>
      <c r="K5" s="3042" t="s">
        <v>594</v>
      </c>
      <c r="L5" s="3043" t="s">
        <v>622</v>
      </c>
      <c r="M5" s="3044" t="s">
        <v>623</v>
      </c>
      <c r="N5" s="3045" t="s">
        <v>624</v>
      </c>
      <c r="O5" s="3043" t="s">
        <v>625</v>
      </c>
      <c r="P5" s="3046" t="s">
        <v>626</v>
      </c>
      <c r="Q5" s="1509" t="s">
        <v>627</v>
      </c>
      <c r="R5" s="3063" t="s">
        <v>628</v>
      </c>
      <c r="S5" s="3064" t="s">
        <v>629</v>
      </c>
      <c r="T5" s="3065" t="s">
        <v>630</v>
      </c>
      <c r="U5" s="3066" t="s">
        <v>631</v>
      </c>
      <c r="V5" s="2950" t="s">
        <v>632</v>
      </c>
      <c r="W5" s="2950" t="s">
        <v>633</v>
      </c>
      <c r="X5" s="1169"/>
      <c r="Y5" s="1641" t="s">
        <v>634</v>
      </c>
      <c r="Z5" s="3091" t="s">
        <v>631</v>
      </c>
      <c r="AA5" s="2950" t="s">
        <v>632</v>
      </c>
      <c r="AB5" s="2950" t="s">
        <v>633</v>
      </c>
      <c r="AC5" s="1169"/>
      <c r="AD5" s="1169" t="s">
        <v>634</v>
      </c>
      <c r="AE5" s="3066" t="s">
        <v>635</v>
      </c>
      <c r="AF5" s="2950" t="s">
        <v>636</v>
      </c>
      <c r="AG5" s="1641" t="s">
        <v>637</v>
      </c>
      <c r="AH5" s="3066" t="s">
        <v>638</v>
      </c>
      <c r="AI5" s="3091" t="s">
        <v>639</v>
      </c>
      <c r="AJ5" s="3091" t="s">
        <v>640</v>
      </c>
      <c r="AK5" s="2950" t="s">
        <v>641</v>
      </c>
      <c r="AL5" s="2950" t="s">
        <v>642</v>
      </c>
      <c r="AM5" s="1641" t="s">
        <v>643</v>
      </c>
      <c r="AN5" s="3103" t="s">
        <v>644</v>
      </c>
      <c r="AO5" s="3121" t="s">
        <v>645</v>
      </c>
      <c r="AP5" s="3122" t="s">
        <v>646</v>
      </c>
      <c r="AQ5" s="3123" t="s">
        <v>647</v>
      </c>
      <c r="AR5" s="3123" t="s">
        <v>648</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大丰路84号</v>
      </c>
      <c r="B6" s="2953" t="str">
        <f>IF(A6=0,"","经营性")</f>
        <v>经营性</v>
      </c>
      <c r="C6" s="2954" t="s">
        <v>408</v>
      </c>
      <c r="D6" s="2955">
        <f>SUMIF(项目基本情况!C$12:I$12,C6,项目基本情况!C$14:I$14)</f>
        <v>50</v>
      </c>
      <c r="E6" s="2956">
        <f>IF(B6="","",SUMIF(项目基本情况!C$12:I$12,C6,项目基本情况!C$13:I$13))</f>
        <v>57311</v>
      </c>
      <c r="F6" s="2957">
        <f>SUMIF(项目基本情况!C$12:I$12,C6,项目基本情况!C$15:I$15)</f>
        <v>32.25</v>
      </c>
      <c r="G6" s="2958">
        <f>IF(ISERROR(ROUND(POWER(1+H6,D6-F6)*(POWER(1+H6,F6)-1)/(POWER(1+H6,D6)-1),3)),0,ROUND(POWER(1+H6,D6-F6)*(POWER(1+H6,F6)-1)/(POWER(1+H6,D6)-1),3))</f>
        <v>0.868</v>
      </c>
      <c r="H6" s="2959">
        <v>0.05</v>
      </c>
      <c r="I6" s="2959">
        <v>0.055</v>
      </c>
      <c r="J6" s="2960">
        <v>0.07</v>
      </c>
      <c r="K6" s="3047">
        <f>SUMIF('数据-汇总表'!C$19:C$33,A6,'数据-汇总表'!E$19:E$33)</f>
        <v>23244.54</v>
      </c>
      <c r="L6" s="3048">
        <v>3200</v>
      </c>
      <c r="M6" s="3049">
        <f t="shared" ref="M6:M14" si="0">ROUND(K6*L6/10000,0)</f>
        <v>7438</v>
      </c>
      <c r="N6" s="3050">
        <v>0.6</v>
      </c>
      <c r="O6" s="3049" t="str">
        <f>IF($N$5="成新度","——",ROUND(M6*N6,0))</f>
        <v>——</v>
      </c>
      <c r="P6" s="3051" t="str">
        <f>IF($N$5="成新度","——",M6-O6)</f>
        <v>——</v>
      </c>
      <c r="Q6" s="3067">
        <v>0.1</v>
      </c>
      <c r="R6" s="3068">
        <f ca="1">SUMIF('数据-汇总表'!C$19:C$33,A6,'数据-汇总表'!R$19:R$27)</f>
        <v>3800.1</v>
      </c>
      <c r="S6" s="3069">
        <f>IF('数据-汇总表'!$I$17="按面积比例",SUMIF('数据-汇总表'!C$19:C$33,A6,'数据-汇总表'!K$19:K$33),SUMIF('数据-汇总表'!C$19:C$33,A6,'数据-汇总表'!N$19:N$33))</f>
        <v>0</v>
      </c>
      <c r="T6" s="3070">
        <f>ROUND($L$14*S6/10000,0)</f>
        <v>0</v>
      </c>
      <c r="U6" s="3071">
        <v>1.2</v>
      </c>
      <c r="V6" s="3072">
        <v>0.02</v>
      </c>
      <c r="W6" s="3072">
        <v>0.1</v>
      </c>
      <c r="X6" s="3073"/>
      <c r="Y6" s="3092">
        <f>N6</f>
        <v>0.6</v>
      </c>
      <c r="Z6" s="3093"/>
      <c r="AA6" s="2960"/>
      <c r="AB6" s="2960"/>
      <c r="AC6" s="3073"/>
      <c r="AD6" s="3094"/>
      <c r="AE6" s="3095">
        <f ca="1">IF(AN6="",0,SUMIF(INDIRECT("'"&amp;AN6&amp;"'"&amp;"!E:E"),$AE$5,INDIRECT("'"&amp;AN6&amp;"'"&amp;"!F:F")))</f>
        <v>32.25</v>
      </c>
      <c r="AF6" s="2506"/>
      <c r="AG6" s="1834">
        <f ca="1">IF(AF6="",0,AE6-AF6)</f>
        <v>0</v>
      </c>
      <c r="AH6" s="3104"/>
      <c r="AI6" s="3105">
        <v>365</v>
      </c>
      <c r="AJ6" s="3106"/>
      <c r="AK6" s="3107">
        <v>0.003</v>
      </c>
      <c r="AL6" s="3108">
        <v>0.001</v>
      </c>
      <c r="AM6" s="3109">
        <v>0.005</v>
      </c>
      <c r="AN6" s="3110" t="s">
        <v>649</v>
      </c>
      <c r="AO6" s="1385">
        <f ca="1">SUMIF(INDIRECT("'"&amp;AN6&amp;"'"&amp;"!A:A"),"总价",INDIRECT("'"&amp;AN6&amp;"'"&amp;"!B:B"))</f>
        <v>14062</v>
      </c>
      <c r="AP6" s="3124">
        <f>IF(C6="住宅",K6*L6,0)</f>
        <v>0</v>
      </c>
      <c r="AQ6" s="1385">
        <f>ROUND($L$14*$N$14*S6/10000,0)</f>
        <v>0</v>
      </c>
      <c r="AR6" s="1385">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34">
        <f ca="1" t="shared" ref="AG7:AG13" si="7">IF(AF7="",0,AE7-AF7)</f>
        <v>0</v>
      </c>
      <c r="AH7" s="3104"/>
      <c r="AI7" s="3105"/>
      <c r="AJ7" s="3106"/>
      <c r="AK7" s="3107"/>
      <c r="AL7" s="3108"/>
      <c r="AM7" s="3109"/>
      <c r="AN7" s="3110"/>
      <c r="AO7" s="1385" t="e">
        <f ca="1" t="shared" ref="AO7:AO13" si="8">SUMIF(INDIRECT("'"&amp;AN7&amp;"'"&amp;"!A:A"),"总价",INDIRECT("'"&amp;AN7&amp;"'"&amp;"!B:B"))</f>
        <v>#REF!</v>
      </c>
      <c r="AP7" s="3124">
        <f t="shared" ref="AP7:AP13" si="9">IF(C7="住宅",K7*L7,0)</f>
        <v>0</v>
      </c>
      <c r="AQ7" s="1385">
        <f t="shared" ref="AQ7:AQ13" si="10">ROUND($L$14*$N$14*S7/10000,0)</f>
        <v>0</v>
      </c>
      <c r="AR7" s="1385">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34">
        <f ca="1" t="shared" si="7"/>
        <v>0</v>
      </c>
      <c r="AH8" s="3111"/>
      <c r="AI8" s="3105"/>
      <c r="AJ8" s="3106"/>
      <c r="AK8" s="3112"/>
      <c r="AL8" s="3113"/>
      <c r="AM8" s="3114"/>
      <c r="AN8" s="3110"/>
      <c r="AO8" s="1385" t="e">
        <f ca="1" t="shared" si="8"/>
        <v>#REF!</v>
      </c>
      <c r="AP8" s="3124">
        <f t="shared" si="9"/>
        <v>0</v>
      </c>
      <c r="AQ8" s="1385">
        <f t="shared" si="10"/>
        <v>0</v>
      </c>
      <c r="AR8" s="1385">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34">
        <f ca="1" t="shared" si="7"/>
        <v>0</v>
      </c>
      <c r="AH9" s="3104"/>
      <c r="AI9" s="3105"/>
      <c r="AJ9" s="3106"/>
      <c r="AK9" s="3107"/>
      <c r="AL9" s="3108"/>
      <c r="AM9" s="3109"/>
      <c r="AN9" s="3110"/>
      <c r="AO9" s="1385" t="e">
        <f ca="1" t="shared" si="8"/>
        <v>#REF!</v>
      </c>
      <c r="AP9" s="3124">
        <f t="shared" si="9"/>
        <v>0</v>
      </c>
      <c r="AQ9" s="1385">
        <f t="shared" si="10"/>
        <v>0</v>
      </c>
      <c r="AR9" s="1385">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34">
        <f ca="1" t="shared" si="7"/>
        <v>0</v>
      </c>
      <c r="AH10" s="3104"/>
      <c r="AI10" s="3105"/>
      <c r="AJ10" s="3106"/>
      <c r="AK10" s="3107"/>
      <c r="AL10" s="3108"/>
      <c r="AM10" s="3109"/>
      <c r="AN10" s="3110"/>
      <c r="AO10" s="1385" t="e">
        <f ca="1" t="shared" si="8"/>
        <v>#REF!</v>
      </c>
      <c r="AP10" s="3124">
        <f t="shared" si="9"/>
        <v>0</v>
      </c>
      <c r="AQ10" s="1385">
        <f t="shared" si="10"/>
        <v>0</v>
      </c>
      <c r="AR10" s="1385">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34">
        <f ca="1" t="shared" si="7"/>
        <v>0</v>
      </c>
      <c r="AH11" s="3104"/>
      <c r="AI11" s="3105"/>
      <c r="AJ11" s="3106"/>
      <c r="AK11" s="3115"/>
      <c r="AL11" s="3116"/>
      <c r="AM11" s="3117"/>
      <c r="AN11" s="3110"/>
      <c r="AO11" s="1385" t="e">
        <f ca="1" t="shared" si="8"/>
        <v>#REF!</v>
      </c>
      <c r="AP11" s="3124">
        <f t="shared" si="9"/>
        <v>0</v>
      </c>
      <c r="AQ11" s="1385">
        <f t="shared" si="10"/>
        <v>0</v>
      </c>
      <c r="AR11" s="1385">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34">
        <f ca="1" t="shared" si="7"/>
        <v>0</v>
      </c>
      <c r="AH12" s="3104"/>
      <c r="AI12" s="3105"/>
      <c r="AJ12" s="3106"/>
      <c r="AK12" s="3115"/>
      <c r="AL12" s="3116"/>
      <c r="AM12" s="3117"/>
      <c r="AN12" s="3110"/>
      <c r="AO12" s="1385" t="e">
        <f ca="1" t="shared" si="8"/>
        <v>#REF!</v>
      </c>
      <c r="AP12" s="3124">
        <f t="shared" si="9"/>
        <v>0</v>
      </c>
      <c r="AQ12" s="1385">
        <f t="shared" si="10"/>
        <v>0</v>
      </c>
      <c r="AR12" s="1385">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34">
        <f ca="1" t="shared" si="7"/>
        <v>0</v>
      </c>
      <c r="AH13" s="3104"/>
      <c r="AI13" s="3105"/>
      <c r="AJ13" s="3106"/>
      <c r="AK13" s="3107"/>
      <c r="AL13" s="3108"/>
      <c r="AM13" s="3109"/>
      <c r="AN13" s="3110"/>
      <c r="AO13" s="1385" t="e">
        <f ca="1" t="shared" si="8"/>
        <v>#REF!</v>
      </c>
      <c r="AP13" s="3124">
        <f t="shared" si="9"/>
        <v>0</v>
      </c>
      <c r="AQ13" s="1385">
        <f t="shared" si="10"/>
        <v>0</v>
      </c>
      <c r="AR13" s="1385">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602</v>
      </c>
      <c r="B14" s="2953" t="s">
        <v>601</v>
      </c>
      <c r="C14" s="2962" t="s">
        <v>602</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85"/>
      <c r="AG14" s="1834"/>
      <c r="AH14" s="3095"/>
      <c r="AI14" s="1368"/>
      <c r="AJ14" s="1384"/>
      <c r="AK14" s="3118"/>
      <c r="AL14" s="3119"/>
      <c r="AM14" s="3120"/>
      <c r="AN14" s="238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603</v>
      </c>
      <c r="B15" s="2953" t="s">
        <v>601</v>
      </c>
      <c r="C15" s="2962" t="s">
        <v>650</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85"/>
      <c r="AG15" s="1834"/>
      <c r="AH15" s="3095"/>
      <c r="AI15" s="1368"/>
      <c r="AJ15" s="1384"/>
      <c r="AK15" s="3118"/>
      <c r="AL15" s="3119"/>
      <c r="AM15" s="3120"/>
      <c r="AN15" s="238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604</v>
      </c>
      <c r="B16" s="2965"/>
      <c r="C16" s="2446"/>
      <c r="D16" s="2966"/>
      <c r="E16" s="2965"/>
      <c r="F16" s="2965"/>
      <c r="G16" s="2967">
        <f>ROUND(SUMPRODUCT(G6:G13,K6:K13)/SUMPRODUCT((G6:G13&gt;0)*(K6:K13)),3)</f>
        <v>0.868</v>
      </c>
      <c r="H16" s="2968">
        <f>ROUND(SUMPRODUCT(H6:H13,K6:K13)/SUMPRODUCT((H6:H13&gt;0)*(K6:K13)),3)</f>
        <v>0.05</v>
      </c>
      <c r="I16" s="3056"/>
      <c r="J16" s="3056"/>
      <c r="K16" s="3057">
        <f>SUM(K6:K15)</f>
        <v>23244.54</v>
      </c>
      <c r="L16" s="3058">
        <f>ROUND(M16*10000/SUM(K6:K14),0)</f>
        <v>3200</v>
      </c>
      <c r="M16" s="3058">
        <f>SUM(M6:M14)</f>
        <v>7438</v>
      </c>
      <c r="N16" s="3059">
        <f>ROUND(SUMPRODUCT(M6:M14,N6:N14)/M16,3)</f>
        <v>0.6</v>
      </c>
      <c r="O16" s="3058">
        <f>SUM(O6:O14)</f>
        <v>0</v>
      </c>
      <c r="P16" s="3058">
        <f>SUM(P6:P14)</f>
        <v>0</v>
      </c>
      <c r="Q16" s="3082">
        <f>ROUND(SUMPRODUCT(Q6:Q13,K6:K13)/SUMPRODUCT((Q6:Q13&gt;0)*(K6:K13)),2)</f>
        <v>0.1</v>
      </c>
      <c r="R16" s="3083">
        <f ca="1">SUM(R6:R13)</f>
        <v>3800.1</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89"/>
      <c r="D17" s="2971"/>
      <c r="E17" s="2971"/>
      <c r="F17" s="2389"/>
      <c r="G17" s="2389"/>
      <c r="H17" s="2389"/>
      <c r="I17" s="2389"/>
      <c r="J17" s="2389"/>
      <c r="K17" s="3060"/>
      <c r="L17" s="3060"/>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624" t="s">
        <v>651</v>
      </c>
      <c r="B18" s="2972"/>
      <c r="C18" s="2973"/>
      <c r="D18" s="2974"/>
      <c r="E18" s="2973"/>
      <c r="F18" s="2973"/>
      <c r="G18" s="2973"/>
      <c r="H18" s="2973"/>
      <c r="I18" s="2973"/>
      <c r="J18" s="2973"/>
      <c r="K18" s="3060"/>
      <c r="L18" s="3060"/>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75" t="s">
        <v>652</v>
      </c>
      <c r="B19" s="2976">
        <v>0</v>
      </c>
      <c r="C19" s="2977" t="s">
        <v>653</v>
      </c>
      <c r="D19" s="2974"/>
      <c r="E19" s="2973"/>
      <c r="F19" s="2973"/>
      <c r="G19" s="2973"/>
      <c r="H19" s="2973"/>
      <c r="I19" s="2973"/>
      <c r="J19" s="2973"/>
      <c r="K19" s="3060"/>
      <c r="L19" s="3060"/>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78" t="s">
        <v>654</v>
      </c>
      <c r="B20" s="2979">
        <v>2</v>
      </c>
      <c r="C20" s="2980" t="s">
        <v>655</v>
      </c>
      <c r="D20" s="2974"/>
      <c r="E20" s="2973"/>
      <c r="F20" s="2973"/>
      <c r="G20" s="2973"/>
      <c r="H20" s="2973"/>
      <c r="I20" s="2973"/>
      <c r="J20" s="2973"/>
      <c r="K20" s="3060"/>
      <c r="L20" s="3060"/>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81" t="s">
        <v>656</v>
      </c>
      <c r="B21" s="2979">
        <v>2</v>
      </c>
      <c r="C21" s="2973"/>
      <c r="D21" s="2974"/>
      <c r="E21" s="2973"/>
      <c r="F21" s="2973"/>
      <c r="G21" s="2973"/>
      <c r="H21" s="2973"/>
      <c r="I21" s="2973"/>
      <c r="J21" s="2973"/>
      <c r="K21" s="3060"/>
      <c r="L21" s="3060"/>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78" t="s">
        <v>657</v>
      </c>
      <c r="B22" s="2982">
        <f>B19+B20</f>
        <v>2</v>
      </c>
      <c r="C22" s="2973"/>
      <c r="D22" s="2974"/>
      <c r="E22" s="2973"/>
      <c r="F22" s="2973"/>
      <c r="G22" s="2973"/>
      <c r="H22" s="2973"/>
      <c r="I22" s="2973"/>
      <c r="J22" s="2973"/>
      <c r="K22" s="3060"/>
      <c r="L22" s="3060"/>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81" t="s">
        <v>658</v>
      </c>
      <c r="B23" s="2982">
        <f>B19+B21</f>
        <v>2</v>
      </c>
      <c r="C23" s="2973"/>
      <c r="D23" s="2974"/>
      <c r="E23" s="2973"/>
      <c r="F23" s="2973"/>
      <c r="G23" s="2973"/>
      <c r="H23" s="2973"/>
      <c r="I23" s="2973"/>
      <c r="J23" s="2973"/>
      <c r="K23" s="3060"/>
      <c r="L23" s="3060"/>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83" t="s">
        <v>659</v>
      </c>
      <c r="B24" s="2984">
        <f>B20-B21</f>
        <v>0</v>
      </c>
      <c r="C24" s="2973"/>
      <c r="D24" s="2974"/>
      <c r="E24" s="2973"/>
      <c r="F24" s="2973"/>
      <c r="G24" s="2973"/>
      <c r="H24" s="2973"/>
      <c r="I24" s="2973"/>
      <c r="J24" s="2973"/>
      <c r="K24" s="3060"/>
      <c r="L24" s="3060"/>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42"/>
      <c r="B25" s="2943"/>
      <c r="C25" s="2973"/>
      <c r="D25" s="2974"/>
      <c r="E25" s="2973"/>
      <c r="F25" s="2973"/>
      <c r="G25" s="2973"/>
      <c r="H25" s="2973"/>
      <c r="I25" s="2973"/>
      <c r="J25" s="2973"/>
      <c r="K25" s="3060"/>
      <c r="L25" s="3060"/>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38" t="s">
        <v>660</v>
      </c>
      <c r="B26" s="2985" t="s">
        <v>661</v>
      </c>
      <c r="C26" s="2986" t="s">
        <v>662</v>
      </c>
      <c r="D26" s="2974"/>
      <c r="E26" s="2973"/>
      <c r="F26" s="2973"/>
      <c r="G26" s="2973"/>
      <c r="H26" s="2973"/>
      <c r="I26" s="2973"/>
      <c r="J26" s="2973"/>
      <c r="K26" s="3060"/>
      <c r="L26" s="3060"/>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29" customFormat="1" ht="27.75" spans="1:67">
      <c r="A27" s="2987" t="s">
        <v>663</v>
      </c>
      <c r="B27" s="2988">
        <v>0</v>
      </c>
      <c r="C27" s="2989" t="s">
        <v>664</v>
      </c>
      <c r="D27" s="2990"/>
      <c r="E27" s="1498"/>
      <c r="F27" s="1498"/>
      <c r="G27" s="2973"/>
      <c r="H27" s="2973"/>
      <c r="I27" s="2973"/>
      <c r="J27" s="2973"/>
      <c r="K27" s="3060"/>
      <c r="L27" s="3060"/>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29" customFormat="1" ht="27.75" spans="1:67">
      <c r="A28" s="2991" t="s">
        <v>665</v>
      </c>
      <c r="B28" s="2992">
        <v>0</v>
      </c>
      <c r="C28" s="2993"/>
      <c r="D28" s="2990"/>
      <c r="E28" s="1498"/>
      <c r="F28" s="1498"/>
      <c r="G28" s="2973"/>
      <c r="H28" s="2973"/>
      <c r="I28" s="2973"/>
      <c r="J28" s="2973"/>
      <c r="K28" s="3060"/>
      <c r="L28" s="3060"/>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29" customFormat="1" ht="28.5" spans="1:67">
      <c r="A29" s="2994" t="s">
        <v>666</v>
      </c>
      <c r="B29" s="2995"/>
      <c r="C29" s="2996" t="s">
        <v>667</v>
      </c>
      <c r="D29" s="2990"/>
      <c r="E29" s="1498"/>
      <c r="F29" s="1498"/>
      <c r="G29" s="2973"/>
      <c r="H29" s="2973"/>
      <c r="I29" s="2973"/>
      <c r="J29" s="2973"/>
      <c r="K29" s="3060"/>
      <c r="L29" s="3060"/>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29" customFormat="1" ht="27" spans="1:67">
      <c r="A30" s="2997" t="s">
        <v>668</v>
      </c>
      <c r="B30" s="2998">
        <v>200</v>
      </c>
      <c r="C30" s="2993"/>
      <c r="D30" s="2990"/>
      <c r="E30" s="1498"/>
      <c r="F30" s="1498"/>
      <c r="G30" s="2973"/>
      <c r="H30" s="2973"/>
      <c r="I30" s="2973"/>
      <c r="J30" s="2973"/>
      <c r="K30" s="3060"/>
      <c r="L30" s="3060"/>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29" customFormat="1" ht="27" spans="1:67">
      <c r="A31" s="2991" t="s">
        <v>669</v>
      </c>
      <c r="B31" s="2999">
        <f>B30-B32</f>
        <v>200</v>
      </c>
      <c r="C31" s="3000"/>
      <c r="D31" s="2990"/>
      <c r="E31" s="1498"/>
      <c r="F31" s="1498"/>
      <c r="G31" s="2973"/>
      <c r="H31" s="2973"/>
      <c r="I31" s="2973"/>
      <c r="J31" s="2973"/>
      <c r="K31" s="3060"/>
      <c r="L31" s="3060"/>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29" customFormat="1" ht="27.75" spans="1:67">
      <c r="A32" s="3001" t="s">
        <v>670</v>
      </c>
      <c r="B32" s="3002">
        <v>0</v>
      </c>
      <c r="C32" s="2993"/>
      <c r="D32" s="2974"/>
      <c r="E32" s="2973"/>
      <c r="F32" s="2973"/>
      <c r="G32" s="2973"/>
      <c r="H32" s="2973"/>
      <c r="I32" s="2973"/>
      <c r="J32" s="2973"/>
      <c r="K32" s="3060"/>
      <c r="L32" s="3060"/>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29" customFormat="1" ht="14.25" spans="1:67">
      <c r="A33" s="2987" t="s">
        <v>671</v>
      </c>
      <c r="B33" s="3003">
        <v>0.03</v>
      </c>
      <c r="C33" s="3004" t="s">
        <v>672</v>
      </c>
      <c r="D33" s="2974"/>
      <c r="E33" s="2973"/>
      <c r="F33" s="2973"/>
      <c r="G33" s="2973"/>
      <c r="H33" s="2973"/>
      <c r="I33" s="2973"/>
      <c r="J33" s="2973"/>
      <c r="K33" s="3060"/>
      <c r="L33" s="3060"/>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29" customFormat="1" ht="14.25" spans="1:67">
      <c r="A34" s="2991" t="s">
        <v>673</v>
      </c>
      <c r="B34" s="3005">
        <v>0</v>
      </c>
      <c r="C34" s="3004" t="s">
        <v>674</v>
      </c>
      <c r="D34" s="3006" t="s">
        <v>675</v>
      </c>
      <c r="E34" s="2970"/>
      <c r="F34" s="2973"/>
      <c r="G34" s="2973"/>
      <c r="H34" s="2973"/>
      <c r="I34" s="2973"/>
      <c r="J34" s="2973"/>
      <c r="K34" s="3060"/>
      <c r="L34" s="3060"/>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29" customFormat="1" ht="14.25" spans="1:67">
      <c r="A35" s="2991" t="s">
        <v>676</v>
      </c>
      <c r="B35" s="2992">
        <v>200</v>
      </c>
      <c r="C35" s="3004" t="s">
        <v>677</v>
      </c>
      <c r="D35" s="2990"/>
      <c r="E35" s="1498"/>
      <c r="F35" s="1498"/>
      <c r="G35" s="2973"/>
      <c r="H35" s="2973"/>
      <c r="I35" s="2973"/>
      <c r="J35" s="2973"/>
      <c r="K35" s="3060"/>
      <c r="L35" s="3060"/>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2994" t="s">
        <v>678</v>
      </c>
      <c r="B36" s="3007">
        <v>0.02</v>
      </c>
      <c r="C36" s="3004" t="s">
        <v>679</v>
      </c>
      <c r="D36" s="2974"/>
      <c r="E36" s="2973"/>
      <c r="F36" s="2973"/>
      <c r="G36" s="2973"/>
      <c r="H36" s="2973"/>
      <c r="I36" s="2973"/>
      <c r="J36" s="2973"/>
      <c r="K36" s="3060"/>
      <c r="L36" s="3060"/>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2997" t="s">
        <v>680</v>
      </c>
      <c r="B37" s="3008">
        <v>0.02</v>
      </c>
      <c r="C37" s="3004" t="s">
        <v>681</v>
      </c>
      <c r="D37" s="2974"/>
      <c r="E37" s="2973"/>
      <c r="F37" s="2973"/>
      <c r="G37" s="2973"/>
      <c r="H37" s="2973"/>
      <c r="I37" s="2973"/>
      <c r="J37" s="2973"/>
      <c r="K37" s="3060"/>
      <c r="L37" s="3060"/>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2991" t="s">
        <v>682</v>
      </c>
      <c r="B38" s="3005">
        <v>0.02</v>
      </c>
      <c r="C38" s="3004" t="s">
        <v>681</v>
      </c>
      <c r="D38" s="2974"/>
      <c r="E38" s="2973"/>
      <c r="F38" s="2973"/>
      <c r="G38" s="2973"/>
      <c r="H38" s="2973"/>
      <c r="I38" s="2973"/>
      <c r="J38" s="2973"/>
      <c r="K38" s="3060"/>
      <c r="L38" s="3060"/>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01" t="s">
        <v>683</v>
      </c>
      <c r="B39" s="3009">
        <f ca="1">存贷款利率!I1</f>
        <v>0.015</v>
      </c>
      <c r="C39" s="3010"/>
      <c r="D39" s="2974"/>
      <c r="E39" s="2973"/>
      <c r="F39" s="2973"/>
      <c r="G39" s="2973"/>
      <c r="H39" s="2973"/>
      <c r="I39" s="2973"/>
      <c r="J39" s="2973"/>
      <c r="K39" s="3060"/>
      <c r="L39" s="3060"/>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11" t="s">
        <v>684</v>
      </c>
      <c r="B40" s="3012">
        <f ca="1">IF(A40="利息：取LPR",存贷款利率!G1,存贷款利率!G1+C40)</f>
        <v>0.0335</v>
      </c>
      <c r="C40" s="3013">
        <v>0.005</v>
      </c>
      <c r="D40" s="2389"/>
      <c r="E40" s="2974"/>
      <c r="F40" s="2973"/>
      <c r="G40" s="2973"/>
      <c r="H40" s="2973"/>
      <c r="I40" s="2973"/>
      <c r="J40" s="2973"/>
      <c r="K40" s="3060"/>
      <c r="L40" s="3060"/>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2987" t="s">
        <v>685</v>
      </c>
      <c r="B41" s="3014">
        <f>B42+B43</f>
        <v>0.056</v>
      </c>
      <c r="C41" s="3000"/>
      <c r="D41" s="2389"/>
      <c r="E41" s="2974"/>
      <c r="F41" s="2973"/>
      <c r="G41" s="2973"/>
      <c r="H41" s="2973"/>
      <c r="I41" s="2973"/>
      <c r="J41" s="2973"/>
      <c r="K41" s="3060"/>
      <c r="L41" s="3060"/>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15" t="s">
        <v>686</v>
      </c>
      <c r="B42" s="3016">
        <v>0.05</v>
      </c>
      <c r="C42" s="3017">
        <f>IF(B2&lt;DATE(2016,5,1),0,B42)</f>
        <v>0.05</v>
      </c>
      <c r="D42" s="2974"/>
      <c r="E42" s="2973"/>
      <c r="F42" s="2973"/>
      <c r="G42" s="2973"/>
      <c r="H42" s="2973"/>
      <c r="I42" s="2973"/>
      <c r="J42" s="2973"/>
      <c r="K42" s="3060"/>
      <c r="L42" s="3060"/>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15" t="s">
        <v>687</v>
      </c>
      <c r="B43" s="3018">
        <f>B42*(B44+B45+B46)+B47</f>
        <v>0.006</v>
      </c>
      <c r="C43" s="3000"/>
      <c r="D43" s="2974"/>
      <c r="E43" s="2973"/>
      <c r="F43" s="2973"/>
      <c r="G43" s="2973"/>
      <c r="H43" s="2973"/>
      <c r="I43" s="2973"/>
      <c r="J43" s="2973"/>
      <c r="K43" s="3060"/>
      <c r="L43" s="3060"/>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19" t="s">
        <v>688</v>
      </c>
      <c r="B44" s="3020">
        <v>0.07</v>
      </c>
      <c r="C44" s="3004" t="s">
        <v>689</v>
      </c>
      <c r="D44" s="2974"/>
      <c r="E44" s="2973"/>
      <c r="F44" s="2973"/>
      <c r="G44" s="2973"/>
      <c r="H44" s="2973"/>
      <c r="I44" s="2973"/>
      <c r="J44" s="2973"/>
      <c r="K44" s="3060"/>
      <c r="L44" s="3060"/>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19" t="s">
        <v>690</v>
      </c>
      <c r="B45" s="3016">
        <v>0.03</v>
      </c>
      <c r="C45" s="2996" t="s">
        <v>691</v>
      </c>
      <c r="D45" s="2974"/>
      <c r="E45" s="2973"/>
      <c r="F45" s="2973"/>
      <c r="G45" s="2973"/>
      <c r="H45" s="2973"/>
      <c r="I45" s="2973"/>
      <c r="J45" s="2973"/>
      <c r="K45" s="3060"/>
      <c r="L45" s="3060"/>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19" t="s">
        <v>692</v>
      </c>
      <c r="B46" s="3016">
        <v>0.02</v>
      </c>
      <c r="C46" s="2996" t="s">
        <v>693</v>
      </c>
      <c r="D46" s="2974"/>
      <c r="E46" s="2973"/>
      <c r="F46" s="2973"/>
      <c r="G46" s="2973"/>
      <c r="H46" s="2973"/>
      <c r="I46" s="2973"/>
      <c r="J46" s="2973"/>
      <c r="K46" s="3060"/>
      <c r="L46" s="3060"/>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21" t="s">
        <v>694</v>
      </c>
      <c r="B47" s="3022"/>
      <c r="C47" s="3023" t="s">
        <v>695</v>
      </c>
      <c r="D47" s="2974"/>
      <c r="E47" s="2973"/>
      <c r="F47" s="2973"/>
      <c r="G47" s="2973"/>
      <c r="H47" s="2973"/>
      <c r="I47" s="2973"/>
      <c r="J47" s="2973"/>
      <c r="K47" s="3060"/>
      <c r="L47" s="3060"/>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24" t="s">
        <v>696</v>
      </c>
      <c r="B48" s="3025">
        <v>0.03</v>
      </c>
      <c r="C48" s="2996" t="s">
        <v>691</v>
      </c>
      <c r="D48" s="2974"/>
      <c r="E48" s="2973"/>
      <c r="F48" s="2973"/>
      <c r="G48" s="2973"/>
      <c r="H48" s="2973"/>
      <c r="I48" s="2973"/>
      <c r="J48" s="2973"/>
      <c r="K48" s="3060"/>
      <c r="L48" s="3060"/>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01" t="s">
        <v>697</v>
      </c>
      <c r="B49" s="3016">
        <v>0.0005</v>
      </c>
      <c r="C49" s="2996" t="s">
        <v>698</v>
      </c>
      <c r="D49" s="2974"/>
      <c r="E49" s="2973"/>
      <c r="F49" s="2973"/>
      <c r="G49" s="2973"/>
      <c r="H49" s="2973"/>
      <c r="I49" s="2973"/>
      <c r="J49" s="2973"/>
      <c r="K49" s="3060"/>
      <c r="L49" s="3060"/>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26" t="s">
        <v>699</v>
      </c>
      <c r="B50" s="3027">
        <v>0.012</v>
      </c>
      <c r="C50" s="1498"/>
      <c r="D50" s="2974"/>
      <c r="E50" s="2973"/>
      <c r="F50" s="2973"/>
      <c r="G50" s="2973"/>
      <c r="H50" s="2973"/>
      <c r="I50" s="2973"/>
      <c r="J50" s="2973"/>
      <c r="K50" s="3060"/>
      <c r="L50" s="3060"/>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2994" t="s">
        <v>700</v>
      </c>
      <c r="B51" s="3028">
        <v>0.12</v>
      </c>
      <c r="C51" s="1498"/>
      <c r="D51" s="2974"/>
      <c r="E51" s="2973"/>
      <c r="F51" s="2973"/>
      <c r="G51" s="2973"/>
      <c r="H51" s="2973"/>
      <c r="I51" s="2973"/>
      <c r="J51" s="2973"/>
      <c r="K51" s="3060"/>
      <c r="L51" s="3060"/>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26" t="s">
        <v>701</v>
      </c>
      <c r="B52" s="3029">
        <f>SUMIF(A54:A63,B53,B54:B63)</f>
        <v>1.5</v>
      </c>
      <c r="C52" s="1498"/>
      <c r="D52" s="2974"/>
      <c r="E52" s="2973"/>
      <c r="F52" s="2973"/>
      <c r="G52" s="2973"/>
      <c r="H52" s="2973"/>
      <c r="I52" s="2973"/>
      <c r="J52" s="2973"/>
      <c r="K52" s="3060"/>
      <c r="L52" s="3060"/>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2991" t="s">
        <v>702</v>
      </c>
      <c r="B53" s="3030" t="s">
        <v>273</v>
      </c>
      <c r="C53" s="1498" t="s">
        <v>703</v>
      </c>
      <c r="D53" s="3031" t="s">
        <v>704</v>
      </c>
      <c r="E53" s="2973"/>
      <c r="F53" s="2973"/>
      <c r="G53" s="2973"/>
      <c r="H53" s="2973"/>
      <c r="I53" s="2973"/>
      <c r="J53" s="2973"/>
      <c r="K53" s="3060"/>
      <c r="L53" s="3060"/>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32" t="s">
        <v>705</v>
      </c>
      <c r="B54" s="3033">
        <v>25</v>
      </c>
      <c r="C54" s="1498">
        <v>30</v>
      </c>
      <c r="D54" s="2974"/>
      <c r="E54" s="2973"/>
      <c r="F54" s="2973"/>
      <c r="G54" s="2973"/>
      <c r="H54" s="2973"/>
      <c r="I54" s="2973"/>
      <c r="J54" s="2973"/>
      <c r="K54" s="3060"/>
      <c r="L54" s="3060"/>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32" t="s">
        <v>706</v>
      </c>
      <c r="B55" s="3033">
        <v>20</v>
      </c>
      <c r="C55" s="1498">
        <v>24</v>
      </c>
      <c r="D55" s="2974"/>
      <c r="E55" s="2973"/>
      <c r="F55" s="2973"/>
      <c r="G55" s="2973"/>
      <c r="H55" s="2973"/>
      <c r="I55" s="3061"/>
      <c r="J55" s="2973"/>
      <c r="K55" s="3060"/>
      <c r="L55" s="3060"/>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32" t="s">
        <v>707</v>
      </c>
      <c r="B56" s="3033">
        <v>15</v>
      </c>
      <c r="C56" s="1498">
        <v>18</v>
      </c>
      <c r="D56" s="2974"/>
      <c r="E56" s="2973"/>
      <c r="F56" s="2973"/>
      <c r="G56" s="2973"/>
      <c r="H56" s="2973"/>
      <c r="I56" s="2973"/>
      <c r="J56" s="2973"/>
      <c r="K56" s="3060"/>
      <c r="L56" s="3060"/>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32" t="s">
        <v>708</v>
      </c>
      <c r="B57" s="3033">
        <v>10</v>
      </c>
      <c r="C57" s="1498">
        <v>12</v>
      </c>
      <c r="D57" s="2974"/>
      <c r="E57" s="2973"/>
      <c r="F57" s="2973"/>
      <c r="G57" s="2973"/>
      <c r="H57" s="2973"/>
      <c r="I57" s="2973"/>
      <c r="J57" s="2973"/>
      <c r="K57" s="3060"/>
      <c r="L57" s="3060"/>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32" t="s">
        <v>709</v>
      </c>
      <c r="B58" s="3033">
        <v>5</v>
      </c>
      <c r="C58" s="1498">
        <v>3</v>
      </c>
      <c r="D58" s="2974"/>
      <c r="E58" s="2973"/>
      <c r="F58" s="2973"/>
      <c r="G58" s="2973"/>
      <c r="H58" s="2973"/>
      <c r="I58" s="2973"/>
      <c r="J58" s="2973"/>
      <c r="K58" s="3060"/>
      <c r="L58" s="3060"/>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32" t="s">
        <v>710</v>
      </c>
      <c r="B59" s="3033">
        <v>1.5</v>
      </c>
      <c r="C59" s="1498">
        <v>1.5</v>
      </c>
      <c r="D59" s="2974"/>
      <c r="E59" s="2973"/>
      <c r="F59" s="2973"/>
      <c r="G59" s="2973"/>
      <c r="H59" s="2973"/>
      <c r="I59" s="2973"/>
      <c r="J59" s="2973"/>
      <c r="K59" s="3060"/>
      <c r="L59" s="3060"/>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32" t="s">
        <v>711</v>
      </c>
      <c r="B60" s="3033">
        <v>1</v>
      </c>
      <c r="C60" s="2973"/>
      <c r="D60" s="2974"/>
      <c r="E60" s="2973"/>
      <c r="F60" s="2973"/>
      <c r="G60" s="2973"/>
      <c r="H60" s="2973"/>
      <c r="I60" s="2973"/>
      <c r="J60" s="2973"/>
      <c r="K60" s="3060"/>
      <c r="L60" s="3060"/>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32" t="s">
        <v>712</v>
      </c>
      <c r="B61" s="3033"/>
      <c r="C61" s="2973"/>
      <c r="D61" s="2974"/>
      <c r="E61" s="2973"/>
      <c r="F61" s="2973"/>
      <c r="G61" s="2973"/>
      <c r="H61" s="2973"/>
      <c r="I61" s="2973"/>
      <c r="J61" s="2973"/>
      <c r="K61" s="3060"/>
      <c r="L61" s="3060"/>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32" t="s">
        <v>713</v>
      </c>
      <c r="B62" s="3033"/>
      <c r="C62" s="2973"/>
      <c r="D62" s="2974"/>
      <c r="E62" s="2973"/>
      <c r="F62" s="2973"/>
      <c r="G62" s="2973"/>
      <c r="H62" s="2973"/>
      <c r="I62" s="2973"/>
      <c r="J62" s="2973"/>
      <c r="K62" s="3060"/>
      <c r="L62" s="3060"/>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34" t="s">
        <v>714</v>
      </c>
      <c r="B63" s="3035"/>
      <c r="C63" s="2973"/>
      <c r="D63" s="2974"/>
      <c r="E63" s="2973"/>
      <c r="F63" s="2973"/>
      <c r="G63" s="2973"/>
      <c r="H63" s="2973"/>
      <c r="I63" s="2973"/>
      <c r="J63" s="2973"/>
      <c r="K63" s="3060"/>
      <c r="L63" s="3060"/>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6"/>
      <c r="B64" s="2389"/>
      <c r="C64" s="2389"/>
      <c r="D64" s="2971"/>
      <c r="E64" s="2389"/>
      <c r="F64" s="2389"/>
      <c r="G64" s="2389"/>
      <c r="H64" s="2389"/>
      <c r="I64" s="2389"/>
      <c r="J64" s="2389"/>
      <c r="K64" s="3060"/>
      <c r="L64" s="3060"/>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6"/>
      <c r="B65" s="2389"/>
      <c r="C65" s="2389"/>
      <c r="D65" s="2971"/>
      <c r="E65" s="2389"/>
      <c r="F65" s="2389"/>
      <c r="G65" s="2389"/>
      <c r="H65" s="2389"/>
      <c r="I65" s="2389"/>
      <c r="J65" s="2389"/>
      <c r="K65" s="3060"/>
      <c r="L65" s="3060"/>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6"/>
      <c r="B66" s="2389"/>
      <c r="C66" s="2389"/>
      <c r="D66" s="2971"/>
      <c r="E66" s="2389"/>
      <c r="F66" s="2389"/>
      <c r="G66" s="2389"/>
      <c r="H66" s="2389"/>
      <c r="I66" s="2389"/>
      <c r="J66" s="2389"/>
      <c r="K66" s="3060"/>
      <c r="L66" s="3060"/>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6"/>
      <c r="B67" s="2389"/>
      <c r="C67" s="2389"/>
      <c r="D67" s="2971"/>
      <c r="E67" s="2389"/>
      <c r="F67" s="2389"/>
      <c r="G67" s="2389"/>
      <c r="H67" s="2389"/>
      <c r="I67" s="2389"/>
      <c r="J67" s="2389"/>
      <c r="K67" s="3060"/>
      <c r="L67" s="3060"/>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6"/>
      <c r="B68" s="2389"/>
      <c r="C68" s="2389"/>
      <c r="D68" s="2971"/>
      <c r="E68" s="2389"/>
      <c r="F68" s="2389"/>
      <c r="G68" s="2389"/>
      <c r="H68" s="2389"/>
      <c r="I68" s="2389"/>
      <c r="J68" s="2389"/>
      <c r="K68" s="3060"/>
      <c r="L68" s="3060"/>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5"/>
      <c r="K69" s="1089"/>
      <c r="L69" s="1089"/>
    </row>
    <row r="70" s="2461" customFormat="1" spans="1:12">
      <c r="A70" s="2833"/>
      <c r="D70" s="3125"/>
      <c r="K70" s="1089"/>
      <c r="L70" s="1089"/>
    </row>
    <row r="71" s="2461" customFormat="1" spans="1:12">
      <c r="A71" s="2833"/>
      <c r="D71" s="3125"/>
      <c r="K71" s="1089"/>
      <c r="L71" s="1089"/>
    </row>
    <row r="72" s="2461" customFormat="1" spans="1:12">
      <c r="A72" s="2833"/>
      <c r="D72" s="3125"/>
      <c r="K72" s="1089"/>
      <c r="L72" s="1089"/>
    </row>
    <row r="73" s="2461" customFormat="1" spans="1:12">
      <c r="A73" s="2833"/>
      <c r="D73" s="3125"/>
      <c r="K73" s="1089"/>
      <c r="L73" s="1089"/>
    </row>
    <row r="74" s="2461" customFormat="1" spans="1:12">
      <c r="A74" s="2833"/>
      <c r="D74" s="3125"/>
      <c r="K74" s="1089"/>
      <c r="L74" s="1089"/>
    </row>
    <row r="75" s="2461" customFormat="1" spans="1:12">
      <c r="A75" s="2833"/>
      <c r="D75" s="3125"/>
      <c r="K75" s="1089"/>
      <c r="L75" s="1089"/>
    </row>
    <row r="76" s="2461" customFormat="1" spans="1:12">
      <c r="A76" s="2833"/>
      <c r="D76" s="3125"/>
      <c r="K76" s="1089"/>
      <c r="L76" s="1089"/>
    </row>
    <row r="77" s="2461" customFormat="1" spans="1:12">
      <c r="A77" s="2833"/>
      <c r="D77" s="3125"/>
      <c r="K77" s="1089"/>
      <c r="L77" s="1089"/>
    </row>
    <row r="78" s="2461" customFormat="1" spans="1:12">
      <c r="A78" s="2833"/>
      <c r="D78" s="3125"/>
      <c r="K78" s="1089"/>
      <c r="L78" s="1089"/>
    </row>
    <row r="79" s="2461" customFormat="1" spans="1:12">
      <c r="A79" s="2833"/>
      <c r="D79" s="3125"/>
      <c r="K79" s="1089"/>
      <c r="L79" s="1089"/>
    </row>
    <row r="80" s="2461" customFormat="1" spans="1:12">
      <c r="A80" s="2833"/>
      <c r="D80" s="3125"/>
      <c r="K80" s="1089"/>
      <c r="L80" s="1089"/>
    </row>
    <row r="81" s="2461" customFormat="1" spans="1:12">
      <c r="A81" s="2833"/>
      <c r="D81" s="3125"/>
      <c r="K81" s="1089"/>
      <c r="L81" s="1089"/>
    </row>
    <row r="82" s="2461" customFormat="1" spans="1:12">
      <c r="A82" s="2833"/>
      <c r="D82" s="3125"/>
      <c r="K82" s="1089"/>
      <c r="L82" s="1089"/>
    </row>
    <row r="83" s="2461" customFormat="1" spans="1:12">
      <c r="A83" s="2833"/>
      <c r="D83" s="3125"/>
      <c r="K83" s="1089"/>
      <c r="L83" s="1089"/>
    </row>
    <row r="84" s="2461" customFormat="1" spans="1:12">
      <c r="A84" s="2833"/>
      <c r="D84" s="3125"/>
      <c r="K84" s="1089"/>
      <c r="L84" s="1089"/>
    </row>
    <row r="85" s="2461" customFormat="1" spans="1:12">
      <c r="A85" s="2833"/>
      <c r="D85" s="3125"/>
      <c r="K85" s="1089"/>
      <c r="L85" s="1089"/>
    </row>
    <row r="86" s="2461" customFormat="1" spans="1:12">
      <c r="A86" s="2833"/>
      <c r="D86" s="3125"/>
      <c r="K86" s="1089"/>
      <c r="L86" s="1089"/>
    </row>
    <row r="87" s="2461" customFormat="1" spans="1:12">
      <c r="A87" s="2833"/>
      <c r="D87" s="3125"/>
      <c r="K87" s="1089"/>
      <c r="L87" s="1089"/>
    </row>
    <row r="88" s="2461" customFormat="1" spans="1:12">
      <c r="A88" s="2833"/>
      <c r="D88" s="3125"/>
      <c r="K88" s="1089"/>
      <c r="L88" s="1089"/>
    </row>
    <row r="89" s="2461" customFormat="1" spans="1:12">
      <c r="A89" s="2833"/>
      <c r="D89" s="3125"/>
      <c r="K89" s="1089"/>
      <c r="L89" s="1089"/>
    </row>
    <row r="90" s="2461" customFormat="1" spans="1:12">
      <c r="A90" s="2833"/>
      <c r="D90" s="3125"/>
      <c r="K90" s="1089"/>
      <c r="L90" s="1089"/>
    </row>
    <row r="91" s="2461" customFormat="1" spans="1:12">
      <c r="A91" s="2833"/>
      <c r="D91" s="3125"/>
      <c r="K91" s="1089"/>
      <c r="L91" s="1089"/>
    </row>
    <row r="92" s="2461" customFormat="1" spans="1:12">
      <c r="A92" s="2833"/>
      <c r="D92" s="3125"/>
      <c r="K92" s="1089"/>
      <c r="L92" s="1089"/>
    </row>
    <row r="93" s="2461" customFormat="1" spans="1:12">
      <c r="A93" s="2833"/>
      <c r="D93" s="3125"/>
      <c r="K93" s="1089"/>
      <c r="L93" s="1089"/>
    </row>
    <row r="94" s="2461" customFormat="1" spans="1:12">
      <c r="A94" s="2833"/>
      <c r="D94" s="3125"/>
      <c r="K94" s="1089"/>
      <c r="L94" s="1089"/>
    </row>
    <row r="95" s="2461" customFormat="1" spans="1:12">
      <c r="A95" s="2833"/>
      <c r="D95" s="3125"/>
      <c r="K95" s="1089"/>
      <c r="L95" s="1089"/>
    </row>
    <row r="96" s="2461" customFormat="1" spans="1:12">
      <c r="A96" s="2833"/>
      <c r="D96" s="3125"/>
      <c r="K96" s="1089"/>
      <c r="L96" s="1089"/>
    </row>
    <row r="97" s="2461" customFormat="1" spans="1:12">
      <c r="A97" s="2833"/>
      <c r="D97" s="3125"/>
      <c r="K97" s="1089"/>
      <c r="L97" s="1089"/>
    </row>
    <row r="98" s="2461" customFormat="1" spans="1:12">
      <c r="A98" s="2833"/>
      <c r="D98" s="3125"/>
      <c r="K98" s="1089"/>
      <c r="L98" s="1089"/>
    </row>
    <row r="99" s="2461" customFormat="1" spans="1:12">
      <c r="A99" s="2833"/>
      <c r="D99" s="3125"/>
      <c r="K99" s="1089"/>
      <c r="L99" s="1089"/>
    </row>
    <row r="100" s="2461" customFormat="1" spans="1:12">
      <c r="A100" s="2833"/>
      <c r="D100" s="3125"/>
      <c r="K100" s="1089"/>
      <c r="L100" s="1089"/>
    </row>
    <row r="101" s="2461" customFormat="1" spans="1:12">
      <c r="A101" s="2833"/>
      <c r="D101" s="3125"/>
      <c r="K101" s="1089"/>
      <c r="L101" s="1089"/>
    </row>
    <row r="102" s="2461" customFormat="1" spans="1:12">
      <c r="A102" s="2833"/>
      <c r="D102" s="3125"/>
      <c r="K102" s="1089"/>
      <c r="L102" s="1089"/>
    </row>
    <row r="103" s="2461" customFormat="1" spans="1:12">
      <c r="A103" s="2833"/>
      <c r="D103" s="3125"/>
      <c r="K103" s="1089"/>
      <c r="L103" s="1089"/>
    </row>
    <row r="104" s="2461" customFormat="1" spans="1:12">
      <c r="A104" s="2833"/>
      <c r="D104" s="3125"/>
      <c r="K104" s="1089"/>
      <c r="L104" s="1089"/>
    </row>
    <row r="105" s="2461" customFormat="1" spans="1:12">
      <c r="A105" s="2833"/>
      <c r="D105" s="3125"/>
      <c r="K105" s="1089"/>
      <c r="L105" s="1089"/>
    </row>
    <row r="106" s="2461" customFormat="1" spans="1:12">
      <c r="A106" s="2833"/>
      <c r="D106" s="3125"/>
      <c r="K106" s="1089"/>
      <c r="L106" s="1089"/>
    </row>
    <row r="107" s="2461" customFormat="1" spans="1:12">
      <c r="A107" s="2833"/>
      <c r="D107" s="3125"/>
      <c r="K107" s="1089"/>
      <c r="L107" s="1089"/>
    </row>
    <row r="108" s="2461" customFormat="1" spans="1:12">
      <c r="A108" s="2833"/>
      <c r="D108" s="3125"/>
      <c r="K108" s="1089"/>
      <c r="L108" s="1089"/>
    </row>
    <row r="109" s="2461" customFormat="1" spans="1:12">
      <c r="A109" s="2833"/>
      <c r="D109" s="3125"/>
      <c r="K109" s="1089"/>
      <c r="L109" s="1089"/>
    </row>
    <row r="110" s="2461" customFormat="1" spans="1:12">
      <c r="A110" s="2833"/>
      <c r="D110" s="3125"/>
      <c r="K110" s="1089"/>
      <c r="L110" s="1089"/>
    </row>
    <row r="111" s="2461" customFormat="1" spans="1:12">
      <c r="A111" s="2833"/>
      <c r="D111" s="3125"/>
      <c r="K111" s="1089"/>
      <c r="L111" s="1089"/>
    </row>
    <row r="112" s="2461" customFormat="1" spans="1:12">
      <c r="A112" s="2833"/>
      <c r="D112" s="3125"/>
      <c r="K112" s="1089"/>
      <c r="L112" s="1089"/>
    </row>
    <row r="113" s="2461" customFormat="1" spans="1:12">
      <c r="A113" s="2833"/>
      <c r="D113" s="3125"/>
      <c r="K113" s="1089"/>
      <c r="L113" s="1089"/>
    </row>
    <row r="114" s="2461" customFormat="1" spans="1:12">
      <c r="A114" s="2833"/>
      <c r="D114" s="3125"/>
      <c r="K114" s="1089"/>
      <c r="L114" s="1089"/>
    </row>
    <row r="115" s="2461" customFormat="1" spans="1:12">
      <c r="A115" s="2833"/>
      <c r="D115" s="3125"/>
      <c r="K115" s="1089"/>
      <c r="L115" s="1089"/>
    </row>
    <row r="116" s="2461" customFormat="1" spans="1:12">
      <c r="A116" s="2833"/>
      <c r="D116" s="3125"/>
      <c r="K116" s="1089"/>
      <c r="L116" s="1089"/>
    </row>
    <row r="117" s="2461" customFormat="1" spans="1:12">
      <c r="A117" s="2833"/>
      <c r="D117" s="3125"/>
      <c r="K117" s="1089"/>
      <c r="L117" s="1089"/>
    </row>
    <row r="118" s="2461" customFormat="1" spans="1:12">
      <c r="A118" s="2833"/>
      <c r="D118" s="3125"/>
      <c r="K118" s="1089"/>
      <c r="L118" s="1089"/>
    </row>
    <row r="119" s="2461" customFormat="1" spans="1:12">
      <c r="A119" s="2833"/>
      <c r="D119" s="3125"/>
      <c r="K119" s="1089"/>
      <c r="L119" s="1089"/>
    </row>
    <row r="120" s="2461" customFormat="1" spans="1:12">
      <c r="A120" s="2833"/>
      <c r="D120" s="3125"/>
      <c r="K120" s="1089"/>
      <c r="L120" s="1089"/>
    </row>
    <row r="121" s="2461" customFormat="1" spans="1:12">
      <c r="A121" s="2833"/>
      <c r="D121" s="3125"/>
      <c r="K121" s="1089"/>
      <c r="L121" s="1089"/>
    </row>
    <row r="122" s="2461" customFormat="1" spans="1:12">
      <c r="A122" s="2833"/>
      <c r="D122" s="3125"/>
      <c r="K122" s="1089"/>
      <c r="L122" s="1089"/>
    </row>
    <row r="123" s="2461" customFormat="1" spans="1:12">
      <c r="A123" s="2833"/>
      <c r="D123" s="3125"/>
      <c r="K123" s="1089"/>
      <c r="L123" s="1089"/>
    </row>
    <row r="124" s="2461" customFormat="1" spans="1:12">
      <c r="A124" s="2833"/>
      <c r="D124" s="3125"/>
      <c r="K124" s="1089"/>
      <c r="L124" s="1089"/>
    </row>
    <row r="125" s="2461" customFormat="1" spans="1:12">
      <c r="A125" s="2833"/>
      <c r="D125" s="3125"/>
      <c r="K125" s="1089"/>
      <c r="L125" s="1089"/>
    </row>
    <row r="126" s="2461" customFormat="1" spans="1:12">
      <c r="A126" s="2833"/>
      <c r="D126" s="3125"/>
      <c r="K126" s="1089"/>
      <c r="L126" s="1089"/>
    </row>
    <row r="127" s="2461" customFormat="1" spans="1:12">
      <c r="A127" s="2833"/>
      <c r="D127" s="3125"/>
      <c r="K127" s="1089"/>
      <c r="L127" s="1089"/>
    </row>
    <row r="128" s="2461" customFormat="1" spans="1:12">
      <c r="A128" s="2833"/>
      <c r="D128" s="3125"/>
      <c r="K128" s="1089"/>
      <c r="L128" s="1089"/>
    </row>
    <row r="129" s="2461" customFormat="1" spans="1:12">
      <c r="A129" s="2833"/>
      <c r="D129" s="3125"/>
      <c r="K129" s="1089"/>
      <c r="L129" s="1089"/>
    </row>
    <row r="130" s="2461" customFormat="1" spans="1:12">
      <c r="A130" s="2833"/>
      <c r="D130" s="3125"/>
      <c r="K130" s="1089"/>
      <c r="L130" s="1089"/>
    </row>
    <row r="131" s="2461" customFormat="1" spans="1:12">
      <c r="A131" s="2833"/>
      <c r="D131" s="3125"/>
      <c r="K131" s="1089"/>
      <c r="L131" s="1089"/>
    </row>
    <row r="132" s="2461" customFormat="1" spans="1:12">
      <c r="A132" s="2833"/>
      <c r="D132" s="3125"/>
      <c r="K132" s="1089"/>
      <c r="L132" s="1089"/>
    </row>
    <row r="133" s="2461" customFormat="1" spans="1:12">
      <c r="A133" s="2833"/>
      <c r="D133" s="3125"/>
      <c r="K133" s="1089"/>
      <c r="L133" s="1089"/>
    </row>
    <row r="134" s="2930" customFormat="1" spans="1:12">
      <c r="A134" s="3126"/>
      <c r="D134" s="3127"/>
      <c r="K134" s="990"/>
      <c r="L134" s="990"/>
    </row>
    <row r="135" s="2930" customFormat="1" spans="1:12">
      <c r="A135" s="3126"/>
      <c r="D135" s="3127"/>
      <c r="K135" s="990"/>
      <c r="L135" s="990"/>
    </row>
    <row r="136" s="2930" customFormat="1" spans="1:12">
      <c r="A136" s="3126"/>
      <c r="D136" s="3127"/>
      <c r="K136" s="990"/>
      <c r="L136" s="990"/>
    </row>
    <row r="137" s="2930" customFormat="1" spans="1:12">
      <c r="A137" s="3126"/>
      <c r="D137" s="3127"/>
      <c r="K137" s="990"/>
      <c r="L137" s="990"/>
    </row>
    <row r="138" s="2930" customFormat="1" spans="1:12">
      <c r="A138" s="3126"/>
      <c r="D138" s="3127"/>
      <c r="K138" s="990"/>
      <c r="L138" s="990"/>
    </row>
    <row r="139" s="2930" customFormat="1" spans="1:12">
      <c r="A139" s="3126"/>
      <c r="D139" s="3127"/>
      <c r="K139" s="990"/>
      <c r="L139" s="990"/>
    </row>
    <row r="140" s="2930" customFormat="1" spans="1:12">
      <c r="A140" s="3126"/>
      <c r="D140" s="3127"/>
      <c r="K140" s="990"/>
      <c r="L140" s="990"/>
    </row>
    <row r="141" s="2930" customFormat="1" spans="1:12">
      <c r="A141" s="3126"/>
      <c r="D141" s="3127"/>
      <c r="K141" s="990"/>
      <c r="L141" s="990"/>
    </row>
    <row r="142" s="2930" customFormat="1" spans="1:12">
      <c r="A142" s="3126"/>
      <c r="D142" s="3127"/>
      <c r="K142" s="990"/>
      <c r="L142" s="990"/>
    </row>
    <row r="143" s="2930" customFormat="1" spans="1:12">
      <c r="A143" s="3126"/>
      <c r="D143" s="3127"/>
      <c r="K143" s="990"/>
      <c r="L143" s="990"/>
    </row>
    <row r="144" s="2930" customFormat="1" spans="1:12">
      <c r="A144" s="3126"/>
      <c r="D144" s="3127"/>
      <c r="K144" s="990"/>
      <c r="L144" s="990"/>
    </row>
    <row r="145" s="2930" customFormat="1" spans="1:12">
      <c r="A145" s="3126"/>
      <c r="D145" s="3127"/>
      <c r="K145" s="990"/>
      <c r="L145" s="990"/>
    </row>
    <row r="146" s="2930" customFormat="1" spans="1:12">
      <c r="A146" s="3126"/>
      <c r="D146" s="3127"/>
      <c r="K146" s="990"/>
      <c r="L146" s="990"/>
    </row>
    <row r="147" s="2930" customFormat="1" spans="1:12">
      <c r="A147" s="3126"/>
      <c r="D147" s="3127"/>
      <c r="K147" s="990"/>
      <c r="L147" s="990"/>
    </row>
    <row r="148" s="2930" customFormat="1" spans="1:12">
      <c r="A148" s="3126"/>
      <c r="D148" s="3127"/>
      <c r="K148" s="990"/>
      <c r="L148" s="990"/>
    </row>
    <row r="149" s="2930" customFormat="1" spans="1:12">
      <c r="A149" s="3126"/>
      <c r="D149" s="3127"/>
      <c r="K149" s="990"/>
      <c r="L149" s="990"/>
    </row>
    <row r="150" s="2930" customFormat="1" spans="1:12">
      <c r="A150" s="3126"/>
      <c r="D150" s="3127"/>
      <c r="K150" s="990"/>
      <c r="L150" s="990"/>
    </row>
    <row r="151" s="2930" customFormat="1" spans="1:12">
      <c r="A151" s="3126"/>
      <c r="D151" s="3127"/>
      <c r="K151" s="990"/>
      <c r="L151" s="990"/>
    </row>
    <row r="152" s="2930" customFormat="1" spans="1:12">
      <c r="A152" s="3126"/>
      <c r="D152" s="3127"/>
      <c r="K152" s="990"/>
      <c r="L152" s="990"/>
    </row>
    <row r="153" s="2930" customFormat="1" spans="1:12">
      <c r="A153" s="3126"/>
      <c r="D153" s="3127"/>
      <c r="K153" s="990"/>
      <c r="L153" s="990"/>
    </row>
    <row r="154" s="2930" customFormat="1" spans="1:12">
      <c r="A154" s="3126"/>
      <c r="D154" s="3127"/>
      <c r="K154" s="990"/>
      <c r="L154" s="990"/>
    </row>
    <row r="155" s="2930" customFormat="1" spans="1:12">
      <c r="A155" s="3126"/>
      <c r="D155" s="3127"/>
      <c r="K155" s="990"/>
      <c r="L155" s="990"/>
    </row>
    <row r="156" s="2930" customFormat="1" spans="1:12">
      <c r="A156" s="3126"/>
      <c r="D156" s="3127"/>
      <c r="K156" s="990"/>
      <c r="L156" s="990"/>
    </row>
    <row r="157" s="2930" customFormat="1" spans="1:12">
      <c r="A157" s="3126"/>
      <c r="D157" s="3127"/>
      <c r="K157" s="990"/>
      <c r="L157" s="990"/>
    </row>
    <row r="158" s="2930" customFormat="1" spans="1:12">
      <c r="A158" s="3126"/>
      <c r="D158" s="3127"/>
      <c r="K158" s="990"/>
      <c r="L158" s="990"/>
    </row>
    <row r="159" s="2930" customFormat="1" spans="1:12">
      <c r="A159" s="3126"/>
      <c r="D159" s="3127"/>
      <c r="K159" s="990"/>
      <c r="L159" s="990"/>
    </row>
    <row r="160" s="2930" customFormat="1" spans="1:12">
      <c r="A160" s="3126"/>
      <c r="D160" s="3127"/>
      <c r="K160" s="990"/>
      <c r="L160" s="990"/>
    </row>
    <row r="161" s="2930" customFormat="1" spans="1:12">
      <c r="A161" s="3126"/>
      <c r="D161" s="3127"/>
      <c r="K161" s="990"/>
      <c r="L161" s="990"/>
    </row>
    <row r="162" s="2930" customFormat="1" spans="1:12">
      <c r="A162" s="3126"/>
      <c r="D162" s="3127"/>
      <c r="K162" s="990"/>
      <c r="L162" s="990"/>
    </row>
    <row r="163" s="2930" customFormat="1" spans="1:12">
      <c r="A163" s="3126"/>
      <c r="D163" s="3127"/>
      <c r="K163" s="990"/>
      <c r="L163" s="990"/>
    </row>
    <row r="164" s="2930" customFormat="1" spans="1:12">
      <c r="A164" s="3126"/>
      <c r="D164" s="3127"/>
      <c r="K164" s="990"/>
      <c r="L164" s="990"/>
    </row>
    <row r="165" s="2930" customFormat="1" spans="1:12">
      <c r="A165" s="3126"/>
      <c r="D165" s="3127"/>
      <c r="K165" s="990"/>
      <c r="L165" s="990"/>
    </row>
    <row r="166" s="2930" customFormat="1" spans="1:12">
      <c r="A166" s="3126"/>
      <c r="D166" s="3127"/>
      <c r="K166" s="990"/>
      <c r="L166" s="990"/>
    </row>
    <row r="167" s="2930" customFormat="1" spans="1:12">
      <c r="A167" s="3126"/>
      <c r="D167" s="3127"/>
      <c r="K167" s="990"/>
      <c r="L167" s="990"/>
    </row>
    <row r="168" s="2930" customFormat="1" spans="1:12">
      <c r="A168" s="3126"/>
      <c r="D168" s="3127"/>
      <c r="K168" s="990"/>
      <c r="L168" s="990"/>
    </row>
    <row r="169" s="2930" customFormat="1" spans="1:12">
      <c r="A169" s="3126"/>
      <c r="D169" s="3127"/>
      <c r="K169" s="990"/>
      <c r="L169" s="990"/>
    </row>
    <row r="170" s="2930" customFormat="1" spans="1:12">
      <c r="A170" s="3126"/>
      <c r="D170" s="3127"/>
      <c r="K170" s="990"/>
      <c r="L170" s="990"/>
    </row>
    <row r="171" s="2930" customFormat="1" spans="1:12">
      <c r="A171" s="3126"/>
      <c r="D171" s="3127"/>
      <c r="K171" s="990"/>
      <c r="L171" s="990"/>
    </row>
    <row r="172" s="2930" customFormat="1" spans="1:12">
      <c r="A172" s="3126"/>
      <c r="D172" s="3127"/>
      <c r="K172" s="990"/>
      <c r="L172" s="990"/>
    </row>
    <row r="173" s="2930" customFormat="1" spans="1:12">
      <c r="A173" s="3126"/>
      <c r="D173" s="3127"/>
      <c r="K173" s="990"/>
      <c r="L173" s="990"/>
    </row>
    <row r="174" s="2930" customFormat="1" spans="1:12">
      <c r="A174" s="3126"/>
      <c r="D174" s="312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6" customWidth="1"/>
    <col min="2" max="2" width="24.5" style="2857" customWidth="1"/>
    <col min="3" max="3" width="24.5" style="2858" customWidth="1"/>
    <col min="4" max="4" width="2.625" style="2858" customWidth="1"/>
    <col min="5" max="5" width="5.875" style="2858" customWidth="1"/>
    <col min="6" max="6" width="27" style="2857" customWidth="1"/>
    <col min="7" max="7" width="27" style="2859" customWidth="1"/>
    <col min="8" max="8" width="11.875" style="2860" customWidth="1"/>
    <col min="9" max="9" width="16.75" style="2861" customWidth="1"/>
    <col min="10" max="10" width="2.625" style="2860" customWidth="1"/>
    <col min="11" max="11" width="11.875" style="2860" customWidth="1"/>
    <col min="12" max="12" width="16.75" style="2861" customWidth="1"/>
    <col min="13" max="13" width="2.625" style="2860" customWidth="1"/>
    <col min="14" max="14" width="11.875" style="2860" customWidth="1"/>
    <col min="15" max="15" width="16.75" style="2861" customWidth="1"/>
    <col min="16" max="16" width="2.625" style="2860" customWidth="1"/>
    <col min="17" max="17" width="11.875" style="2860" customWidth="1"/>
    <col min="18" max="18" width="16.75" style="2862" customWidth="1"/>
    <col min="19" max="29" width="9" style="2378"/>
    <col min="30" max="16384" width="9" style="2856"/>
  </cols>
  <sheetData>
    <row r="1" s="2854" customFormat="1" ht="18.75" spans="1:29">
      <c r="A1" s="2863" t="s">
        <v>715</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716</v>
      </c>
      <c r="D2" s="2869"/>
      <c r="E2" s="2866"/>
      <c r="F2" s="2870"/>
      <c r="G2" s="2868" t="s">
        <v>717</v>
      </c>
      <c r="H2" s="2378"/>
      <c r="I2" s="2378"/>
      <c r="J2" s="2378"/>
      <c r="K2" s="2378"/>
      <c r="L2" s="2378"/>
      <c r="M2" s="2378"/>
      <c r="N2" s="2378"/>
      <c r="O2" s="2378"/>
      <c r="P2" s="2378"/>
      <c r="Q2" s="2378"/>
      <c r="R2" s="2378"/>
    </row>
    <row r="3" ht="48" spans="1:18">
      <c r="A3" s="2871" t="s">
        <v>718</v>
      </c>
      <c r="B3" s="2872" t="s">
        <v>719</v>
      </c>
      <c r="C3" s="2873" t="s">
        <v>720</v>
      </c>
      <c r="D3" s="2874"/>
      <c r="E3" s="2875" t="s">
        <v>718</v>
      </c>
      <c r="F3" s="2876" t="s">
        <v>721</v>
      </c>
      <c r="G3" s="2877" t="s">
        <v>722</v>
      </c>
      <c r="H3" s="2378"/>
      <c r="I3" s="2378"/>
      <c r="J3" s="2378"/>
      <c r="K3" s="2378"/>
      <c r="L3" s="2378"/>
      <c r="M3" s="2378"/>
      <c r="N3" s="2378"/>
      <c r="O3" s="2378"/>
      <c r="P3" s="2378"/>
      <c r="Q3" s="2378"/>
      <c r="R3" s="2378"/>
    </row>
    <row r="4" ht="36.75" spans="1:18">
      <c r="A4" s="2875"/>
      <c r="B4" s="2157" t="s">
        <v>723</v>
      </c>
      <c r="C4" s="2878" t="s">
        <v>724</v>
      </c>
      <c r="D4" s="2874"/>
      <c r="E4" s="2879"/>
      <c r="F4" s="2372" t="s">
        <v>725</v>
      </c>
      <c r="G4" s="2880" t="s">
        <v>726</v>
      </c>
      <c r="H4" s="2378"/>
      <c r="I4" s="2378"/>
      <c r="J4" s="2378"/>
      <c r="K4" s="2378"/>
      <c r="L4" s="2378"/>
      <c r="M4" s="2378"/>
      <c r="N4" s="2378"/>
      <c r="O4" s="2378"/>
      <c r="P4" s="2378"/>
      <c r="Q4" s="2378"/>
      <c r="R4" s="2378"/>
    </row>
    <row r="5" ht="36.75" spans="1:18">
      <c r="A5" s="2875"/>
      <c r="B5" s="2157" t="s">
        <v>727</v>
      </c>
      <c r="C5" s="2878" t="s">
        <v>728</v>
      </c>
      <c r="D5" s="2874"/>
      <c r="E5" s="2879"/>
      <c r="F5" s="2157" t="s">
        <v>547</v>
      </c>
      <c r="G5" s="2880" t="s">
        <v>729</v>
      </c>
      <c r="H5" s="2378"/>
      <c r="I5" s="2378"/>
      <c r="J5" s="2378"/>
      <c r="K5" s="2378"/>
      <c r="L5" s="2378"/>
      <c r="M5" s="2378"/>
      <c r="N5" s="2378"/>
      <c r="O5" s="2378"/>
      <c r="P5" s="2378"/>
      <c r="Q5" s="2378"/>
      <c r="R5" s="2378"/>
    </row>
    <row r="6" ht="36" spans="1:18">
      <c r="A6" s="2875"/>
      <c r="B6" s="2157" t="s">
        <v>725</v>
      </c>
      <c r="C6" s="2880" t="s">
        <v>726</v>
      </c>
      <c r="D6" s="2874"/>
      <c r="E6" s="2879"/>
      <c r="F6" s="2157" t="s">
        <v>730</v>
      </c>
      <c r="G6" s="2880" t="s">
        <v>731</v>
      </c>
      <c r="H6" s="2378"/>
      <c r="I6" s="2378"/>
      <c r="J6" s="2378"/>
      <c r="K6" s="2378"/>
      <c r="L6" s="2378"/>
      <c r="M6" s="2378"/>
      <c r="N6" s="2378"/>
      <c r="O6" s="2378"/>
      <c r="P6" s="2378"/>
      <c r="Q6" s="2378"/>
      <c r="R6" s="2378"/>
    </row>
    <row r="7" ht="24.75" spans="1:18">
      <c r="A7" s="2875"/>
      <c r="B7" s="2157" t="s">
        <v>547</v>
      </c>
      <c r="C7" s="2880" t="s">
        <v>729</v>
      </c>
      <c r="D7" s="2881"/>
      <c r="E7" s="2882"/>
      <c r="F7" s="2883" t="s">
        <v>732</v>
      </c>
      <c r="G7" s="2884" t="s">
        <v>733</v>
      </c>
      <c r="H7" s="2378"/>
      <c r="I7" s="2378"/>
      <c r="J7" s="2378"/>
      <c r="K7" s="2378"/>
      <c r="L7" s="2378"/>
      <c r="M7" s="2378"/>
      <c r="N7" s="2378"/>
      <c r="O7" s="2378"/>
      <c r="P7" s="2378"/>
      <c r="Q7" s="2378"/>
      <c r="R7" s="2378"/>
    </row>
    <row r="8" spans="1:18">
      <c r="A8" s="2875"/>
      <c r="B8" s="2157" t="s">
        <v>730</v>
      </c>
      <c r="C8" s="2880" t="s">
        <v>731</v>
      </c>
      <c r="D8" s="2881"/>
      <c r="E8" s="2881"/>
      <c r="F8" s="2279"/>
      <c r="G8" s="2279"/>
      <c r="H8" s="2378"/>
      <c r="I8" s="2378"/>
      <c r="J8" s="2378"/>
      <c r="K8" s="2378"/>
      <c r="L8" s="2378"/>
      <c r="M8" s="2378"/>
      <c r="N8" s="2378"/>
      <c r="O8" s="2378"/>
      <c r="P8" s="2378"/>
      <c r="Q8" s="2378"/>
      <c r="R8" s="2378"/>
    </row>
    <row r="9" ht="24" spans="1:18">
      <c r="A9" s="2875"/>
      <c r="B9" s="2157" t="s">
        <v>734</v>
      </c>
      <c r="C9" s="2878" t="s">
        <v>735</v>
      </c>
      <c r="D9" s="2874"/>
      <c r="E9" s="2881"/>
      <c r="F9" s="2279"/>
      <c r="G9" s="2279"/>
      <c r="H9" s="2378"/>
      <c r="I9" s="2378"/>
      <c r="J9" s="2378"/>
      <c r="K9" s="2378"/>
      <c r="L9" s="2378"/>
      <c r="M9" s="2378"/>
      <c r="N9" s="2378"/>
      <c r="O9" s="2378"/>
      <c r="P9" s="2378"/>
      <c r="Q9" s="2378"/>
      <c r="R9" s="2378"/>
    </row>
    <row r="10" s="2855" customFormat="1" ht="15" spans="1:29">
      <c r="A10" s="2885"/>
      <c r="B10" s="2886" t="s">
        <v>736</v>
      </c>
      <c r="C10" s="2887"/>
      <c r="D10" s="2874"/>
      <c r="E10" s="2874"/>
      <c r="F10" s="2279"/>
      <c r="G10" s="2279"/>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737</v>
      </c>
      <c r="B13" s="2891"/>
      <c r="C13" s="2891"/>
      <c r="D13" s="2889"/>
      <c r="E13" s="2891"/>
      <c r="F13" s="2891"/>
      <c r="G13" s="2891"/>
    </row>
    <row r="14" spans="1:7">
      <c r="A14" s="2894"/>
      <c r="B14" s="2894"/>
      <c r="C14" s="2895" t="s">
        <v>716</v>
      </c>
      <c r="D14" s="2874"/>
      <c r="E14" s="2896"/>
      <c r="F14" s="2896"/>
      <c r="G14" s="2868" t="s">
        <v>717</v>
      </c>
    </row>
    <row r="15" ht="48" spans="1:7">
      <c r="A15" s="2897" t="s">
        <v>718</v>
      </c>
      <c r="B15" s="2898" t="s">
        <v>719</v>
      </c>
      <c r="C15" s="2899" t="str">
        <f>C3</f>
        <v>估价对象周边居住用地比例、居住小区规模和社区发展完善程度，综合评价居住社区成熟度一般</v>
      </c>
      <c r="D15" s="2874"/>
      <c r="E15" s="2900" t="s">
        <v>718</v>
      </c>
      <c r="F15" s="2898" t="s">
        <v>721</v>
      </c>
      <c r="G15" s="2901" t="str">
        <f>G3</f>
        <v>估价对象位于XX开发区，园区建设成熟度XX，产业集聚程度XX</v>
      </c>
    </row>
    <row r="16" ht="36.75" spans="1:7">
      <c r="A16" s="2902"/>
      <c r="B16" s="2903" t="s">
        <v>723</v>
      </c>
      <c r="C16" s="2904" t="str">
        <f>C4</f>
        <v>估价对象位于XX商圈，周边商业氛围成熟，人流量大，商业繁华度好</v>
      </c>
      <c r="D16" s="2874"/>
      <c r="E16" s="2905"/>
      <c r="F16" s="2906" t="s">
        <v>725</v>
      </c>
      <c r="G16" s="2907" t="str">
        <f>G4</f>
        <v>估价对象周边道路状况、公共交通通达情况、停车便捷程度，综合评价交通便捷度较好</v>
      </c>
    </row>
    <row r="17" ht="36.75" spans="1:7">
      <c r="A17" s="2902"/>
      <c r="B17" s="2903" t="s">
        <v>727</v>
      </c>
      <c r="C17" s="2904" t="str">
        <f>C5</f>
        <v>估价对象位于XX商圈，周边办公楼项目较多，入驻率高，办公集聚程度较好</v>
      </c>
      <c r="D17" s="2881"/>
      <c r="E17" s="2905"/>
      <c r="F17" s="2906" t="s">
        <v>738</v>
      </c>
      <c r="G17" s="2908"/>
    </row>
    <row r="18" ht="36" spans="1:7">
      <c r="A18" s="2902"/>
      <c r="B18" s="2906" t="s">
        <v>725</v>
      </c>
      <c r="C18" s="2907" t="str">
        <f>C6</f>
        <v>估价对象周边道路状况、公共交通通达情况、停车便捷程度，综合评价交通便捷度较好</v>
      </c>
      <c r="D18" s="2881"/>
      <c r="E18" s="2905"/>
      <c r="F18" s="2906" t="s">
        <v>732</v>
      </c>
      <c r="G18" s="2907" t="str">
        <f>G7</f>
        <v>该园区内是否有污染型企业，绿化情况，卫生条件，整体环境状况判断</v>
      </c>
    </row>
    <row r="19" ht="24" spans="1:7">
      <c r="A19" s="2902"/>
      <c r="B19" s="2906" t="s">
        <v>738</v>
      </c>
      <c r="C19" s="2908"/>
      <c r="D19" s="2874"/>
      <c r="E19" s="2905"/>
      <c r="F19" s="2157" t="s">
        <v>547</v>
      </c>
      <c r="G19" s="2907" t="str">
        <f>G5</f>
        <v>估价对象所在区域公共配套设施齐备情况</v>
      </c>
    </row>
    <row r="20" ht="24" spans="1:7">
      <c r="A20" s="2902"/>
      <c r="B20" s="2906" t="s">
        <v>739</v>
      </c>
      <c r="C20" s="2904" t="str">
        <f>C9</f>
        <v>区域自然环境：；人文环境；综合评价环境状况一般</v>
      </c>
      <c r="D20" s="2881"/>
      <c r="E20" s="2905"/>
      <c r="F20" s="2157" t="s">
        <v>730</v>
      </c>
      <c r="G20" s="2907" t="str">
        <f>G6</f>
        <v>估价对象所在区域基础设施水平</v>
      </c>
    </row>
    <row r="21" ht="24" spans="1:7">
      <c r="A21" s="2902"/>
      <c r="B21" s="2157" t="s">
        <v>547</v>
      </c>
      <c r="C21" s="2907" t="str">
        <f>C7</f>
        <v>估价对象所在区域公共配套设施齐备情况</v>
      </c>
      <c r="D21" s="2874"/>
      <c r="E21" s="2905"/>
      <c r="F21" s="2906" t="s">
        <v>740</v>
      </c>
      <c r="G21" s="2909"/>
    </row>
    <row r="22" ht="13.5" customHeight="1" spans="1:7">
      <c r="A22" s="2902"/>
      <c r="B22" s="2157" t="s">
        <v>730</v>
      </c>
      <c r="C22" s="2907" t="str">
        <f>C8</f>
        <v>估价对象所在区域基础设施水平</v>
      </c>
      <c r="D22" s="2874"/>
      <c r="E22" s="2905"/>
      <c r="F22" s="2906" t="s">
        <v>736</v>
      </c>
      <c r="G22" s="2908"/>
    </row>
    <row r="23" s="2378" customFormat="1" ht="15" spans="1:18">
      <c r="A23" s="2902"/>
      <c r="B23" s="2906" t="s">
        <v>740</v>
      </c>
      <c r="C23" s="2909"/>
      <c r="D23" s="2833"/>
      <c r="E23" s="2910"/>
      <c r="F23" s="2911" t="s">
        <v>496</v>
      </c>
      <c r="G23" s="2912"/>
      <c r="H23" s="2860"/>
      <c r="I23" s="2861"/>
      <c r="J23" s="2860"/>
      <c r="K23" s="2860"/>
      <c r="L23" s="2861"/>
      <c r="M23" s="2860"/>
      <c r="N23" s="2860"/>
      <c r="O23" s="2861"/>
      <c r="P23" s="2860"/>
      <c r="Q23" s="2860"/>
      <c r="R23" s="2862"/>
    </row>
    <row r="24" s="2378" customFormat="1" ht="15" spans="1:18">
      <c r="A24" s="2913"/>
      <c r="B24" s="2911" t="s">
        <v>736</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38" customWidth="1"/>
    <col min="2" max="9" width="15.75" style="2838" customWidth="1"/>
    <col min="10" max="16384" width="9" style="2838"/>
  </cols>
  <sheetData>
    <row r="1" ht="16.5" spans="1:11">
      <c r="A1" s="2839" t="s">
        <v>741</v>
      </c>
      <c r="B1" s="2839">
        <f>SUM(B14:B23)</f>
        <v>23244.54</v>
      </c>
      <c r="C1" s="2840"/>
      <c r="D1" s="2840"/>
      <c r="E1" s="2840"/>
      <c r="F1" s="2840"/>
      <c r="G1" s="2841"/>
      <c r="H1" s="2842"/>
      <c r="I1" s="2842"/>
      <c r="J1" s="2842"/>
      <c r="K1" s="2842"/>
    </row>
    <row r="2" ht="16.5" spans="1:11">
      <c r="A2" s="2839" t="s">
        <v>742</v>
      </c>
      <c r="B2" s="2839">
        <f>SUM(C14:C23)</f>
        <v>3800.1</v>
      </c>
      <c r="C2" s="2840"/>
      <c r="D2" s="2840"/>
      <c r="E2" s="2840"/>
      <c r="F2" s="2840"/>
      <c r="G2" s="2841"/>
      <c r="H2" s="2842"/>
      <c r="I2" s="2842"/>
      <c r="J2" s="2842"/>
      <c r="K2" s="2842"/>
    </row>
    <row r="3" ht="16.5" spans="1:11">
      <c r="A3" s="2839" t="s">
        <v>743</v>
      </c>
      <c r="B3" s="2843">
        <f>项目基本情况!D3</f>
        <v>45539</v>
      </c>
      <c r="C3" s="2840"/>
      <c r="D3" s="2840"/>
      <c r="E3" s="2840"/>
      <c r="F3" s="2840"/>
      <c r="G3" s="2841"/>
      <c r="H3" s="2842"/>
      <c r="I3" s="2842"/>
      <c r="J3" s="2842"/>
      <c r="K3" s="2842"/>
    </row>
    <row r="4" ht="33" spans="1:11">
      <c r="A4" s="2839" t="s">
        <v>744</v>
      </c>
      <c r="B4" s="2839" t="s">
        <v>745</v>
      </c>
      <c r="C4" s="2839" t="s">
        <v>746</v>
      </c>
      <c r="D4" s="2839" t="s">
        <v>747</v>
      </c>
      <c r="E4" s="2840"/>
      <c r="F4" s="2841"/>
      <c r="G4" s="2841"/>
      <c r="H4" s="2842"/>
      <c r="I4" s="2842"/>
      <c r="J4" s="2842"/>
      <c r="K4" s="2842"/>
    </row>
    <row r="5" ht="16.5" spans="1:11">
      <c r="A5" s="2839" t="s">
        <v>748</v>
      </c>
      <c r="B5" s="2839">
        <f ca="1">SUM(D14:D23)</f>
        <v>11321</v>
      </c>
      <c r="C5" s="2839">
        <f ca="1">IF(B5=D14,结果表!H102,ROUND(B5*10000/$B$1,0))</f>
        <v>4870</v>
      </c>
      <c r="D5" s="2839">
        <f ca="1">ROUND(B5*10000/$B$2,0)</f>
        <v>29791</v>
      </c>
      <c r="E5" s="2840"/>
      <c r="F5" s="2841"/>
      <c r="G5" s="2841"/>
      <c r="H5" s="2842"/>
      <c r="I5" s="2842"/>
      <c r="J5" s="2842"/>
      <c r="K5" s="2842"/>
    </row>
    <row r="6" ht="16.5" spans="1:11">
      <c r="A6" s="2839" t="s">
        <v>749</v>
      </c>
      <c r="B6" s="2839">
        <f ca="1">SUM(G14:G23)</f>
        <v>11321</v>
      </c>
      <c r="C6" s="2839">
        <f ca="1">IF(B6=G14,结果表!H108,ROUND(B6*10000/$B$1,0))</f>
        <v>4870</v>
      </c>
      <c r="D6" s="2839">
        <f ca="1">ROUND(B6*10000/$B$2,0)</f>
        <v>29791</v>
      </c>
      <c r="E6" s="2840"/>
      <c r="F6" s="2841"/>
      <c r="G6" s="2841"/>
      <c r="H6" s="2842"/>
      <c r="I6" s="2842"/>
      <c r="J6" s="2842"/>
      <c r="K6" s="2842"/>
    </row>
    <row r="7" ht="16.5" spans="1:11">
      <c r="A7" s="2839" t="s">
        <v>750</v>
      </c>
      <c r="B7" s="2839">
        <f>SUM(H14:H23)</f>
        <v>0</v>
      </c>
      <c r="C7" s="2839" t="str">
        <f ca="1">IF(B7=H14,结果表!H110,ROUND(B7*10000/$B$1,0))</f>
        <v>——</v>
      </c>
      <c r="D7" s="2839">
        <f>ROUND(B7*10000/$B$2,0)</f>
        <v>0</v>
      </c>
      <c r="E7" s="2840"/>
      <c r="F7" s="2841"/>
      <c r="G7" s="2841"/>
      <c r="H7" s="2842"/>
      <c r="I7" s="2842"/>
      <c r="J7" s="2842"/>
      <c r="K7" s="2842"/>
    </row>
    <row r="8" ht="16.5" spans="1:11">
      <c r="A8" s="2839" t="s">
        <v>336</v>
      </c>
      <c r="B8" s="2839">
        <f>SUM(I14:I23)</f>
        <v>0</v>
      </c>
      <c r="C8" s="2839" t="str">
        <f ca="1">IF(B8=I14,结果表!H112,ROUND(B8*10000/$B$1,0))</f>
        <v>——</v>
      </c>
      <c r="D8" s="2839">
        <f>ROUND(B8*10000/$B$2,0)</f>
        <v>0</v>
      </c>
      <c r="E8" s="2840"/>
      <c r="F8" s="2841"/>
      <c r="G8" s="2841"/>
      <c r="H8" s="2842"/>
      <c r="I8" s="2842"/>
      <c r="J8" s="2842"/>
      <c r="K8" s="2842"/>
    </row>
    <row r="9" ht="16.5" spans="1:11">
      <c r="A9" s="2839" t="s">
        <v>751</v>
      </c>
      <c r="B9" s="2844"/>
      <c r="C9" s="2840"/>
      <c r="D9" s="2840"/>
      <c r="E9" s="2840"/>
      <c r="F9" s="2841"/>
      <c r="G9" s="2841"/>
      <c r="H9" s="2842"/>
      <c r="I9" s="2842"/>
      <c r="J9" s="2842"/>
      <c r="K9" s="2842"/>
    </row>
    <row r="10" ht="16.5" spans="1:11">
      <c r="A10" s="2839" t="s">
        <v>752</v>
      </c>
      <c r="B10" s="2839">
        <f>IF(E10="",0,ROUND(B1*(E10*365/G10)/10000,0))</f>
        <v>0</v>
      </c>
      <c r="C10" s="2839" t="s">
        <v>753</v>
      </c>
      <c r="D10" s="2839" t="s">
        <v>752</v>
      </c>
      <c r="E10" s="2845"/>
      <c r="F10" s="2846" t="s">
        <v>754</v>
      </c>
      <c r="G10" s="2847"/>
      <c r="H10" s="2842"/>
      <c r="I10" s="2842"/>
      <c r="J10" s="2842"/>
      <c r="K10" s="2842"/>
    </row>
    <row r="11" ht="16.5" spans="1:11">
      <c r="A11" s="2839" t="s">
        <v>755</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756</v>
      </c>
      <c r="B13" s="2849" t="s">
        <v>741</v>
      </c>
      <c r="C13" s="2849" t="s">
        <v>742</v>
      </c>
      <c r="D13" s="2849" t="s">
        <v>757</v>
      </c>
      <c r="E13" s="2839" t="s">
        <v>746</v>
      </c>
      <c r="F13" s="2839" t="s">
        <v>747</v>
      </c>
      <c r="G13" s="2849" t="s">
        <v>758</v>
      </c>
      <c r="H13" s="2849" t="s">
        <v>759</v>
      </c>
      <c r="I13" s="2849" t="s">
        <v>760</v>
      </c>
      <c r="J13" s="2841"/>
      <c r="K13" s="2842"/>
    </row>
    <row r="14" ht="16.5" spans="1:11">
      <c r="A14" s="2850" t="s">
        <v>761</v>
      </c>
      <c r="B14" s="2851">
        <f>'数据-汇总表'!E31</f>
        <v>23244.54</v>
      </c>
      <c r="C14" s="2851">
        <f>'数据-汇总表'!D31</f>
        <v>3800.1</v>
      </c>
      <c r="D14" s="2851">
        <f ca="1">结果表!G19</f>
        <v>11321</v>
      </c>
      <c r="E14" s="2851">
        <f ca="1">ROUND(D14*10000/B14,0)</f>
        <v>4870</v>
      </c>
      <c r="F14" s="2851">
        <f ca="1">ROUND(D14*10000/C14,0)</f>
        <v>29791</v>
      </c>
      <c r="G14" s="2851">
        <f ca="1">D14</f>
        <v>11321</v>
      </c>
      <c r="H14" s="2851"/>
      <c r="I14" s="2851"/>
      <c r="J14" s="2841"/>
      <c r="K14" s="2842"/>
    </row>
    <row r="15" ht="16.5" spans="1:11">
      <c r="A15" s="2850" t="s">
        <v>762</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763</v>
      </c>
      <c r="B16" s="2852"/>
      <c r="C16" s="2852"/>
      <c r="D16" s="2852"/>
      <c r="E16" s="2851" t="e">
        <f t="shared" si="0"/>
        <v>#DIV/0!</v>
      </c>
      <c r="F16" s="2851" t="e">
        <f t="shared" si="1"/>
        <v>#DIV/0!</v>
      </c>
      <c r="G16" s="2853"/>
      <c r="H16" s="2853"/>
      <c r="I16" s="2852"/>
      <c r="J16" s="2842"/>
      <c r="K16" s="2842"/>
    </row>
    <row r="17" ht="16.5" spans="1:11">
      <c r="A17" s="2850" t="s">
        <v>764</v>
      </c>
      <c r="B17" s="2852"/>
      <c r="C17" s="2852"/>
      <c r="D17" s="2852"/>
      <c r="E17" s="2851" t="e">
        <f t="shared" si="0"/>
        <v>#DIV/0!</v>
      </c>
      <c r="F17" s="2851" t="e">
        <f t="shared" si="1"/>
        <v>#DIV/0!</v>
      </c>
      <c r="G17" s="2853"/>
      <c r="H17" s="2853"/>
      <c r="I17" s="2852"/>
      <c r="J17" s="2842"/>
      <c r="K17" s="2842"/>
    </row>
    <row r="18" ht="16.5" spans="1:11">
      <c r="A18" s="2850" t="s">
        <v>765</v>
      </c>
      <c r="B18" s="2852"/>
      <c r="C18" s="2852"/>
      <c r="D18" s="2852"/>
      <c r="E18" s="2851" t="e">
        <f t="shared" si="0"/>
        <v>#DIV/0!</v>
      </c>
      <c r="F18" s="2851" t="e">
        <f t="shared" si="1"/>
        <v>#DIV/0!</v>
      </c>
      <c r="G18" s="2852"/>
      <c r="H18" s="2852"/>
      <c r="I18" s="2852"/>
      <c r="J18" s="2842"/>
      <c r="K18" s="2842"/>
    </row>
    <row r="19" ht="16.5" spans="1:11">
      <c r="A19" s="2850" t="s">
        <v>766</v>
      </c>
      <c r="B19" s="2852"/>
      <c r="C19" s="2852"/>
      <c r="D19" s="2852"/>
      <c r="E19" s="2851" t="e">
        <f t="shared" si="0"/>
        <v>#DIV/0!</v>
      </c>
      <c r="F19" s="2851" t="e">
        <f t="shared" si="1"/>
        <v>#DIV/0!</v>
      </c>
      <c r="G19" s="2852"/>
      <c r="H19" s="2852"/>
      <c r="I19" s="2852"/>
      <c r="J19" s="2842"/>
      <c r="K19" s="2842"/>
    </row>
    <row r="20" ht="16.5" spans="1:11">
      <c r="A20" s="2850" t="s">
        <v>767</v>
      </c>
      <c r="B20" s="2852"/>
      <c r="C20" s="2852"/>
      <c r="D20" s="2852"/>
      <c r="E20" s="2851" t="e">
        <f t="shared" si="0"/>
        <v>#DIV/0!</v>
      </c>
      <c r="F20" s="2851" t="e">
        <f t="shared" si="1"/>
        <v>#DIV/0!</v>
      </c>
      <c r="G20" s="2852"/>
      <c r="H20" s="2852"/>
      <c r="I20" s="2852"/>
      <c r="J20" s="2842"/>
      <c r="K20" s="2842"/>
    </row>
    <row r="21" ht="16.5" spans="1:11">
      <c r="A21" s="2850" t="s">
        <v>768</v>
      </c>
      <c r="B21" s="2852"/>
      <c r="C21" s="2852"/>
      <c r="D21" s="2852"/>
      <c r="E21" s="2851" t="e">
        <f t="shared" si="0"/>
        <v>#DIV/0!</v>
      </c>
      <c r="F21" s="2851" t="e">
        <f t="shared" si="1"/>
        <v>#DIV/0!</v>
      </c>
      <c r="G21" s="2852"/>
      <c r="H21" s="2852"/>
      <c r="I21" s="2852"/>
      <c r="J21" s="2842"/>
      <c r="K21" s="2842"/>
    </row>
    <row r="22" ht="16.5" spans="1:11">
      <c r="A22" s="2850" t="s">
        <v>769</v>
      </c>
      <c r="B22" s="2852"/>
      <c r="C22" s="2852"/>
      <c r="D22" s="2852"/>
      <c r="E22" s="2851" t="e">
        <f t="shared" si="0"/>
        <v>#DIV/0!</v>
      </c>
      <c r="F22" s="2851" t="e">
        <f t="shared" si="1"/>
        <v>#DIV/0!</v>
      </c>
      <c r="G22" s="2852"/>
      <c r="H22" s="2852"/>
      <c r="I22" s="2852"/>
      <c r="J22" s="2842"/>
      <c r="K22" s="2842"/>
    </row>
    <row r="23" ht="16.5" spans="1:11">
      <c r="A23" s="2850" t="s">
        <v>770</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25" defaultRowHeight="21.75" customHeight="1"/>
  <cols>
    <col min="1" max="2" width="12.625" style="2489"/>
    <col min="3" max="4" width="12.625" style="2489" customWidth="1"/>
    <col min="5" max="9" width="12.625" style="2489"/>
    <col min="10" max="11" width="12.625" style="992" customWidth="1"/>
    <col min="12" max="12" width="12.625" style="992"/>
    <col min="13" max="13" width="14.125" style="992" customWidth="1"/>
    <col min="14" max="26" width="12.625" style="992"/>
    <col min="27" max="35" width="12.625" style="2488"/>
    <col min="36" max="16384" width="12.625" style="2489"/>
  </cols>
  <sheetData>
    <row r="1" customHeight="1" spans="1:9">
      <c r="A1" s="2490" t="s">
        <v>771</v>
      </c>
      <c r="B1" s="2491"/>
      <c r="C1" s="2492"/>
      <c r="D1" s="2491"/>
      <c r="E1" s="2491"/>
      <c r="F1" s="2493" t="s">
        <v>772</v>
      </c>
      <c r="G1" s="2494"/>
      <c r="H1" s="2495" t="str">
        <f>IF(G1="现房","——","估价对象范围")</f>
        <v>估价对象范围</v>
      </c>
      <c r="I1" s="2654"/>
    </row>
    <row r="2" customHeight="1" spans="1:9">
      <c r="A2" s="2496" t="str">
        <f>项目基本情况!S2</f>
        <v>房地产</v>
      </c>
      <c r="B2" s="2497"/>
      <c r="C2" s="2497"/>
      <c r="D2" s="2497"/>
      <c r="E2" s="2497"/>
      <c r="F2" s="2497"/>
      <c r="G2" s="2497"/>
      <c r="H2" s="2497"/>
      <c r="I2" s="2655"/>
    </row>
    <row r="3" ht="13.5" spans="1:9">
      <c r="A3" s="2498" t="s">
        <v>773</v>
      </c>
      <c r="B3" s="2167"/>
      <c r="C3" s="2167"/>
      <c r="D3" s="2167"/>
      <c r="E3" s="2167"/>
      <c r="F3" s="2167"/>
      <c r="G3" s="2167"/>
      <c r="H3" s="2167"/>
      <c r="I3" s="2167"/>
    </row>
    <row r="4" ht="14.25" spans="1:12">
      <c r="A4" s="2499" t="s">
        <v>774</v>
      </c>
      <c r="B4" s="2500" t="s">
        <v>775</v>
      </c>
      <c r="C4" s="2501" t="s">
        <v>776</v>
      </c>
      <c r="D4" s="2501" t="s">
        <v>649</v>
      </c>
      <c r="E4" s="2502" t="s">
        <v>777</v>
      </c>
      <c r="F4" s="2503"/>
      <c r="G4" s="2503"/>
      <c r="H4" s="2503"/>
      <c r="I4" s="2656"/>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4" t="s">
        <v>778</v>
      </c>
      <c r="B5" s="1369">
        <v>25</v>
      </c>
      <c r="C5" s="2505"/>
      <c r="D5" s="2506"/>
      <c r="E5" s="2156" t="s">
        <v>779</v>
      </c>
      <c r="F5" s="2507"/>
      <c r="G5" s="2507"/>
      <c r="H5" s="2507"/>
      <c r="I5" s="2372"/>
    </row>
    <row r="6" ht="13.5" spans="1:9">
      <c r="A6" s="2504"/>
      <c r="B6" s="1369"/>
      <c r="C6" s="2508"/>
      <c r="D6" s="2506"/>
      <c r="E6" s="2156" t="s">
        <v>780</v>
      </c>
      <c r="F6" s="2507"/>
      <c r="G6" s="2507"/>
      <c r="H6" s="2507"/>
      <c r="I6" s="2372"/>
    </row>
    <row r="7" ht="13.5" spans="1:9">
      <c r="A7" s="2504"/>
      <c r="B7" s="1369"/>
      <c r="C7" s="2509"/>
      <c r="D7" s="2506"/>
      <c r="E7" s="2156" t="s">
        <v>781</v>
      </c>
      <c r="F7" s="2507"/>
      <c r="G7" s="2507"/>
      <c r="H7" s="2507"/>
      <c r="I7" s="2372"/>
    </row>
    <row r="8" ht="13.5" spans="1:9">
      <c r="A8" s="2504" t="s">
        <v>782</v>
      </c>
      <c r="B8" s="1369">
        <v>15</v>
      </c>
      <c r="C8" s="2505"/>
      <c r="D8" s="2506"/>
      <c r="E8" s="2156" t="s">
        <v>783</v>
      </c>
      <c r="F8" s="2507"/>
      <c r="G8" s="2507"/>
      <c r="H8" s="2507"/>
      <c r="I8" s="2372"/>
    </row>
    <row r="9" ht="13.5" spans="1:9">
      <c r="A9" s="2504"/>
      <c r="B9" s="1369"/>
      <c r="C9" s="2509"/>
      <c r="D9" s="2506"/>
      <c r="E9" s="2156" t="s">
        <v>784</v>
      </c>
      <c r="F9" s="2507"/>
      <c r="G9" s="2507"/>
      <c r="H9" s="2507"/>
      <c r="I9" s="2372"/>
    </row>
    <row r="10" ht="13.5" spans="1:9">
      <c r="A10" s="2504" t="s">
        <v>785</v>
      </c>
      <c r="B10" s="1369">
        <v>15</v>
      </c>
      <c r="C10" s="2505"/>
      <c r="D10" s="2506"/>
      <c r="E10" s="2156" t="s">
        <v>786</v>
      </c>
      <c r="F10" s="2507"/>
      <c r="G10" s="2507"/>
      <c r="H10" s="2507"/>
      <c r="I10" s="2372"/>
    </row>
    <row r="11" ht="13.5" spans="1:9">
      <c r="A11" s="2504"/>
      <c r="B11" s="1369"/>
      <c r="C11" s="2509"/>
      <c r="D11" s="2506"/>
      <c r="E11" s="2156" t="s">
        <v>787</v>
      </c>
      <c r="F11" s="2507"/>
      <c r="G11" s="2507"/>
      <c r="H11" s="2507"/>
      <c r="I11" s="2372"/>
    </row>
    <row r="12" ht="13.5" spans="1:9">
      <c r="A12" s="2504" t="s">
        <v>788</v>
      </c>
      <c r="B12" s="1369">
        <v>15</v>
      </c>
      <c r="C12" s="2505"/>
      <c r="D12" s="2506"/>
      <c r="E12" s="2156" t="s">
        <v>789</v>
      </c>
      <c r="F12" s="2507"/>
      <c r="G12" s="2507"/>
      <c r="H12" s="2507"/>
      <c r="I12" s="2372"/>
    </row>
    <row r="13" ht="13.5" spans="1:9">
      <c r="A13" s="2504"/>
      <c r="B13" s="1369"/>
      <c r="C13" s="2509"/>
      <c r="D13" s="2506"/>
      <c r="E13" s="2156" t="s">
        <v>790</v>
      </c>
      <c r="F13" s="2507"/>
      <c r="G13" s="2507"/>
      <c r="H13" s="2507"/>
      <c r="I13" s="2372"/>
    </row>
    <row r="14" ht="13.5" spans="1:9">
      <c r="A14" s="2504" t="s">
        <v>791</v>
      </c>
      <c r="B14" s="1369">
        <v>30</v>
      </c>
      <c r="C14" s="2505">
        <v>4</v>
      </c>
      <c r="D14" s="2506">
        <v>6</v>
      </c>
      <c r="E14" s="2156" t="s">
        <v>792</v>
      </c>
      <c r="F14" s="2507"/>
      <c r="G14" s="2507"/>
      <c r="H14" s="2507"/>
      <c r="I14" s="2372"/>
    </row>
    <row r="15" ht="13.5" spans="1:9">
      <c r="A15" s="2504"/>
      <c r="B15" s="1369"/>
      <c r="C15" s="2508"/>
      <c r="D15" s="2506"/>
      <c r="E15" s="2156" t="s">
        <v>793</v>
      </c>
      <c r="F15" s="2507"/>
      <c r="G15" s="2507"/>
      <c r="H15" s="2507"/>
      <c r="I15" s="2372"/>
    </row>
    <row r="16" ht="13.5" spans="1:9">
      <c r="A16" s="2504"/>
      <c r="B16" s="1369"/>
      <c r="C16" s="2509"/>
      <c r="D16" s="2506"/>
      <c r="E16" s="2156" t="s">
        <v>794</v>
      </c>
      <c r="F16" s="2507"/>
      <c r="G16" s="2507"/>
      <c r="H16" s="2507"/>
      <c r="I16" s="2372"/>
    </row>
    <row r="17" ht="14.25" spans="1:13">
      <c r="A17" s="2510" t="s">
        <v>795</v>
      </c>
      <c r="B17" s="2511"/>
      <c r="C17" s="2512">
        <f>SUM(C5:C16)</f>
        <v>4</v>
      </c>
      <c r="D17" s="2512">
        <f>SUM(D5:D16)</f>
        <v>6</v>
      </c>
      <c r="E17" s="1036"/>
      <c r="F17" s="1036"/>
      <c r="G17" s="1036"/>
      <c r="H17" s="1036"/>
      <c r="I17" s="1036"/>
      <c r="K17" s="2114"/>
      <c r="L17" s="2114" t="s">
        <v>796</v>
      </c>
      <c r="M17" s="2114" t="s">
        <v>797</v>
      </c>
    </row>
    <row r="18" ht="31.9" customHeight="1" spans="1:13">
      <c r="A18" s="2513" t="s">
        <v>798</v>
      </c>
      <c r="B18" s="2514"/>
      <c r="C18" s="2515">
        <f>ROUND(C17/SUM(C17:D17),2)</f>
        <v>0.4</v>
      </c>
      <c r="D18" s="2515">
        <f>1-C18</f>
        <v>0.6</v>
      </c>
      <c r="E18" s="2516" t="s">
        <v>799</v>
      </c>
      <c r="F18" s="2517"/>
      <c r="G18" s="2517"/>
      <c r="H18" s="2517"/>
      <c r="I18" s="2517"/>
      <c r="K18" s="2114" t="s">
        <v>456</v>
      </c>
      <c r="L18" s="2114">
        <f>IF(C1="",'数据-汇总表'!E3,SUMIF(项目类型,C1,'数据-汇总表'!E17:E26)+SUMIF(项目类型,C1,'数据-汇总表'!I17:I26))</f>
        <v>23244.54</v>
      </c>
      <c r="M18" s="2114">
        <f>IF(C1="",'数据-汇总表'!E3,SUMIF(项目类型,C1,'数据-汇总表'!E17:E26))</f>
        <v>23244.54</v>
      </c>
    </row>
    <row r="19" ht="14.25" spans="1:13">
      <c r="A19" s="2518" t="s">
        <v>800</v>
      </c>
      <c r="B19" s="2519" t="s">
        <v>801</v>
      </c>
      <c r="C19" s="2520">
        <f ca="1">SUMIF(INDIRECT("'"&amp;C4&amp;"'"&amp;"!A:A"),结果表!B19,INDIRECT("'"&amp;C4&amp;"'"&amp;"!B:B"))</f>
        <v>7210</v>
      </c>
      <c r="D19" s="1524">
        <f ca="1">SUMIF(INDIRECT("'"&amp;D4&amp;"'"&amp;"!A:A"),结果表!B19,INDIRECT("'"&amp;D4&amp;"'"&amp;"!B:B"))</f>
        <v>14062</v>
      </c>
      <c r="E19" s="2518" t="s">
        <v>802</v>
      </c>
      <c r="F19" s="2519" t="s">
        <v>801</v>
      </c>
      <c r="G19" s="2521">
        <f ca="1">ROUND(C19*$C$18+D19*$D$18,0)</f>
        <v>11321</v>
      </c>
      <c r="H19" s="2522" t="s">
        <v>803</v>
      </c>
      <c r="I19" s="1036"/>
      <c r="K19" s="2114" t="s">
        <v>460</v>
      </c>
      <c r="L19" s="2114">
        <f>IF(C1="",'数据-汇总表'!D3,SUMIF(项目类型,C1,'数据-汇总表'!D17:D26)+SUMIF(项目类型,C1,'数据-汇总表'!H17:H27))</f>
        <v>3800.1</v>
      </c>
      <c r="M19" s="2114">
        <f>IF(C1="",'数据-汇总表'!D3,SUMIF(项目类型,C1,'数据-汇总表'!D17:D26))</f>
        <v>3800.1</v>
      </c>
    </row>
    <row r="20" ht="15" spans="1:9">
      <c r="A20" s="2523"/>
      <c r="B20" s="2524" t="s">
        <v>804</v>
      </c>
      <c r="C20" s="1831">
        <f ca="1">SUMIF(INDIRECT("'"&amp;C4&amp;"'"&amp;"!A:A"),结果表!B20,INDIRECT("'"&amp;C4&amp;"'"&amp;"!B:B"))</f>
        <v>3102</v>
      </c>
      <c r="D20" s="1834">
        <f ca="1">SUMIF(INDIRECT("'"&amp;D4&amp;"'"&amp;"!A:A"),结果表!B20,INDIRECT("'"&amp;D4&amp;"'"&amp;"!B:B"))</f>
        <v>6050</v>
      </c>
      <c r="E20" s="2523"/>
      <c r="F20" s="2524" t="s">
        <v>804</v>
      </c>
      <c r="G20" s="2525">
        <f ca="1">ROUND(C20*$C$18+D20*$D$18,0)</f>
        <v>4871</v>
      </c>
      <c r="H20" s="2272" t="s">
        <v>805</v>
      </c>
      <c r="I20" s="1036"/>
    </row>
    <row r="21" ht="15" customHeight="1" spans="1:9">
      <c r="A21" s="2453"/>
      <c r="B21" s="2526" t="s">
        <v>806</v>
      </c>
      <c r="C21" s="2527">
        <f ca="1">ROUND(C19*10000/L19,0)</f>
        <v>18973</v>
      </c>
      <c r="D21" s="2528">
        <f ca="1">ROUND(D19*10000/L19,0)</f>
        <v>37004</v>
      </c>
      <c r="E21" s="2453"/>
      <c r="F21" s="2526" t="s">
        <v>806</v>
      </c>
      <c r="G21" s="2529">
        <f ca="1">ROUND(G19*10000/L19,0)</f>
        <v>29791</v>
      </c>
      <c r="H21" s="2530" t="s">
        <v>805</v>
      </c>
      <c r="I21" s="1036"/>
    </row>
    <row r="22" ht="15" spans="1:9">
      <c r="A22" s="2531" t="s">
        <v>807</v>
      </c>
      <c r="B22" s="2532"/>
      <c r="C22" s="2533"/>
      <c r="D22" s="2534">
        <f ca="1">IF(C19&lt;D19,D19/C19-1,C19/D19-1)</f>
        <v>0.950346740638003</v>
      </c>
      <c r="E22" s="1036"/>
      <c r="F22" s="1036"/>
      <c r="G22" s="1036"/>
      <c r="H22" s="1036"/>
      <c r="I22" s="1036"/>
    </row>
    <row r="23" ht="14.25" spans="1:9">
      <c r="A23" s="2491"/>
      <c r="B23" s="2491"/>
      <c r="C23" s="2491"/>
      <c r="D23" s="2491"/>
      <c r="E23" s="1036"/>
      <c r="F23" s="1036"/>
      <c r="G23" s="1036"/>
      <c r="H23" s="1036"/>
      <c r="I23" s="1036"/>
    </row>
    <row r="24" ht="14.25" spans="1:9">
      <c r="A24" s="2535" t="s">
        <v>808</v>
      </c>
      <c r="B24" s="2519" t="s">
        <v>801</v>
      </c>
      <c r="C24" s="2521">
        <f>IF(B30=0,0,D30)</f>
        <v>0</v>
      </c>
      <c r="D24" s="2536"/>
      <c r="E24" s="1036"/>
      <c r="F24" s="1036"/>
      <c r="G24" s="1036"/>
      <c r="H24" s="1036"/>
      <c r="I24" s="1036"/>
    </row>
    <row r="25" ht="14.25" spans="1:9">
      <c r="A25" s="2537"/>
      <c r="B25" s="2524" t="s">
        <v>804</v>
      </c>
      <c r="C25" s="2538">
        <f>IF(B30=0,0,C30)</f>
        <v>0</v>
      </c>
      <c r="D25" s="2539"/>
      <c r="E25" s="1036"/>
      <c r="F25" s="1036"/>
      <c r="G25" s="1036"/>
      <c r="H25" s="1036"/>
      <c r="I25" s="1036"/>
    </row>
    <row r="26" ht="13.5" customHeight="1" spans="1:9">
      <c r="A26" s="2540" t="s">
        <v>809</v>
      </c>
      <c r="B26" s="2541" t="s">
        <v>810</v>
      </c>
      <c r="C26" s="2541" t="s">
        <v>811</v>
      </c>
      <c r="D26" s="2542" t="s">
        <v>812</v>
      </c>
      <c r="E26" s="1036"/>
      <c r="F26" s="1036"/>
      <c r="G26" s="1036"/>
      <c r="H26" s="1036"/>
      <c r="I26" s="1036"/>
    </row>
    <row r="27" ht="14.25" spans="1:9">
      <c r="A27" s="2540"/>
      <c r="B27" s="2541">
        <v>0</v>
      </c>
      <c r="C27" s="2541">
        <v>0</v>
      </c>
      <c r="D27" s="2542">
        <f>ROUND(C27*B27/10000,0)</f>
        <v>0</v>
      </c>
      <c r="E27" s="1036"/>
      <c r="F27" s="1036"/>
      <c r="G27" s="1036"/>
      <c r="H27" s="1036"/>
      <c r="I27" s="1036"/>
    </row>
    <row r="28" ht="14.25" spans="1:9">
      <c r="A28" s="2540"/>
      <c r="B28" s="2541"/>
      <c r="C28" s="2541"/>
      <c r="D28" s="2542"/>
      <c r="E28" s="1036"/>
      <c r="F28" s="1036"/>
      <c r="G28" s="1036"/>
      <c r="H28" s="1036"/>
      <c r="I28" s="1036"/>
    </row>
    <row r="29" ht="14.25" spans="1:9">
      <c r="A29" s="2540"/>
      <c r="B29" s="2541"/>
      <c r="C29" s="2541"/>
      <c r="D29" s="2542"/>
      <c r="E29" s="1036"/>
      <c r="F29" s="1036"/>
      <c r="G29" s="1036"/>
      <c r="H29" s="1036"/>
      <c r="I29" s="1036"/>
    </row>
    <row r="30" ht="15" spans="1:9">
      <c r="A30" s="2541" t="s">
        <v>813</v>
      </c>
      <c r="B30" s="2541"/>
      <c r="C30" s="2541"/>
      <c r="D30" s="2541"/>
      <c r="E30" s="2543" t="s">
        <v>814</v>
      </c>
      <c r="F30" s="1036"/>
      <c r="G30" s="1036"/>
      <c r="H30" s="1036"/>
      <c r="I30" s="1036"/>
    </row>
    <row r="31" s="2485" customFormat="1" ht="26.45" customHeight="1" spans="1:36">
      <c r="A31" s="2544"/>
      <c r="B31" s="2545"/>
      <c r="C31" s="2545"/>
      <c r="D31" s="2545"/>
      <c r="E31" s="2545"/>
      <c r="F31" s="2545"/>
      <c r="G31" s="2545"/>
      <c r="H31" s="2545"/>
      <c r="I31" s="2657" t="s">
        <v>815</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816</v>
      </c>
      <c r="B32" s="2547"/>
      <c r="C32" s="2548">
        <f ca="1">IF(D32="总价",G19-C24,G20-C25)</f>
        <v>11321</v>
      </c>
      <c r="D32" s="2549" t="s">
        <v>817</v>
      </c>
      <c r="E32" s="1036"/>
      <c r="F32" s="1036"/>
      <c r="G32" s="1036"/>
      <c r="H32" s="1036"/>
      <c r="I32" s="1036"/>
    </row>
    <row r="33" ht="15" spans="1:9">
      <c r="A33" s="2394" t="s">
        <v>818</v>
      </c>
      <c r="B33" s="2550"/>
      <c r="C33" s="2551" t="s">
        <v>819</v>
      </c>
      <c r="D33" s="2552" t="s">
        <v>776</v>
      </c>
      <c r="E33" s="2553" t="s">
        <v>820</v>
      </c>
      <c r="F33" s="2554" t="str">
        <f>IF(D32="楼面单价","取值（单价）","取值（总价）")</f>
        <v>取值（总价）</v>
      </c>
      <c r="G33" s="1036"/>
      <c r="H33" s="1036"/>
      <c r="I33" s="1036"/>
    </row>
    <row r="34" ht="15" spans="1:9">
      <c r="A34" s="2555"/>
      <c r="B34" s="2556" t="s">
        <v>821</v>
      </c>
      <c r="C34" s="2557">
        <f ca="1">IF(C33="自定义",F34,C32-C35)</f>
        <v>1562</v>
      </c>
      <c r="D34" s="2558">
        <f ca="1">IF(C33="自定义",ROUND(C34/C32,3),IF(C33="收益比率",SUMIF(INDIRECT("'"&amp;D33&amp;"'"&amp;"!b:b"),"土地收益比率",INDIRECT("'"&amp;D33&amp;"'"&amp;"!c:c")),SUMIF(INDIRECT("'"&amp;D33&amp;"'"&amp;"!b:b"),"土地成本比率",INDIRECT("'"&amp;D33&amp;"'"&amp;"!c:c"))))</f>
        <v>0.138</v>
      </c>
      <c r="E34" s="2559" t="s">
        <v>822</v>
      </c>
      <c r="F34" s="2560"/>
      <c r="G34" s="1036"/>
      <c r="H34" s="1036"/>
      <c r="I34" s="1036"/>
    </row>
    <row r="35" ht="15.75" spans="1:9">
      <c r="A35" s="2561"/>
      <c r="B35" s="2562" t="s">
        <v>823</v>
      </c>
      <c r="C35" s="2563">
        <f ca="1">IF(C33="自定义",F35,ROUND(C32*D35,0))</f>
        <v>9759</v>
      </c>
      <c r="D35" s="2564">
        <f ca="1">IF(C33="自定义",ROUND(C35/C32,3),IF(C33="收益比率",SUMIF(INDIRECT("'"&amp;D33&amp;"'"&amp;"!b:b"),"建筑物收益比率",INDIRECT("'"&amp;D33&amp;"'"&amp;"!c:c")),SUMIF(INDIRECT("'"&amp;D33&amp;"'"&amp;"!b:b"),"建筑物成本比率",INDIRECT("'"&amp;D33&amp;"'"&amp;"!c:c"))))</f>
        <v>0.862</v>
      </c>
      <c r="E35" s="2565" t="s">
        <v>824</v>
      </c>
      <c r="F35" s="2566"/>
      <c r="G35" s="1036"/>
      <c r="H35" s="1036"/>
      <c r="I35" s="1036"/>
    </row>
    <row r="36" ht="15.75" spans="1:9">
      <c r="A36" s="2567" t="s">
        <v>825</v>
      </c>
      <c r="B36" s="2568" t="s">
        <v>826</v>
      </c>
      <c r="C36" s="2569"/>
      <c r="D36" s="2570"/>
      <c r="E36" s="2571"/>
      <c r="F36" s="2572"/>
      <c r="G36" s="1036"/>
      <c r="H36" s="1036"/>
      <c r="I36" s="1036"/>
    </row>
    <row r="37" ht="15.75" spans="1:9">
      <c r="A37" s="2573"/>
      <c r="B37" s="2574" t="s">
        <v>827</v>
      </c>
      <c r="C37" s="2575"/>
      <c r="D37" s="2576"/>
      <c r="E37" s="2576"/>
      <c r="F37" s="2572"/>
      <c r="G37" s="1036"/>
      <c r="H37" s="1036"/>
      <c r="I37" s="1036"/>
    </row>
    <row r="38" ht="15.75" spans="1:9">
      <c r="A38" s="2577"/>
      <c r="B38" s="2578" t="s">
        <v>828</v>
      </c>
      <c r="C38" s="2579"/>
      <c r="D38" s="2580" t="s">
        <v>829</v>
      </c>
      <c r="E38" s="2576"/>
      <c r="F38" s="2572"/>
      <c r="G38" s="1036"/>
      <c r="H38" s="1036"/>
      <c r="I38" s="1036"/>
    </row>
    <row r="39" ht="14.25" spans="1:9">
      <c r="A39" s="2523" t="s">
        <v>830</v>
      </c>
      <c r="B39" s="2581" t="s">
        <v>810</v>
      </c>
      <c r="C39" s="2582" t="s">
        <v>811</v>
      </c>
      <c r="D39" s="2582" t="s">
        <v>831</v>
      </c>
      <c r="E39" s="2583" t="s">
        <v>812</v>
      </c>
      <c r="F39" s="2572"/>
      <c r="G39" s="1036"/>
      <c r="H39" s="1036"/>
      <c r="I39" s="1036"/>
    </row>
    <row r="40" ht="14.25" spans="1:9">
      <c r="A40" s="2584" t="s">
        <v>832</v>
      </c>
      <c r="B40" s="2585"/>
      <c r="C40" s="1054"/>
      <c r="D40" s="1054"/>
      <c r="E40" s="2586"/>
      <c r="F40" s="2572"/>
      <c r="G40" s="1036"/>
      <c r="H40" s="1036"/>
      <c r="I40" s="1036"/>
    </row>
    <row r="41" ht="14.25" spans="1:9">
      <c r="A41" s="2584" t="s">
        <v>833</v>
      </c>
      <c r="B41" s="2585"/>
      <c r="C41" s="1054"/>
      <c r="D41" s="1054"/>
      <c r="E41" s="2586"/>
      <c r="F41" s="2572"/>
      <c r="G41" s="1036"/>
      <c r="H41" s="1036"/>
      <c r="I41" s="1036"/>
    </row>
    <row r="42" ht="15" spans="1:9">
      <c r="A42" s="2587"/>
      <c r="B42" s="2588"/>
      <c r="C42" s="2589"/>
      <c r="D42" s="2589"/>
      <c r="E42" s="2566"/>
      <c r="F42" s="2572"/>
      <c r="G42" s="1036"/>
      <c r="H42" s="1036"/>
      <c r="I42" s="1036"/>
    </row>
    <row r="43" ht="13.5" spans="1:9">
      <c r="A43" s="2590"/>
      <c r="B43" s="2590"/>
      <c r="C43" s="2590"/>
      <c r="D43" s="2590"/>
      <c r="E43" s="2590"/>
      <c r="F43" s="2591"/>
      <c r="G43" s="2591"/>
      <c r="H43" s="2591"/>
      <c r="I43" s="2660"/>
    </row>
    <row r="44" ht="18.75" spans="1:15">
      <c r="A44" s="2592" t="s">
        <v>834</v>
      </c>
      <c r="B44" s="2593"/>
      <c r="C44" s="2593"/>
      <c r="D44" s="2594"/>
      <c r="E44" s="2594"/>
      <c r="F44" s="2595"/>
      <c r="G44" s="2595"/>
      <c r="H44" s="2595"/>
      <c r="I44" s="2595"/>
      <c r="J44" s="2661" t="s">
        <v>835</v>
      </c>
      <c r="K44" s="2662"/>
      <c r="L44" s="2662"/>
      <c r="M44" s="2662"/>
      <c r="N44" s="2662"/>
      <c r="O44" s="2662"/>
    </row>
    <row r="45" ht="14.25" customHeight="1" spans="1:15">
      <c r="A45" s="2596" t="s">
        <v>836</v>
      </c>
      <c r="B45" s="2597"/>
      <c r="C45" s="2598"/>
      <c r="D45" s="2113">
        <f ca="1">ROUND(H101*F45,0)</f>
        <v>11321</v>
      </c>
      <c r="E45" s="2599" t="s">
        <v>837</v>
      </c>
      <c r="F45" s="2600">
        <v>1</v>
      </c>
      <c r="G45" s="2601" t="s">
        <v>838</v>
      </c>
      <c r="H45" s="1036"/>
      <c r="I45" s="1036"/>
      <c r="J45" s="2663" t="s">
        <v>839</v>
      </c>
      <c r="K45" s="2663"/>
      <c r="L45" s="2663"/>
      <c r="M45" s="2663"/>
      <c r="N45" s="2663"/>
      <c r="O45" s="2663"/>
    </row>
    <row r="46" ht="14.25" customHeight="1" spans="1:15">
      <c r="A46" s="2602" t="s">
        <v>840</v>
      </c>
      <c r="B46" s="2603"/>
      <c r="C46" s="2603"/>
      <c r="D46" s="2603"/>
      <c r="E46" s="2603"/>
      <c r="F46" s="2603"/>
      <c r="G46" s="2604"/>
      <c r="H46" s="2605"/>
      <c r="I46" s="1037"/>
      <c r="J46" s="649">
        <v>1</v>
      </c>
      <c r="K46" s="2664" t="s">
        <v>841</v>
      </c>
      <c r="L46" s="2664"/>
      <c r="M46" s="2665"/>
      <c r="N46" s="2665"/>
      <c r="O46" s="2665"/>
    </row>
    <row r="47" ht="12" customHeight="1" spans="1:15">
      <c r="A47" s="2606" t="s">
        <v>842</v>
      </c>
      <c r="B47" s="2607"/>
      <c r="C47" s="2608"/>
      <c r="D47" s="2166" t="s">
        <v>843</v>
      </c>
      <c r="E47" s="2114" t="s">
        <v>844</v>
      </c>
      <c r="F47" s="2609" t="s">
        <v>845</v>
      </c>
      <c r="G47" s="2610" t="s">
        <v>846</v>
      </c>
      <c r="H47" s="2611"/>
      <c r="I47" s="1037"/>
      <c r="J47" s="649">
        <v>2</v>
      </c>
      <c r="K47" s="2664" t="s">
        <v>847</v>
      </c>
      <c r="L47" s="2664"/>
      <c r="M47" s="2666">
        <f>'数据-取费表'!B2</f>
        <v>45539</v>
      </c>
      <c r="N47" s="2666"/>
      <c r="O47" s="2666"/>
    </row>
    <row r="48" ht="24.75" spans="1:15">
      <c r="A48" s="2612" t="s">
        <v>848</v>
      </c>
      <c r="B48" s="2170"/>
      <c r="C48" s="2170"/>
      <c r="D48" s="2270" t="b">
        <f ca="1">IF(H48="情况1",0,IF(H48="情况2",D52,IF(H48="情况3",D53,IF(H48="情况4",D54))))</f>
        <v>0</v>
      </c>
      <c r="E48" s="2170" t="str">
        <f>IF(H48="情况4","(销售额-原购置价)×税（费）率","销售额×税（费）率")</f>
        <v>销售额×税（费）率</v>
      </c>
      <c r="F48" s="2613">
        <f>IF(H48="情况1","免征",'数据-取费表'!B41)</f>
        <v>0.056</v>
      </c>
      <c r="G48" s="2614" t="s">
        <v>849</v>
      </c>
      <c r="H48" s="2615"/>
      <c r="I48" s="2605"/>
      <c r="J48" s="649">
        <v>3</v>
      </c>
      <c r="K48" s="2664" t="s">
        <v>850</v>
      </c>
      <c r="L48" s="2664"/>
      <c r="M48" s="2667">
        <f ca="1">H101</f>
        <v>11321</v>
      </c>
      <c r="N48" s="2667"/>
      <c r="O48" s="2667"/>
    </row>
    <row r="49" ht="25.5" customHeight="1" spans="1:15">
      <c r="A49" s="2612" t="s">
        <v>851</v>
      </c>
      <c r="B49" s="2148" t="s">
        <v>852</v>
      </c>
      <c r="C49" s="2148"/>
      <c r="D49" s="2616">
        <v>0</v>
      </c>
      <c r="E49" s="2176" t="s">
        <v>853</v>
      </c>
      <c r="F49" s="2617" t="s">
        <v>124</v>
      </c>
      <c r="G49" s="2618"/>
      <c r="H49" s="2619" t="s">
        <v>854</v>
      </c>
      <c r="I49" s="2668"/>
      <c r="J49" s="649">
        <v>4</v>
      </c>
      <c r="K49" s="2664" t="str">
        <f>IF(项目基本情况!E8="房地产抵押价值","房地产抵押价值","抵押担保权已注销时的房地产抵押价值")</f>
        <v>房地产抵押价值</v>
      </c>
      <c r="L49" s="2664"/>
      <c r="M49" s="2667">
        <f ca="1">IF(项目基本情况!E8="房地产抵押价值",H107,H109)</f>
        <v>11321</v>
      </c>
      <c r="N49" s="2667"/>
      <c r="O49" s="2667"/>
    </row>
    <row r="50" ht="25.5" customHeight="1" spans="1:15">
      <c r="A50" s="2620"/>
      <c r="B50" s="2148" t="s">
        <v>855</v>
      </c>
      <c r="C50" s="2148"/>
      <c r="D50" s="2621"/>
      <c r="E50" s="2191"/>
      <c r="F50" s="2617"/>
      <c r="G50" s="2622"/>
      <c r="H50" s="2623" t="s">
        <v>856</v>
      </c>
      <c r="I50" s="2668"/>
      <c r="J50" s="2663" t="s">
        <v>857</v>
      </c>
      <c r="K50" s="2663"/>
      <c r="L50" s="2663"/>
      <c r="M50" s="2663"/>
      <c r="N50" s="2663"/>
      <c r="O50" s="2663"/>
    </row>
    <row r="51" ht="20.45" customHeight="1" spans="1:15">
      <c r="A51" s="2624"/>
      <c r="B51" s="2148" t="s">
        <v>858</v>
      </c>
      <c r="C51" s="2148"/>
      <c r="D51" s="2166"/>
      <c r="E51" s="2180"/>
      <c r="F51" s="2617"/>
      <c r="G51" s="2625"/>
      <c r="H51" s="2623" t="s">
        <v>859</v>
      </c>
      <c r="I51" s="2668"/>
      <c r="J51" s="2664" t="s">
        <v>860</v>
      </c>
      <c r="K51" s="2664" t="s">
        <v>861</v>
      </c>
      <c r="L51" s="2664"/>
      <c r="M51" s="2664" t="s">
        <v>862</v>
      </c>
      <c r="N51" s="2664" t="s">
        <v>863</v>
      </c>
      <c r="O51" s="2664" t="s">
        <v>864</v>
      </c>
    </row>
    <row r="52" ht="24" customHeight="1" spans="1:15">
      <c r="A52" s="2626" t="s">
        <v>865</v>
      </c>
      <c r="B52" s="2148" t="s">
        <v>866</v>
      </c>
      <c r="C52" s="2148"/>
      <c r="D52" s="2166">
        <f ca="1">ROUND(D45*'数据-取费表'!B41/(1+'数据-取费表'!C42),0)</f>
        <v>604</v>
      </c>
      <c r="E52" s="2170" t="s">
        <v>867</v>
      </c>
      <c r="F52" s="2627">
        <f>'数据-取费表'!B41</f>
        <v>0.056</v>
      </c>
      <c r="G52" s="2628"/>
      <c r="H52" s="2285"/>
      <c r="I52" s="2669"/>
      <c r="J52" s="649">
        <v>1</v>
      </c>
      <c r="K52" s="649" t="s">
        <v>868</v>
      </c>
      <c r="L52" s="649"/>
      <c r="M52" s="2670" t="b">
        <f ca="1">D48</f>
        <v>0</v>
      </c>
      <c r="N52" s="649" t="str">
        <f>E48</f>
        <v>销售额×税（费）率</v>
      </c>
      <c r="O52" s="2671">
        <f>F48</f>
        <v>0.056</v>
      </c>
    </row>
    <row r="53" ht="12" customHeight="1" spans="1:15">
      <c r="A53" s="2626" t="s">
        <v>869</v>
      </c>
      <c r="B53" s="2147" t="s">
        <v>870</v>
      </c>
      <c r="C53" s="2629"/>
      <c r="D53" s="2166">
        <f ca="1">ROUND(D45*'数据-取费表'!B41/(1+'数据-取费表'!C42),0)</f>
        <v>604</v>
      </c>
      <c r="E53" s="2170" t="s">
        <v>867</v>
      </c>
      <c r="F53" s="2627">
        <f>'数据-取费表'!B41</f>
        <v>0.056</v>
      </c>
      <c r="G53" s="2628"/>
      <c r="H53" s="2285"/>
      <c r="I53" s="2669"/>
      <c r="J53" s="649">
        <v>2</v>
      </c>
      <c r="K53" s="649" t="s">
        <v>871</v>
      </c>
      <c r="L53" s="649"/>
      <c r="M53" s="2670">
        <f ca="1" t="shared" ref="M53:O54" si="0">D55</f>
        <v>6</v>
      </c>
      <c r="N53" s="649" t="str">
        <f t="shared" si="0"/>
        <v>销售额×税（费）率</v>
      </c>
      <c r="O53" s="2671" t="str">
        <f t="shared" si="0"/>
        <v>免征</v>
      </c>
    </row>
    <row r="54" ht="12" customHeight="1" spans="1:15">
      <c r="A54" s="2626" t="s">
        <v>872</v>
      </c>
      <c r="B54" s="2147" t="s">
        <v>873</v>
      </c>
      <c r="C54" s="2629"/>
      <c r="D54" s="2166">
        <f ca="1">C68</f>
        <v>604</v>
      </c>
      <c r="E54" s="2180" t="s">
        <v>874</v>
      </c>
      <c r="F54" s="2627">
        <f>'数据-取费表'!B41</f>
        <v>0.056</v>
      </c>
      <c r="G54" s="2628"/>
      <c r="H54" s="2630"/>
      <c r="I54" s="2669"/>
      <c r="J54" s="649">
        <v>3</v>
      </c>
      <c r="K54" s="649" t="s">
        <v>875</v>
      </c>
      <c r="L54" s="649"/>
      <c r="M54" s="2670">
        <f ca="1" t="shared" si="0"/>
        <v>6407</v>
      </c>
      <c r="N54" s="649" t="str">
        <f t="shared" si="0"/>
        <v>增值额×税（费）率</v>
      </c>
      <c r="O54" s="2672" t="str">
        <f t="shared" si="0"/>
        <v>免征</v>
      </c>
    </row>
    <row r="55" ht="24" customHeight="1" spans="1:15">
      <c r="A55" s="2626" t="s">
        <v>876</v>
      </c>
      <c r="B55" s="2170"/>
      <c r="C55" s="2170"/>
      <c r="D55" s="2270">
        <f ca="1">IF(H55="个人住宅",0,ROUND(D45*I55,0))</f>
        <v>6</v>
      </c>
      <c r="E55" s="2170" t="s">
        <v>877</v>
      </c>
      <c r="F55" s="2627" t="str">
        <f>IF(H55="正常",I55,"免征")</f>
        <v>免征</v>
      </c>
      <c r="G55" s="2628"/>
      <c r="H55" s="2615"/>
      <c r="I55" s="2673">
        <f>'数据-取费表'!B49</f>
        <v>0.0005</v>
      </c>
      <c r="J55" s="649">
        <f>IF(H59="非个人房产","",4)</f>
        <v>4</v>
      </c>
      <c r="K55" s="649" t="str">
        <f>IF(H59="非个人房产","——","个人所得税")</f>
        <v>个人所得税</v>
      </c>
      <c r="L55" s="649"/>
      <c r="M55" s="2674">
        <f ca="1">D59</f>
        <v>108</v>
      </c>
      <c r="N55" s="630" t="str">
        <f>E59</f>
        <v>差额计税</v>
      </c>
      <c r="O55" s="2675">
        <f>F59</f>
        <v>0.01</v>
      </c>
    </row>
    <row r="56" ht="24.75" spans="1:15">
      <c r="A56" s="2626" t="s">
        <v>878</v>
      </c>
      <c r="B56" s="2170"/>
      <c r="C56" s="2170"/>
      <c r="D56" s="2270">
        <f ca="1">IF(H56="个人住宅",D57,D58)</f>
        <v>6407</v>
      </c>
      <c r="E56" s="2170" t="s">
        <v>879</v>
      </c>
      <c r="F56" s="2627" t="str">
        <f>IF(H56="正常",F58,"免征")</f>
        <v>免征</v>
      </c>
      <c r="G56" s="2631" t="s">
        <v>880</v>
      </c>
      <c r="H56" s="2632"/>
      <c r="I56" s="2643"/>
      <c r="J56" s="649" t="str">
        <f>IF(项目基本情况!K6="上海银行",IF(J55="",4,J55+1),"")</f>
        <v/>
      </c>
      <c r="K56" s="2270" t="str">
        <f>IF(项目基本情况!K6="上海银行","其他处置费用","")</f>
        <v/>
      </c>
      <c r="L56" s="2421"/>
      <c r="M56" s="2670" t="str">
        <f ca="1">IF(项目基本情况!K6="上海银行",M69,"")</f>
        <v/>
      </c>
      <c r="N56" s="2270" t="str">
        <f>IF(项目基本情况!K6="上海银行","包含处置中涉及的律师、诉讼、拍卖、评估等费用","")</f>
        <v/>
      </c>
      <c r="O56" s="2120"/>
    </row>
    <row r="57" ht="13.5" spans="1:16">
      <c r="A57" s="2626" t="s">
        <v>851</v>
      </c>
      <c r="B57" s="2147" t="s">
        <v>881</v>
      </c>
      <c r="C57" s="2629"/>
      <c r="D57" s="2616">
        <v>0</v>
      </c>
      <c r="E57" s="2176" t="s">
        <v>853</v>
      </c>
      <c r="F57" s="2114"/>
      <c r="G57" s="2628"/>
      <c r="H57" s="2633"/>
      <c r="I57" s="2643"/>
      <c r="J57" s="649">
        <f>IF(AND(J55="",J56=""),4,IF(项目基本情况!K6="上海银行",结果表!J56+1,结果表!J55+1))</f>
        <v>5</v>
      </c>
      <c r="K57" s="649" t="s">
        <v>882</v>
      </c>
      <c r="L57" s="2676" t="s">
        <v>883</v>
      </c>
      <c r="M57" s="2677"/>
      <c r="N57" s="2678">
        <f ca="1">SUMIF(M52:M56,"&lt;9e307")</f>
        <v>6521</v>
      </c>
      <c r="O57" s="2679"/>
      <c r="P57" s="2680">
        <f ca="1">N57/M49</f>
        <v>0.576009186467627</v>
      </c>
    </row>
    <row r="58" ht="24.75" spans="1:15">
      <c r="A58" s="2626" t="s">
        <v>865</v>
      </c>
      <c r="B58" s="2147" t="s">
        <v>884</v>
      </c>
      <c r="C58" s="2148"/>
      <c r="D58" s="2270">
        <f ca="1">IF(H58="转让取得",C81,C97)</f>
        <v>6407</v>
      </c>
      <c r="E58" s="2170" t="s">
        <v>879</v>
      </c>
      <c r="F58" s="2114" t="s">
        <v>124</v>
      </c>
      <c r="G58" s="2628"/>
      <c r="H58" s="2632"/>
      <c r="I58" s="2643"/>
      <c r="J58" s="649"/>
      <c r="K58" s="649"/>
      <c r="L58" s="2676" t="s">
        <v>885</v>
      </c>
      <c r="M58" s="2681"/>
      <c r="N58" s="2682" t="str">
        <f ca="1">NUMBERSTRING(INT(N57*10000),2)&amp;"元整"</f>
        <v>陆仟伍佰贰拾壹万元整</v>
      </c>
      <c r="O58" s="2683"/>
    </row>
    <row r="59" ht="24.75" spans="1:15">
      <c r="A59" s="2634" t="s">
        <v>886</v>
      </c>
      <c r="B59" s="2635"/>
      <c r="C59" s="2635"/>
      <c r="D59" s="2636">
        <f ca="1">IF(H59="非个人房产","——",IF(H59="个人住宅（满五唯一有凭证）",0,IF(H59="个人其他（无凭证）",ROUND(D45*F59,0),ROUND(C67*F59,0))))</f>
        <v>108</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880</v>
      </c>
      <c r="H59" s="2640"/>
      <c r="I59" s="2684" t="s">
        <v>887</v>
      </c>
      <c r="J59" s="630">
        <f>J57+1</f>
        <v>6</v>
      </c>
      <c r="K59" s="649" t="s">
        <v>888</v>
      </c>
      <c r="L59" s="649" t="s">
        <v>883</v>
      </c>
      <c r="M59" s="2685"/>
      <c r="N59" s="2686">
        <f ca="1">M49-N57</f>
        <v>4800</v>
      </c>
      <c r="O59" s="2687"/>
    </row>
    <row r="60" ht="12" customHeight="1" spans="1:15">
      <c r="A60" s="2641"/>
      <c r="B60" s="2491"/>
      <c r="C60" s="2491"/>
      <c r="D60" s="2491"/>
      <c r="E60" s="2642"/>
      <c r="F60" s="2643"/>
      <c r="G60" s="2643"/>
      <c r="H60" s="2644"/>
      <c r="I60" s="1036"/>
      <c r="J60" s="635"/>
      <c r="K60" s="649"/>
      <c r="L60" s="2676" t="s">
        <v>885</v>
      </c>
      <c r="M60" s="2681"/>
      <c r="N60" s="2682" t="str">
        <f ca="1">NUMBERSTRING(INT(N59*10000),2)&amp;"元整"</f>
        <v>肆仟捌佰万元整</v>
      </c>
      <c r="O60" s="2683"/>
    </row>
    <row r="61" ht="14.25" spans="1:15">
      <c r="A61" s="2645" t="s">
        <v>889</v>
      </c>
      <c r="B61" s="2645"/>
      <c r="C61" s="2645"/>
      <c r="D61" s="2645"/>
      <c r="E61" s="2645"/>
      <c r="F61" s="2643"/>
      <c r="G61" s="2643"/>
      <c r="H61" s="2644"/>
      <c r="I61" s="1036"/>
      <c r="J61" s="649">
        <f>J59+1</f>
        <v>7</v>
      </c>
      <c r="K61" s="649" t="s">
        <v>890</v>
      </c>
      <c r="L61" s="649"/>
      <c r="M61" s="2688"/>
      <c r="N61" s="2689">
        <f ca="1">ROUND(N59*10000/'数据-汇总表'!E3,0)</f>
        <v>2065</v>
      </c>
      <c r="O61" s="2690"/>
    </row>
    <row r="62" ht="13.5" spans="1:9">
      <c r="A62" s="2646" t="s">
        <v>891</v>
      </c>
      <c r="B62" s="600"/>
      <c r="C62" s="600"/>
      <c r="D62" s="600" t="s">
        <v>892</v>
      </c>
      <c r="E62" s="2647" t="s">
        <v>846</v>
      </c>
      <c r="F62" s="2643"/>
      <c r="G62" s="2643"/>
      <c r="H62" s="2644"/>
      <c r="I62" s="1036"/>
    </row>
    <row r="63" ht="13.5" spans="1:35">
      <c r="A63" s="2648" t="s">
        <v>893</v>
      </c>
      <c r="B63" s="660" t="s">
        <v>894</v>
      </c>
      <c r="C63" s="2649">
        <f ca="1">ROUND((C64+C65)/(1+'数据-取费表'!C42),0)</f>
        <v>10782</v>
      </c>
      <c r="D63" s="660"/>
      <c r="E63" s="2650"/>
      <c r="F63" s="2643"/>
      <c r="G63" s="2643"/>
      <c r="H63" s="2644"/>
      <c r="I63" s="1036"/>
      <c r="J63" s="2691" t="s">
        <v>895</v>
      </c>
      <c r="K63" s="2691" t="s">
        <v>896</v>
      </c>
      <c r="L63" s="2691">
        <f ca="1">IF(M49&gt;10000,M49*0.5%,IF(AND(M49&gt;1000,M49&lt;=10000),M49*1%,IF(AND(M49&gt;100,M49&lt;=1000),M49*3%,IF(AND(M49&gt;10,M49&lt;=100),M49*5%,M49*8%))))</f>
        <v>56.605</v>
      </c>
      <c r="M63" s="2114">
        <f ca="1">ROUND(L63,1)</f>
        <v>56.6</v>
      </c>
      <c r="N63" s="2692"/>
      <c r="Z63" s="2488"/>
      <c r="AI63" s="2489"/>
    </row>
    <row r="64" ht="14.25" customHeight="1" spans="1:35">
      <c r="A64" s="2651" t="s">
        <v>897</v>
      </c>
      <c r="B64" s="583" t="s">
        <v>898</v>
      </c>
      <c r="C64" s="2652">
        <f ca="1">D45</f>
        <v>11321</v>
      </c>
      <c r="D64" s="583" t="s">
        <v>124</v>
      </c>
      <c r="E64" s="2653"/>
      <c r="F64" s="2643"/>
      <c r="G64" s="2643"/>
      <c r="H64" s="2644"/>
      <c r="I64" s="1036"/>
      <c r="J64" s="2691"/>
      <c r="K64" s="2691" t="s">
        <v>899</v>
      </c>
      <c r="L64" s="2691">
        <f ca="1">IF(M49&gt;2000,M49*0.5%,IF(AND(M49&gt;1000,M49&lt;=2000),M49*0.6%,IF(AND(M49&gt;500,M49&lt;=1000),M49*0.7%,IF(AND(M49&gt;200,M49&lt;=500),M49*0.8%,IF(AND(M49&gt;100,M49&lt;=200),M49*0.9%,IF(AND(M49&gt;50,M49&lt;=100),M49*1%,IF(AND(M49&gt;20,M49&lt;=50),M49*1.5%,IF(AND(M49&gt;10,M49&lt;=20),M49*2%,IF(AND(M49&gt;1,M49&lt;=10),M49*2.5%)))))))))</f>
        <v>56.605</v>
      </c>
      <c r="M64" s="2114">
        <f ca="1" t="shared" ref="M64:M65" si="1">ROUND(L64,1)</f>
        <v>56.6</v>
      </c>
      <c r="N64" s="2285" t="s">
        <v>900</v>
      </c>
      <c r="Z64" s="2488"/>
      <c r="AI64" s="2489"/>
    </row>
    <row r="65" ht="14.25" customHeight="1" spans="1:35">
      <c r="A65" s="2651" t="s">
        <v>901</v>
      </c>
      <c r="B65" s="583" t="s">
        <v>902</v>
      </c>
      <c r="C65" s="2694"/>
      <c r="D65" s="583"/>
      <c r="E65" s="2653"/>
      <c r="F65" s="2643"/>
      <c r="G65" s="2643"/>
      <c r="H65" s="2644"/>
      <c r="I65" s="1036"/>
      <c r="J65" s="2691"/>
      <c r="K65" s="2691" t="s">
        <v>903</v>
      </c>
      <c r="L65" s="2691">
        <f ca="1">IF(M49&gt;1000,M49*0.1%,IF(AND(M49&gt;500,M49&lt;=1000),M49*0.5%,IF(AND(M49&gt;50,M49&lt;=500),M49*1%,IF(AND(M49&gt;1,M49&lt;=50),M49*1.5%))))</f>
        <v>11.321</v>
      </c>
      <c r="M65" s="2114">
        <f ca="1" t="shared" si="1"/>
        <v>11.3</v>
      </c>
      <c r="N65" s="2285" t="s">
        <v>900</v>
      </c>
      <c r="Z65" s="2488"/>
      <c r="AI65" s="2489"/>
    </row>
    <row r="66" ht="14.25" customHeight="1" spans="1:35">
      <c r="A66" s="2648" t="s">
        <v>904</v>
      </c>
      <c r="B66" s="2695" t="s">
        <v>905</v>
      </c>
      <c r="C66" s="2696"/>
      <c r="D66" s="2695" t="s">
        <v>124</v>
      </c>
      <c r="E66" s="2697" t="s">
        <v>906</v>
      </c>
      <c r="F66" s="2643"/>
      <c r="G66" s="2643"/>
      <c r="H66" s="2644"/>
      <c r="I66" s="1036"/>
      <c r="J66" s="2691"/>
      <c r="K66" s="2691" t="s">
        <v>907</v>
      </c>
      <c r="L66" s="2691">
        <f ca="1">M49*0.5%</f>
        <v>56.605</v>
      </c>
      <c r="M66" s="2114">
        <f ca="1">IF(L66&gt;0.5,0.5,ROUND(L66,0))</f>
        <v>0.5</v>
      </c>
      <c r="N66" s="2285" t="s">
        <v>908</v>
      </c>
      <c r="Z66" s="2488"/>
      <c r="AI66" s="2489"/>
    </row>
    <row r="67" ht="14.25" customHeight="1" spans="1:35">
      <c r="A67" s="2648" t="s">
        <v>909</v>
      </c>
      <c r="B67" s="2695" t="s">
        <v>910</v>
      </c>
      <c r="C67" s="2698">
        <f ca="1">C63-C66</f>
        <v>10782</v>
      </c>
      <c r="D67" s="583" t="s">
        <v>124</v>
      </c>
      <c r="E67" s="2653"/>
      <c r="F67" s="2643"/>
      <c r="G67" s="2643"/>
      <c r="H67" s="2644"/>
      <c r="I67" s="1036"/>
      <c r="J67" s="2691"/>
      <c r="K67" s="2691" t="s">
        <v>911</v>
      </c>
      <c r="L67" s="2691">
        <f ca="1">IF(M49&gt;=10000,(8.25+(M49-10000)*0.01%),IF(AND(M49&gt;=8000,M49&lt;10000),(7.85+(M49-8000)*0.02%),IF(AND(M49&gt;=5000,M49&lt;8000),(6.65+(M49-5000)*0.04%),IF(AND(M49&gt;=2000,M49&lt;5000),(4.25+(PM49-2000)*0.08%),IF(AND(M49&gt;=1000,M49&lt;2000),(2.75+(M49-1000)*0.15%),IF(AND(M49&gt;=100,M49&lt;1000),(0.5+(M49-100)*0.25%),IF(AND(M49&gt;0,M49&lt;100),M49*0.5%)))))))</f>
        <v>8.3821</v>
      </c>
      <c r="M67" s="2114">
        <f ca="1">ROUND(L67*0.9,1)</f>
        <v>7.5</v>
      </c>
      <c r="N67" s="2692"/>
      <c r="Z67" s="2488"/>
      <c r="AI67" s="2489"/>
    </row>
    <row r="68" ht="14.25" customHeight="1" spans="1:35">
      <c r="A68" s="2699" t="s">
        <v>912</v>
      </c>
      <c r="B68" s="2700" t="s">
        <v>913</v>
      </c>
      <c r="C68" s="2701">
        <f ca="1">IF(C67&lt;=0,0,ROUND(C67*D68,0))</f>
        <v>604</v>
      </c>
      <c r="D68" s="858">
        <f>'数据-取费表'!B41</f>
        <v>0.056</v>
      </c>
      <c r="E68" s="2702"/>
      <c r="F68" s="2643"/>
      <c r="G68" s="2643"/>
      <c r="H68" s="2644"/>
      <c r="I68" s="1036"/>
      <c r="J68" s="2691"/>
      <c r="K68" s="2691" t="s">
        <v>914</v>
      </c>
      <c r="L68" s="2691">
        <f ca="1">IF(M49&gt;10000,M49*0.5%,IF(AND(M49&gt;5000,M49&lt;=10000),M49*1%,IF(AND(M49&gt;1000,M49&lt;=5000),M49*2%,IF(AND(M49&gt;200,M49&lt;=1000),M49*3%,M49*5%))))</f>
        <v>56.605</v>
      </c>
      <c r="M68" s="2114">
        <f ca="1">ROUND(L68,1)</f>
        <v>56.6</v>
      </c>
      <c r="N68" s="2692"/>
      <c r="Z68" s="2488"/>
      <c r="AI68" s="2489"/>
    </row>
    <row r="69" s="2486" customFormat="1" ht="16.5" customHeight="1" spans="1:34">
      <c r="A69" s="2703"/>
      <c r="B69" s="2704"/>
      <c r="C69" s="2705"/>
      <c r="D69" s="774"/>
      <c r="E69" s="2706"/>
      <c r="F69" s="2642"/>
      <c r="G69" s="2642"/>
      <c r="H69" s="2590"/>
      <c r="I69" s="2491"/>
      <c r="J69" s="2691"/>
      <c r="K69" s="2691" t="s">
        <v>915</v>
      </c>
      <c r="L69" s="2691"/>
      <c r="M69" s="2114">
        <f ca="1">ROUND(SUM(M63:M68),0)</f>
        <v>189</v>
      </c>
      <c r="N69" s="2804">
        <f ca="1">M69/M49</f>
        <v>0.0166946382828372</v>
      </c>
      <c r="O69" s="992"/>
      <c r="P69" s="992"/>
      <c r="Q69" s="992"/>
      <c r="R69" s="992"/>
      <c r="S69" s="992"/>
      <c r="T69" s="992"/>
      <c r="U69" s="992"/>
      <c r="V69" s="992"/>
      <c r="W69" s="992"/>
      <c r="X69" s="992"/>
      <c r="Y69" s="992"/>
      <c r="Z69" s="2488"/>
      <c r="AA69" s="2488"/>
      <c r="AB69" s="2488"/>
      <c r="AC69" s="2488"/>
      <c r="AD69" s="2488"/>
      <c r="AE69" s="2488"/>
      <c r="AF69" s="2488"/>
      <c r="AG69" s="2488"/>
      <c r="AH69" s="2488"/>
    </row>
    <row r="70" s="2487" customFormat="1" ht="15" spans="1:35">
      <c r="A70" s="2707" t="s">
        <v>916</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891</v>
      </c>
      <c r="B71" s="600"/>
      <c r="C71" s="600"/>
      <c r="D71" s="600" t="s">
        <v>892</v>
      </c>
      <c r="E71" s="2709" t="s">
        <v>846</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893</v>
      </c>
      <c r="B72" s="2695" t="s">
        <v>917</v>
      </c>
      <c r="C72" s="2698">
        <f ca="1">ROUND(D45/(1+'数据-取费表'!C42),0)</f>
        <v>10782</v>
      </c>
      <c r="D72" s="583" t="s">
        <v>124</v>
      </c>
      <c r="E72" s="2147"/>
      <c r="F72" s="2148"/>
      <c r="G72" s="2148"/>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904</v>
      </c>
      <c r="B73" s="2609" t="s">
        <v>918</v>
      </c>
      <c r="C73" s="2698">
        <f ca="1">C74+C78</f>
        <v>65</v>
      </c>
      <c r="D73" s="583" t="s">
        <v>124</v>
      </c>
      <c r="E73" s="2147"/>
      <c r="F73" s="2148"/>
      <c r="G73" s="2148"/>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897</v>
      </c>
      <c r="B74" s="583" t="s">
        <v>919</v>
      </c>
      <c r="C74" s="583">
        <f>ROUND(IF(G77="2016年5月1日后购买",C75/(1+'数据-取费表'!C42)+C76+C77,C75+C76+C77),0)</f>
        <v>0</v>
      </c>
      <c r="D74" s="583" t="s">
        <v>124</v>
      </c>
      <c r="E74" s="2147"/>
      <c r="F74" s="2148"/>
      <c r="G74" s="2148"/>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920</v>
      </c>
      <c r="B75" s="583" t="s">
        <v>921</v>
      </c>
      <c r="C75" s="2713"/>
      <c r="D75" s="583" t="s">
        <v>124</v>
      </c>
      <c r="E75" s="2714" t="s">
        <v>922</v>
      </c>
      <c r="F75" s="2715"/>
      <c r="G75" s="2714" t="s">
        <v>923</v>
      </c>
      <c r="H75" s="2716"/>
      <c r="I75" s="877"/>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924</v>
      </c>
      <c r="B76" s="2717" t="s">
        <v>925</v>
      </c>
      <c r="C76" s="583">
        <f>IF(F75="购房发票",ROUND(C75*H75*D76,0),0)</f>
        <v>0</v>
      </c>
      <c r="D76" s="2718">
        <v>0.05</v>
      </c>
      <c r="E76" s="2147" t="s">
        <v>926</v>
      </c>
      <c r="F76" s="2148"/>
      <c r="G76" s="2148"/>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927</v>
      </c>
      <c r="B77" s="583" t="s">
        <v>928</v>
      </c>
      <c r="C77" s="583">
        <f>ROUND(IF(G77="个人住宅",0,IF(G77="2016年5月1日前购买",C75*D77,C75*D77/(1+'数据-取费表'!C42))),0)</f>
        <v>0</v>
      </c>
      <c r="D77" s="2720">
        <f>'数据-取费表'!B48+'数据-取费表'!B49</f>
        <v>0.0305</v>
      </c>
      <c r="E77" s="2270" t="s">
        <v>929</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901</v>
      </c>
      <c r="B78" s="583" t="s">
        <v>930</v>
      </c>
      <c r="C78" s="2723">
        <f ca="1">ROUND(D45*D78/(1+'数据-取费表'!C42),0)</f>
        <v>65</v>
      </c>
      <c r="D78" s="2724">
        <f>'数据-取费表'!B43</f>
        <v>0.006</v>
      </c>
      <c r="E78" s="2725" t="s">
        <v>931</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909</v>
      </c>
      <c r="B79" s="2695" t="s">
        <v>932</v>
      </c>
      <c r="C79" s="2698">
        <f ca="1">C72-C73</f>
        <v>10717</v>
      </c>
      <c r="D79" s="583" t="s">
        <v>124</v>
      </c>
      <c r="E79" s="2147"/>
      <c r="F79" s="2148"/>
      <c r="G79" s="2148"/>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912</v>
      </c>
      <c r="B80" s="2695" t="s">
        <v>933</v>
      </c>
      <c r="C80" s="2728">
        <f ca="1">IF(C79&lt;=0,0,C79/C73)</f>
        <v>164.876923076923</v>
      </c>
      <c r="D80" s="583" t="s">
        <v>124</v>
      </c>
      <c r="E80" s="2270" t="str">
        <f ca="1">IF(C80&gt;=200%,"增值额超过扣除项目金额200%",IF(C80&gt;=100%,"增值额超过扣除项目金额100%，未超过200%",IF(C80&gt;=50%,"增值额超过扣除项目金额50%，未超过100%",IF(C80&lt;50%,"增值额未超过扣除项目金额50%"))))</f>
        <v>增值额超过扣除项目金额200%</v>
      </c>
      <c r="F80" s="2148"/>
      <c r="G80" s="2148"/>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934</v>
      </c>
      <c r="B81" s="2700" t="s">
        <v>935</v>
      </c>
      <c r="C81" s="2729">
        <f ca="1">ROUND(IF(C79&lt;=0,0,IF(C80&gt;=200%,C79*60%-C73*35%,IF(C80&gt;=100%,C79*50%-C73*15%,IF(C80&gt;=50%,C79*40%-C73*5%,IF(C80&lt;50%,C79*30%,0))))),0)</f>
        <v>6407</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8"/>
      <c r="D82" s="758"/>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936</v>
      </c>
      <c r="B83" s="2708"/>
      <c r="C83" s="2708"/>
      <c r="D83" s="2708"/>
      <c r="E83" s="2708"/>
      <c r="F83" s="2708"/>
      <c r="G83" s="2708"/>
      <c r="H83" s="2708"/>
      <c r="I83" s="877"/>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891</v>
      </c>
      <c r="B84" s="600"/>
      <c r="C84" s="600"/>
      <c r="D84" s="600" t="s">
        <v>892</v>
      </c>
      <c r="E84" s="2709" t="s">
        <v>846</v>
      </c>
      <c r="F84" s="2710"/>
      <c r="G84" s="2710"/>
      <c r="H84" s="2737"/>
      <c r="I84" s="877"/>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893</v>
      </c>
      <c r="B85" s="2695" t="s">
        <v>917</v>
      </c>
      <c r="C85" s="2698">
        <f ca="1">ROUND(D45/(1+'数据-取费表'!C42),0)</f>
        <v>10782</v>
      </c>
      <c r="D85" s="583" t="s">
        <v>124</v>
      </c>
      <c r="E85" s="2147"/>
      <c r="F85" s="2148"/>
      <c r="G85" s="2148"/>
      <c r="H85" s="2738"/>
      <c r="I85" s="877"/>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904</v>
      </c>
      <c r="B86" s="2609" t="s">
        <v>918</v>
      </c>
      <c r="C86" s="2698">
        <f ca="1">IF(H88="仅含出让金",C87+C90+C91+C92+C93+C94,C87+C91+C92+C93+C94)</f>
        <v>65</v>
      </c>
      <c r="D86" s="2739"/>
      <c r="E86" s="2147"/>
      <c r="F86" s="2148"/>
      <c r="G86" s="2148"/>
      <c r="H86" s="2738"/>
      <c r="I86" s="877"/>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897</v>
      </c>
      <c r="B87" s="583" t="s">
        <v>937</v>
      </c>
      <c r="C87" s="2723">
        <f>C88+C89</f>
        <v>0</v>
      </c>
      <c r="D87" s="2724"/>
      <c r="E87" s="2725"/>
      <c r="F87" s="2726"/>
      <c r="G87" s="2726"/>
      <c r="H87" s="2727"/>
      <c r="I87" s="877"/>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920</v>
      </c>
      <c r="B88" s="583" t="s">
        <v>938</v>
      </c>
      <c r="C88" s="2740"/>
      <c r="D88" s="2724"/>
      <c r="E88" s="2741" t="s">
        <v>939</v>
      </c>
      <c r="F88" s="2726"/>
      <c r="G88" s="2742" t="s">
        <v>940</v>
      </c>
      <c r="H88" s="2743"/>
      <c r="I88" s="877"/>
      <c r="J88" s="2810" t="s">
        <v>941</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924</v>
      </c>
      <c r="B89" s="583" t="s">
        <v>928</v>
      </c>
      <c r="C89" s="2723">
        <f>ROUND(C88*D89,0)</f>
        <v>0</v>
      </c>
      <c r="D89" s="2724">
        <f>'数据-取费表'!B48+'数据-取费表'!B49</f>
        <v>0.0305</v>
      </c>
      <c r="E89" s="2741" t="s">
        <v>942</v>
      </c>
      <c r="F89" s="2726"/>
      <c r="G89" s="2726"/>
      <c r="H89" s="2727"/>
      <c r="I89" s="877"/>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901</v>
      </c>
      <c r="B90" s="583" t="s">
        <v>943</v>
      </c>
      <c r="C90" s="2740"/>
      <c r="D90" s="2724"/>
      <c r="E90" s="2741" t="str">
        <f>IF(H88="-","土地取得成本中已包含该笔费用"," ")</f>
        <v> </v>
      </c>
      <c r="F90" s="2726"/>
      <c r="G90" s="2744" t="s">
        <v>944</v>
      </c>
      <c r="H90" s="2745"/>
      <c r="I90" s="877"/>
      <c r="J90" s="2810" t="s">
        <v>945</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946</v>
      </c>
      <c r="B91" s="583" t="s">
        <v>947</v>
      </c>
      <c r="C91" s="2723">
        <f ca="1">IF(H91="——",成本法!C33,I91)</f>
        <v>0</v>
      </c>
      <c r="D91" s="2724"/>
      <c r="E91" s="2725" t="s">
        <v>948</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949</v>
      </c>
      <c r="B92" s="583" t="s">
        <v>950</v>
      </c>
      <c r="C92" s="2723">
        <f ca="1">ROUND((C87+C90+C91)*D92,0)</f>
        <v>0</v>
      </c>
      <c r="D92" s="2747"/>
      <c r="E92" s="2725" t="s">
        <v>951</v>
      </c>
      <c r="F92" s="2726"/>
      <c r="G92" s="2726"/>
      <c r="H92" s="2727"/>
      <c r="I92" s="877"/>
      <c r="J92" s="2812" t="s">
        <v>952</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953</v>
      </c>
      <c r="B93" s="583" t="s">
        <v>930</v>
      </c>
      <c r="C93" s="2723">
        <f ca="1">ROUND(D45*D93/(1+'数据-取费表'!C42),0)</f>
        <v>65</v>
      </c>
      <c r="D93" s="2724">
        <f>'数据-取费表'!B43</f>
        <v>0.006</v>
      </c>
      <c r="E93" s="2725" t="s">
        <v>931</v>
      </c>
      <c r="F93" s="2726"/>
      <c r="G93" s="2726"/>
      <c r="H93" s="2727"/>
      <c r="I93" s="877"/>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954</v>
      </c>
      <c r="B94" s="583" t="s">
        <v>955</v>
      </c>
      <c r="C94" s="2740">
        <f ca="1">ROUND((C87+C90+C91)*D94,0)</f>
        <v>0</v>
      </c>
      <c r="D94" s="2724">
        <v>0.2</v>
      </c>
      <c r="E94" s="2748" t="s">
        <v>956</v>
      </c>
      <c r="F94" s="2749"/>
      <c r="G94" s="2749"/>
      <c r="H94" s="2750"/>
      <c r="I94" s="877"/>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909</v>
      </c>
      <c r="B95" s="2695" t="s">
        <v>932</v>
      </c>
      <c r="C95" s="2698">
        <f ca="1">ROUND(C85-C86,0)</f>
        <v>10717</v>
      </c>
      <c r="D95" s="583" t="s">
        <v>124</v>
      </c>
      <c r="E95" s="2147"/>
      <c r="F95" s="2148"/>
      <c r="G95" s="2148"/>
      <c r="H95" s="2738"/>
      <c r="I95" s="877"/>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912</v>
      </c>
      <c r="B96" s="2695" t="s">
        <v>933</v>
      </c>
      <c r="C96" s="2728">
        <f ca="1">IF(C95&lt;=0,0,C95/C86)</f>
        <v>164.876923076923</v>
      </c>
      <c r="D96" s="583" t="s">
        <v>124</v>
      </c>
      <c r="E96" s="2270" t="str">
        <f ca="1">IF(C96&gt;=200%,"增值额超过扣除项目金额200%",IF(C96&gt;=100%,"增值额超过扣除项目金额100%，未超过200%",IF(C96&gt;=50%,"增值额超过扣除项目金额50%，未超过100%",IF(C96&lt;50%,"增值额未超过扣除项目金额50%"))))</f>
        <v>增值额超过扣除项目金额200%</v>
      </c>
      <c r="F96" s="2148"/>
      <c r="G96" s="2148"/>
      <c r="H96" s="2738"/>
      <c r="I96" s="877"/>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934</v>
      </c>
      <c r="B97" s="2700" t="s">
        <v>935</v>
      </c>
      <c r="C97" s="2729">
        <f ca="1">ROUND(IF(C95&lt;=0,0,IF(C96&gt;=200%,C95*60%-C86*35%,IF(C96&gt;=100%,C95*50%-C86*15%,IF(C96&gt;=50%,C95*40%-C86*5%,IF(C96&lt;50%,C95*30%,0))))),0)</f>
        <v>6407</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77"/>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6"/>
    </row>
    <row r="99" customHeight="1" spans="1:9">
      <c r="A99" s="2592" t="s">
        <v>957</v>
      </c>
      <c r="B99" s="2491"/>
      <c r="C99" s="2491"/>
      <c r="D99" s="2491"/>
      <c r="E99" s="2642"/>
      <c r="F99" s="2642"/>
      <c r="G99" s="2642"/>
      <c r="H99" s="2590"/>
      <c r="I99" s="1036"/>
    </row>
    <row r="100" ht="18.75" customHeight="1" spans="1:9">
      <c r="A100" s="2752" t="s">
        <v>958</v>
      </c>
      <c r="B100" s="2753"/>
      <c r="C100" s="2753"/>
      <c r="D100" s="2754"/>
      <c r="E100" s="2753" t="s">
        <v>959</v>
      </c>
      <c r="F100" s="2753"/>
      <c r="G100" s="2753"/>
      <c r="H100" s="2754"/>
      <c r="I100" s="1036"/>
    </row>
    <row r="101" ht="18.75" customHeight="1" spans="1:9">
      <c r="A101" s="2755" t="s">
        <v>960</v>
      </c>
      <c r="B101" s="2756"/>
      <c r="C101" s="2757" t="str">
        <f>C4</f>
        <v>成本法</v>
      </c>
      <c r="D101" s="2758" t="str">
        <f>D4</f>
        <v>收益法</v>
      </c>
      <c r="E101" s="2759" t="s">
        <v>961</v>
      </c>
      <c r="F101" s="2760"/>
      <c r="G101" s="2761" t="s">
        <v>962</v>
      </c>
      <c r="H101" s="2762">
        <f ca="1">H118</f>
        <v>11321</v>
      </c>
      <c r="I101" s="1036"/>
    </row>
    <row r="102" ht="18.75" customHeight="1" spans="1:9">
      <c r="A102" s="2763" t="s">
        <v>963</v>
      </c>
      <c r="B102" s="2764" t="s">
        <v>962</v>
      </c>
      <c r="C102" s="2757">
        <f ca="1">IF(D32="楼面单价",ROUND(C19,0),C19)</f>
        <v>7210</v>
      </c>
      <c r="D102" s="2758">
        <f ca="1">IF(D32="楼面单价",ROUND(D19,0),D19)</f>
        <v>14062</v>
      </c>
      <c r="E102" s="2759"/>
      <c r="F102" s="2760"/>
      <c r="G102" s="2761" t="s">
        <v>99</v>
      </c>
      <c r="H102" s="2628">
        <f ca="1">I118</f>
        <v>4870</v>
      </c>
      <c r="I102" s="1036"/>
    </row>
    <row r="103" ht="42.75" customHeight="1" spans="1:9">
      <c r="A103" s="2763"/>
      <c r="B103" s="2764" t="s">
        <v>99</v>
      </c>
      <c r="C103" s="2765">
        <f ca="1">C20</f>
        <v>3102</v>
      </c>
      <c r="D103" s="2766">
        <f ca="1">D20</f>
        <v>6050</v>
      </c>
      <c r="E103" s="2767" t="s">
        <v>964</v>
      </c>
      <c r="F103" s="2768"/>
      <c r="G103" s="2769" t="s">
        <v>102</v>
      </c>
      <c r="H103" s="2762">
        <f>IF(D36="正常操作",H104+H105+H106,H105+H106)</f>
        <v>0</v>
      </c>
      <c r="I103" s="1036"/>
    </row>
    <row r="104" ht="18.75" customHeight="1" spans="1:9">
      <c r="A104" s="2763" t="s">
        <v>965</v>
      </c>
      <c r="B104" s="2770" t="s">
        <v>962</v>
      </c>
      <c r="C104" s="2771">
        <f ca="1">H118</f>
        <v>11321</v>
      </c>
      <c r="D104" s="2772"/>
      <c r="E104" s="2574" t="s">
        <v>966</v>
      </c>
      <c r="F104" s="2773"/>
      <c r="G104" s="2769" t="s">
        <v>102</v>
      </c>
      <c r="H104" s="2774">
        <f>IF(D36="同一抵押权人同一抵押物续贷",C36&amp;"（续贷，未扣减，详见特别提示）",C36)</f>
        <v>0</v>
      </c>
      <c r="I104" s="1036"/>
    </row>
    <row r="105" ht="18.75" customHeight="1" spans="1:9">
      <c r="A105" s="2775"/>
      <c r="B105" s="2776" t="s">
        <v>99</v>
      </c>
      <c r="C105" s="2777">
        <f ca="1">I118</f>
        <v>4870</v>
      </c>
      <c r="D105" s="2778"/>
      <c r="E105" s="2574" t="s">
        <v>967</v>
      </c>
      <c r="F105" s="2773"/>
      <c r="G105" s="2769" t="s">
        <v>102</v>
      </c>
      <c r="H105" s="2779">
        <f>C37</f>
        <v>0</v>
      </c>
      <c r="I105" s="1036"/>
    </row>
    <row r="106" ht="18.75" customHeight="1" spans="1:9">
      <c r="A106" s="2491" t="s">
        <v>968</v>
      </c>
      <c r="B106" s="2491"/>
      <c r="C106" s="2491"/>
      <c r="D106" s="2491"/>
      <c r="E106" s="2780" t="s">
        <v>969</v>
      </c>
      <c r="F106" s="2773"/>
      <c r="G106" s="2769" t="s">
        <v>102</v>
      </c>
      <c r="H106" s="2779">
        <f>C38</f>
        <v>0</v>
      </c>
      <c r="I106" s="1036"/>
    </row>
    <row r="107" ht="18.75" customHeight="1" spans="1:9">
      <c r="A107" s="1036"/>
      <c r="B107" s="1036"/>
      <c r="C107" s="1036"/>
      <c r="D107" s="1036"/>
      <c r="E107" s="2781" t="str">
        <f>IF(项目基本情况!E8="已注销","——","3.房地产抵押价值")</f>
        <v>3.房地产抵押价值</v>
      </c>
      <c r="F107" s="2760"/>
      <c r="G107" s="2761" t="s">
        <v>962</v>
      </c>
      <c r="H107" s="2762">
        <f ca="1">IF(E107="——","——",H101-H103)</f>
        <v>11321</v>
      </c>
      <c r="I107" s="1036"/>
    </row>
    <row r="108" ht="18.75" customHeight="1" spans="1:9">
      <c r="A108" s="1036"/>
      <c r="B108" s="1036"/>
      <c r="C108" s="1036"/>
      <c r="D108" s="1036"/>
      <c r="E108" s="2781"/>
      <c r="F108" s="2760"/>
      <c r="G108" s="2761" t="s">
        <v>99</v>
      </c>
      <c r="H108" s="2628">
        <f ca="1">IF(H107=H101,H102,ROUND(H107*10000/'数据-汇总表'!E3,0))</f>
        <v>4870</v>
      </c>
      <c r="I108" s="1036"/>
    </row>
    <row r="109" ht="18.75" customHeight="1" spans="1:9">
      <c r="A109" s="1036"/>
      <c r="B109" s="1036"/>
      <c r="C109" s="1036"/>
      <c r="D109" s="1036"/>
      <c r="E109" s="2781" t="str">
        <f>IF(项目基本情况!E8="已注销及未注销","4.抵押担保权已注销时的房地产抵押价值",IF(项目基本情况!E8="已注销","3.抵押担保权已注销时的房地产抵押价值","——"))</f>
        <v>——</v>
      </c>
      <c r="F109" s="2760"/>
      <c r="G109" s="2761" t="s">
        <v>962</v>
      </c>
      <c r="H109" s="2782" t="str">
        <f ca="1">IF(E109="——","——",H101-H105-H106)</f>
        <v>——</v>
      </c>
      <c r="I109" s="1036"/>
    </row>
    <row r="110" ht="18.75" customHeight="1" spans="1:9">
      <c r="A110" s="1036"/>
      <c r="B110" s="1036"/>
      <c r="C110" s="1036"/>
      <c r="D110" s="1036"/>
      <c r="E110" s="2781"/>
      <c r="F110" s="2760"/>
      <c r="G110" s="2761" t="s">
        <v>99</v>
      </c>
      <c r="H110" s="2628" t="str">
        <f ca="1">IF(H109="——","——",ROUND(H109*10000/'数据-汇总表'!E3,0))</f>
        <v>——</v>
      </c>
      <c r="I110" s="1036"/>
    </row>
    <row r="111" ht="18.75" customHeight="1" spans="1:9">
      <c r="A111" s="1036"/>
      <c r="B111" s="1036"/>
      <c r="C111" s="1036"/>
      <c r="D111" s="1036"/>
      <c r="E111" s="2783" t="str">
        <f>IF(项目基本情况!E9="抵押净值",IF(OR(项目基本情况!E8="已注销",项目基本情况!E8="房地产抵押价值"),"4.抵押净值","5.抵押净值"),"——")</f>
        <v>——</v>
      </c>
      <c r="F111" s="2784"/>
      <c r="G111" s="2761" t="s">
        <v>962</v>
      </c>
      <c r="H111" s="2762" t="str">
        <f ca="1">IF(E111="——","——",N59)</f>
        <v>——</v>
      </c>
      <c r="I111" s="1036"/>
    </row>
    <row r="112" ht="18.75" customHeight="1" spans="1:9">
      <c r="A112" s="1036"/>
      <c r="B112" s="1036"/>
      <c r="C112" s="1036"/>
      <c r="D112" s="1036"/>
      <c r="E112" s="2785"/>
      <c r="F112" s="2786"/>
      <c r="G112" s="2787" t="s">
        <v>99</v>
      </c>
      <c r="H112" s="2788" t="str">
        <f ca="1">IF(E111="——","——",N61)</f>
        <v>——</v>
      </c>
      <c r="I112" s="1036"/>
    </row>
    <row r="113" ht="18.75" customHeight="1" spans="1:9">
      <c r="A113" s="1036"/>
      <c r="B113" s="1036"/>
      <c r="C113" s="1036"/>
      <c r="D113" s="1036"/>
      <c r="E113" s="2789" t="s">
        <v>968</v>
      </c>
      <c r="F113" s="2789"/>
      <c r="G113" s="2789"/>
      <c r="H113" s="2789"/>
      <c r="I113" s="1036"/>
    </row>
    <row r="114" ht="3.75" customHeight="1" spans="1:9">
      <c r="A114" s="2491"/>
      <c r="B114" s="2491"/>
      <c r="C114" s="2491"/>
      <c r="D114" s="2491"/>
      <c r="E114" s="2641"/>
      <c r="F114" s="2641"/>
      <c r="G114" s="2641"/>
      <c r="H114" s="2641"/>
      <c r="I114" s="2491"/>
    </row>
    <row r="115" ht="18.75" customHeight="1" spans="1:9">
      <c r="A115" s="2790" t="s">
        <v>970</v>
      </c>
      <c r="B115" s="2791"/>
      <c r="C115" s="2791"/>
      <c r="D115" s="2791"/>
      <c r="E115" s="2791"/>
      <c r="F115" s="2791"/>
      <c r="G115" s="2791"/>
      <c r="H115" s="2791"/>
      <c r="I115" s="2813"/>
    </row>
    <row r="116" ht="27" customHeight="1" spans="1:9">
      <c r="A116" s="2504" t="s">
        <v>971</v>
      </c>
      <c r="B116" s="2792" t="s">
        <v>972</v>
      </c>
      <c r="C116" s="2792" t="s">
        <v>973</v>
      </c>
      <c r="D116" s="2793" t="s">
        <v>974</v>
      </c>
      <c r="E116" s="2794"/>
      <c r="F116" s="2795" t="s">
        <v>975</v>
      </c>
      <c r="G116" s="2795"/>
      <c r="H116" s="2504" t="s">
        <v>976</v>
      </c>
      <c r="I116" s="2504"/>
    </row>
    <row r="117" ht="18.75" customHeight="1" spans="1:9">
      <c r="A117" s="2504"/>
      <c r="B117" s="2796"/>
      <c r="C117" s="2796"/>
      <c r="D117" s="2504" t="s">
        <v>977</v>
      </c>
      <c r="E117" s="2504" t="s">
        <v>804</v>
      </c>
      <c r="F117" s="2504" t="s">
        <v>977</v>
      </c>
      <c r="G117" s="2504" t="s">
        <v>804</v>
      </c>
      <c r="H117" s="2504" t="s">
        <v>977</v>
      </c>
      <c r="I117" s="2504" t="s">
        <v>804</v>
      </c>
    </row>
    <row r="118" ht="24.75" customHeight="1" spans="1:10">
      <c r="A118" s="2797" t="str">
        <f>项目基本情况!S2</f>
        <v>房地产</v>
      </c>
      <c r="B118" s="2504">
        <f>M18</f>
        <v>23244.54</v>
      </c>
      <c r="C118" s="2504">
        <f>M19</f>
        <v>3800.1</v>
      </c>
      <c r="D118" s="2504">
        <f ca="1">ROUND(IF(D32="总价",C34,E118*B118/10000),0)</f>
        <v>1562</v>
      </c>
      <c r="E118" s="2504">
        <f ca="1">ROUND(IF(C33="自定义",IF(D32="楼面单价",C34,D118*10000/B118),I118-G118),0)</f>
        <v>672</v>
      </c>
      <c r="F118" s="2504">
        <f ca="1">ROUND(IF(D32="总价",C35,G118*B118/10000),0)</f>
        <v>9759</v>
      </c>
      <c r="G118" s="2504">
        <f ca="1">ROUND(IF(D32="楼面单价",C35,F118*10000/B118),0)</f>
        <v>4198</v>
      </c>
      <c r="H118" s="2504">
        <f ca="1">ROUND(IF(D32="总价",C32,I118*B118/10000),0)</f>
        <v>11321</v>
      </c>
      <c r="I118" s="2504">
        <f ca="1">ROUND(IF(D32="楼面单价",C32,H118*10000/B118),0)</f>
        <v>4870</v>
      </c>
      <c r="J118" s="992">
        <f ca="1">D118/5.7</f>
        <v>274.035087719298</v>
      </c>
    </row>
    <row r="119" ht="18.75" customHeight="1" spans="1:9">
      <c r="A119" s="2504" t="s">
        <v>978</v>
      </c>
      <c r="B119" s="2504"/>
      <c r="C119" s="2504"/>
      <c r="D119" s="2798" t="str">
        <f ca="1">NUMBERSTRING(INT(D118*10000),2)&amp;"元整"</f>
        <v>壹仟伍佰陆拾贰万元整</v>
      </c>
      <c r="E119" s="2799"/>
      <c r="F119" s="2798" t="str">
        <f ca="1">NUMBERSTRING(INT(F118*10000),2)&amp;"元整"</f>
        <v>玖仟柒佰伍拾玖万元整</v>
      </c>
      <c r="G119" s="2799"/>
      <c r="H119" s="2798" t="str">
        <f ca="1">NUMBERSTRING(INT(H118*10000),2)&amp;"元整"</f>
        <v>壹亿壹仟叁佰贰拾壹万元整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978</v>
      </c>
      <c r="B121" s="2803"/>
      <c r="C121" s="2799"/>
      <c r="D121" s="2798" t="str">
        <f>IF(D120=0,"零元整",NUMBERSTRING(INT(D120*10000),2)&amp;"元整")</f>
        <v>零元整</v>
      </c>
      <c r="E121" s="2803"/>
      <c r="F121" s="2803"/>
      <c r="G121" s="2803"/>
      <c r="H121" s="2803"/>
      <c r="I121" s="2799"/>
      <c r="AA121" s="992"/>
    </row>
    <row r="122" ht="18.75" customHeight="1" spans="1:27">
      <c r="A122" s="2784" t="str">
        <f>IF(项目基本情况!B9="房地产市场价值","",MID(E107,3,LEN(E107)-2))</f>
        <v>房地产抵押价值</v>
      </c>
      <c r="B122" s="2784"/>
      <c r="C122" s="2784"/>
      <c r="D122" s="2800">
        <f ca="1">H107</f>
        <v>11321</v>
      </c>
      <c r="E122" s="2801"/>
      <c r="F122" s="2801"/>
      <c r="G122" s="2801"/>
      <c r="H122" s="2801"/>
      <c r="I122" s="2802"/>
      <c r="AA122" s="992"/>
    </row>
    <row r="123" ht="18.75" customHeight="1" spans="1:27">
      <c r="A123" s="2504" t="s">
        <v>978</v>
      </c>
      <c r="B123" s="2504"/>
      <c r="C123" s="2504"/>
      <c r="D123" s="2798" t="str">
        <f ca="1">NUMBERSTRING(INT(D122*10000),2)&amp;"元整"</f>
        <v>壹亿壹仟叁佰贰拾壹万元整</v>
      </c>
      <c r="E123" s="2803"/>
      <c r="F123" s="2803"/>
      <c r="G123" s="2803"/>
      <c r="H123" s="2803"/>
      <c r="I123" s="2799"/>
      <c r="AA123" s="992"/>
    </row>
    <row r="124" ht="18.75" customHeight="1" spans="1:27">
      <c r="A124" s="2784" t="str">
        <f>IF(项目基本情况!B9="房地产市场价值","",MID(E109,3,LEN(E109)-2))</f>
        <v/>
      </c>
      <c r="B124" s="2784"/>
      <c r="C124" s="2784"/>
      <c r="D124" s="2800" t="str">
        <f ca="1">H109</f>
        <v>——</v>
      </c>
      <c r="E124" s="2801"/>
      <c r="F124" s="2801"/>
      <c r="G124" s="2801"/>
      <c r="H124" s="2801"/>
      <c r="I124" s="2802"/>
      <c r="AA124" s="992"/>
    </row>
    <row r="125" ht="18.75" customHeight="1" spans="1:27">
      <c r="A125" s="2504" t="s">
        <v>978</v>
      </c>
      <c r="B125" s="2504"/>
      <c r="C125" s="2504"/>
      <c r="D125" s="2798" t="e">
        <f ca="1">NUMBERSTRING(INT(D124*10000),2)&amp;"元整"</f>
        <v>#VALUE!</v>
      </c>
      <c r="E125" s="2803"/>
      <c r="F125" s="2803"/>
      <c r="G125" s="2803"/>
      <c r="H125" s="2803"/>
      <c r="I125" s="2799"/>
      <c r="AA125" s="992"/>
    </row>
    <row r="126" ht="18.75" customHeight="1" spans="1:27">
      <c r="A126" s="2784" t="str">
        <f>IF(项目基本情况!B9="房地产市场价值","",MID(E111,3,LEN(E111)-2))</f>
        <v/>
      </c>
      <c r="B126" s="2784"/>
      <c r="C126" s="2784"/>
      <c r="D126" s="2800" t="str">
        <f ca="1">H111</f>
        <v>——</v>
      </c>
      <c r="E126" s="2801"/>
      <c r="F126" s="2801"/>
      <c r="G126" s="2801"/>
      <c r="H126" s="2801"/>
      <c r="I126" s="2802"/>
      <c r="AA126" s="992"/>
    </row>
    <row r="127" ht="18.75" customHeight="1" spans="1:27">
      <c r="A127" s="2504" t="s">
        <v>978</v>
      </c>
      <c r="B127" s="2504"/>
      <c r="C127" s="2504"/>
      <c r="D127" s="2798" t="e">
        <f ca="1">NUMBERSTRING(INT(D126*10000),2)&amp;"元整"</f>
        <v>#VALUE!</v>
      </c>
      <c r="E127" s="2803"/>
      <c r="F127" s="2803"/>
      <c r="G127" s="2803"/>
      <c r="H127" s="2803"/>
      <c r="I127" s="2799"/>
      <c r="AA127" s="992"/>
    </row>
    <row r="128" customHeight="1" spans="1:27">
      <c r="A128" s="2235" t="s">
        <v>113</v>
      </c>
      <c r="B128" s="2235"/>
      <c r="C128" s="2235"/>
      <c r="D128" s="2235"/>
      <c r="E128" s="2235"/>
      <c r="F128" s="2235"/>
      <c r="G128" s="2235"/>
      <c r="H128" s="2235"/>
      <c r="I128" s="2235"/>
      <c r="AA128" s="992"/>
    </row>
    <row r="129" customHeight="1" spans="1:27">
      <c r="A129" s="2815" t="s">
        <v>979</v>
      </c>
      <c r="B129" s="2816"/>
      <c r="C129" s="2817" t="s">
        <v>980</v>
      </c>
      <c r="D129" s="2818"/>
      <c r="E129" s="2818"/>
      <c r="F129" s="2818"/>
      <c r="G129" s="2818"/>
      <c r="H129" s="2819"/>
      <c r="I129" s="2834"/>
      <c r="AA129" s="992"/>
    </row>
    <row r="130" customHeight="1" spans="1:27">
      <c r="A130" s="2820">
        <v>1</v>
      </c>
      <c r="B130" s="2821"/>
      <c r="C130" s="2821"/>
      <c r="D130" s="2822"/>
      <c r="E130" s="2822"/>
      <c r="F130" s="2822"/>
      <c r="G130" s="2822"/>
      <c r="H130" s="2823"/>
      <c r="I130" s="2835"/>
      <c r="AA130" s="992"/>
    </row>
    <row r="131" customHeight="1" spans="1:27">
      <c r="A131" s="2820">
        <v>2</v>
      </c>
      <c r="B131" s="2821"/>
      <c r="C131" s="2821"/>
      <c r="D131" s="2822"/>
      <c r="E131" s="2822"/>
      <c r="F131" s="2822"/>
      <c r="G131" s="2822"/>
      <c r="H131" s="2823"/>
      <c r="I131" s="2835"/>
      <c r="AA131" s="992"/>
    </row>
    <row r="132" customHeight="1" spans="1:27">
      <c r="A132" s="2820">
        <v>3</v>
      </c>
      <c r="B132" s="2821"/>
      <c r="C132" s="2821"/>
      <c r="D132" s="2822"/>
      <c r="E132" s="2822"/>
      <c r="F132" s="2822"/>
      <c r="G132" s="2822"/>
      <c r="H132" s="2823"/>
      <c r="I132" s="2835"/>
      <c r="AA132" s="992"/>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2"/>
    </row>
    <row r="135" customHeight="1" spans="1:9">
      <c r="A135" s="992"/>
      <c r="B135" s="992"/>
      <c r="C135" s="992"/>
      <c r="D135" s="992"/>
      <c r="E135" s="992"/>
      <c r="F135" s="2828" t="s">
        <v>981</v>
      </c>
      <c r="G135" s="2829"/>
      <c r="H135" s="2829"/>
      <c r="I135" s="2837" t="s">
        <v>982</v>
      </c>
    </row>
    <row r="136" customHeight="1" spans="1:9">
      <c r="A136" s="992"/>
      <c r="B136" s="2830" t="s">
        <v>983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9"/>
      <c r="C138" s="2829"/>
      <c r="D138" s="2829"/>
      <c r="E138" s="2829"/>
      <c r="F138" s="2829"/>
      <c r="G138" s="2829"/>
      <c r="H138" s="2829"/>
      <c r="I138" s="2837" t="s">
        <v>984</v>
      </c>
    </row>
    <row r="139" customHeight="1" spans="1:9">
      <c r="A139" s="992"/>
      <c r="B139" s="2830" t="s">
        <v>985</v>
      </c>
      <c r="C139" s="992"/>
      <c r="D139" s="992"/>
      <c r="E139" s="992"/>
      <c r="F139" s="992"/>
      <c r="G139" s="992"/>
      <c r="H139" s="992"/>
      <c r="I139" s="992"/>
    </row>
    <row r="140" customHeight="1" spans="1:9">
      <c r="A140" s="992"/>
      <c r="B140" s="2830"/>
      <c r="C140" s="992"/>
      <c r="D140" s="992"/>
      <c r="E140" s="992"/>
      <c r="F140" s="992"/>
      <c r="G140" s="992"/>
      <c r="H140" s="992"/>
      <c r="I140" s="992"/>
    </row>
    <row r="141" customHeight="1" spans="1:9">
      <c r="A141" s="992"/>
      <c r="B141" s="2829"/>
      <c r="C141" s="2829"/>
      <c r="D141" s="2829"/>
      <c r="E141" s="2829"/>
      <c r="F141" s="2829"/>
      <c r="G141" s="2829"/>
      <c r="H141" s="2829"/>
      <c r="I141" s="2837" t="s">
        <v>984</v>
      </c>
    </row>
    <row r="142" customHeight="1" spans="1:9">
      <c r="A142" s="992"/>
      <c r="B142" s="2830"/>
      <c r="C142" s="2831"/>
      <c r="D142" s="2832"/>
      <c r="E142" s="2832"/>
      <c r="F142" s="2833"/>
      <c r="G142" s="992"/>
      <c r="H142" s="992"/>
      <c r="I142" s="992"/>
    </row>
    <row r="143" s="989" customFormat="1" customHeight="1" spans="1:35">
      <c r="A143" s="992"/>
      <c r="B143" s="2830"/>
      <c r="C143" s="2831"/>
      <c r="D143" s="2832"/>
      <c r="E143" s="2832"/>
      <c r="F143" s="283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8" customFormat="1" customHeight="1" spans="10:26">
      <c r="J409" s="992"/>
      <c r="K409" s="992"/>
      <c r="L409" s="992"/>
      <c r="M409" s="992"/>
      <c r="N409" s="992"/>
      <c r="O409" s="992"/>
      <c r="P409" s="992"/>
      <c r="Q409" s="992"/>
      <c r="R409" s="992"/>
      <c r="S409" s="992"/>
      <c r="T409" s="992"/>
      <c r="U409" s="992"/>
      <c r="V409" s="992"/>
      <c r="W409" s="992"/>
      <c r="X409" s="992"/>
      <c r="Y409" s="992"/>
      <c r="Z409" s="992"/>
    </row>
    <row r="410" s="2488" customFormat="1" customHeight="1" spans="10:26">
      <c r="J410" s="992"/>
      <c r="K410" s="992"/>
      <c r="L410" s="992"/>
      <c r="M410" s="992"/>
      <c r="N410" s="992"/>
      <c r="O410" s="992"/>
      <c r="P410" s="992"/>
      <c r="Q410" s="992"/>
      <c r="R410" s="992"/>
      <c r="S410" s="992"/>
      <c r="T410" s="992"/>
      <c r="U410" s="992"/>
      <c r="V410" s="992"/>
      <c r="W410" s="992"/>
      <c r="X410" s="992"/>
      <c r="Y410" s="992"/>
      <c r="Z410" s="992"/>
    </row>
    <row r="411" s="2488" customFormat="1" customHeight="1" spans="10:26">
      <c r="J411" s="992"/>
      <c r="K411" s="992"/>
      <c r="L411" s="992"/>
      <c r="M411" s="992"/>
      <c r="N411" s="992"/>
      <c r="O411" s="992"/>
      <c r="P411" s="992"/>
      <c r="Q411" s="992"/>
      <c r="R411" s="992"/>
      <c r="S411" s="992"/>
      <c r="T411" s="992"/>
      <c r="U411" s="992"/>
      <c r="V411" s="992"/>
      <c r="W411" s="992"/>
      <c r="X411" s="992"/>
      <c r="Y411" s="992"/>
      <c r="Z411" s="992"/>
    </row>
    <row r="412" s="2488" customFormat="1" customHeight="1" spans="10:26">
      <c r="J412" s="992"/>
      <c r="K412" s="992"/>
      <c r="L412" s="992"/>
      <c r="M412" s="992"/>
      <c r="N412" s="992"/>
      <c r="O412" s="992"/>
      <c r="P412" s="992"/>
      <c r="Q412" s="992"/>
      <c r="R412" s="992"/>
      <c r="S412" s="992"/>
      <c r="T412" s="992"/>
      <c r="U412" s="992"/>
      <c r="V412" s="992"/>
      <c r="W412" s="992"/>
      <c r="X412" s="992"/>
      <c r="Y412" s="992"/>
      <c r="Z412" s="992"/>
    </row>
    <row r="413" s="2488" customFormat="1" customHeight="1" spans="10:26">
      <c r="J413" s="992"/>
      <c r="K413" s="992"/>
      <c r="L413" s="992"/>
      <c r="M413" s="992"/>
      <c r="N413" s="992"/>
      <c r="O413" s="992"/>
      <c r="P413" s="992"/>
      <c r="Q413" s="992"/>
      <c r="R413" s="992"/>
      <c r="S413" s="992"/>
      <c r="T413" s="992"/>
      <c r="U413" s="992"/>
      <c r="V413" s="992"/>
      <c r="W413" s="992"/>
      <c r="X413" s="992"/>
      <c r="Y413" s="992"/>
      <c r="Z413" s="992"/>
    </row>
    <row r="414" s="2488" customFormat="1" customHeight="1" spans="10:26">
      <c r="J414" s="992"/>
      <c r="K414" s="992"/>
      <c r="L414" s="992"/>
      <c r="M414" s="992"/>
      <c r="N414" s="992"/>
      <c r="O414" s="992"/>
      <c r="P414" s="992"/>
      <c r="Q414" s="992"/>
      <c r="R414" s="992"/>
      <c r="S414" s="992"/>
      <c r="T414" s="992"/>
      <c r="U414" s="992"/>
      <c r="V414" s="992"/>
      <c r="W414" s="992"/>
      <c r="X414" s="992"/>
      <c r="Y414" s="992"/>
      <c r="Z414" s="992"/>
    </row>
    <row r="415" s="2488" customFormat="1" customHeight="1" spans="10:26">
      <c r="J415" s="992"/>
      <c r="K415" s="992"/>
      <c r="L415" s="992"/>
      <c r="M415" s="992"/>
      <c r="N415" s="992"/>
      <c r="O415" s="992"/>
      <c r="P415" s="992"/>
      <c r="Q415" s="992"/>
      <c r="R415" s="992"/>
      <c r="S415" s="992"/>
      <c r="T415" s="992"/>
      <c r="U415" s="992"/>
      <c r="V415" s="992"/>
      <c r="W415" s="992"/>
      <c r="X415" s="992"/>
      <c r="Y415" s="992"/>
      <c r="Z415" s="992"/>
    </row>
    <row r="416" s="2488" customFormat="1" customHeight="1" spans="10:26">
      <c r="J416" s="992"/>
      <c r="K416" s="992"/>
      <c r="L416" s="992"/>
      <c r="M416" s="992"/>
      <c r="N416" s="992"/>
      <c r="O416" s="992"/>
      <c r="P416" s="992"/>
      <c r="Q416" s="992"/>
      <c r="R416" s="992"/>
      <c r="S416" s="992"/>
      <c r="T416" s="992"/>
      <c r="U416" s="992"/>
      <c r="V416" s="992"/>
      <c r="W416" s="992"/>
      <c r="X416" s="992"/>
      <c r="Y416" s="992"/>
      <c r="Z416" s="992"/>
    </row>
    <row r="417" s="2488" customFormat="1" customHeight="1" spans="10:26">
      <c r="J417" s="992"/>
      <c r="K417" s="992"/>
      <c r="L417" s="992"/>
      <c r="M417" s="992"/>
      <c r="N417" s="992"/>
      <c r="O417" s="992"/>
      <c r="P417" s="992"/>
      <c r="Q417" s="992"/>
      <c r="R417" s="992"/>
      <c r="S417" s="992"/>
      <c r="T417" s="992"/>
      <c r="U417" s="992"/>
      <c r="V417" s="992"/>
      <c r="W417" s="992"/>
      <c r="X417" s="992"/>
      <c r="Y417" s="992"/>
      <c r="Z417" s="992"/>
    </row>
    <row r="418" s="2488" customFormat="1" customHeight="1" spans="10:26">
      <c r="J418" s="992"/>
      <c r="K418" s="992"/>
      <c r="L418" s="992"/>
      <c r="M418" s="992"/>
      <c r="N418" s="992"/>
      <c r="O418" s="992"/>
      <c r="P418" s="992"/>
      <c r="Q418" s="992"/>
      <c r="R418" s="992"/>
      <c r="S418" s="992"/>
      <c r="T418" s="992"/>
      <c r="U418" s="992"/>
      <c r="V418" s="992"/>
      <c r="W418" s="992"/>
      <c r="X418" s="992"/>
      <c r="Y418" s="992"/>
      <c r="Z418" s="992"/>
    </row>
    <row r="419" s="2488" customFormat="1" customHeight="1" spans="10:26">
      <c r="J419" s="992"/>
      <c r="K419" s="992"/>
      <c r="L419" s="992"/>
      <c r="M419" s="992"/>
      <c r="N419" s="992"/>
      <c r="O419" s="992"/>
      <c r="P419" s="992"/>
      <c r="Q419" s="992"/>
      <c r="R419" s="992"/>
      <c r="S419" s="992"/>
      <c r="T419" s="992"/>
      <c r="U419" s="992"/>
      <c r="V419" s="992"/>
      <c r="W419" s="992"/>
      <c r="X419" s="992"/>
      <c r="Y419" s="992"/>
      <c r="Z419" s="992"/>
    </row>
    <row r="420" s="2488" customFormat="1" customHeight="1" spans="10:26">
      <c r="J420" s="992"/>
      <c r="K420" s="992"/>
      <c r="L420" s="992"/>
      <c r="M420" s="992"/>
      <c r="N420" s="992"/>
      <c r="O420" s="992"/>
      <c r="P420" s="992"/>
      <c r="Q420" s="992"/>
      <c r="R420" s="992"/>
      <c r="S420" s="992"/>
      <c r="T420" s="992"/>
      <c r="U420" s="992"/>
      <c r="V420" s="992"/>
      <c r="W420" s="992"/>
      <c r="X420" s="992"/>
      <c r="Y420" s="992"/>
      <c r="Z420" s="992"/>
    </row>
    <row r="421" s="2488" customFormat="1" customHeight="1" spans="10:26">
      <c r="J421" s="992"/>
      <c r="K421" s="992"/>
      <c r="L421" s="992"/>
      <c r="M421" s="992"/>
      <c r="N421" s="992"/>
      <c r="O421" s="992"/>
      <c r="P421" s="992"/>
      <c r="Q421" s="992"/>
      <c r="R421" s="992"/>
      <c r="S421" s="992"/>
      <c r="T421" s="992"/>
      <c r="U421" s="992"/>
      <c r="V421" s="992"/>
      <c r="W421" s="992"/>
      <c r="X421" s="992"/>
      <c r="Y421" s="992"/>
      <c r="Z421" s="992"/>
    </row>
    <row r="422" s="2488" customFormat="1" customHeight="1" spans="10:26">
      <c r="J422" s="992"/>
      <c r="K422" s="992"/>
      <c r="L422" s="992"/>
      <c r="M422" s="992"/>
      <c r="N422" s="992"/>
      <c r="O422" s="992"/>
      <c r="P422" s="992"/>
      <c r="Q422" s="992"/>
      <c r="R422" s="992"/>
      <c r="S422" s="992"/>
      <c r="T422" s="992"/>
      <c r="U422" s="992"/>
      <c r="V422" s="992"/>
      <c r="W422" s="992"/>
      <c r="X422" s="992"/>
      <c r="Y422" s="992"/>
      <c r="Z422" s="992"/>
    </row>
    <row r="423" s="2488" customFormat="1" customHeight="1" spans="10:26">
      <c r="J423" s="992"/>
      <c r="K423" s="992"/>
      <c r="L423" s="992"/>
      <c r="M423" s="992"/>
      <c r="N423" s="992"/>
      <c r="O423" s="992"/>
      <c r="P423" s="992"/>
      <c r="Q423" s="992"/>
      <c r="R423" s="992"/>
      <c r="S423" s="992"/>
      <c r="T423" s="992"/>
      <c r="U423" s="992"/>
      <c r="V423" s="992"/>
      <c r="W423" s="992"/>
      <c r="X423" s="992"/>
      <c r="Y423" s="992"/>
      <c r="Z423" s="992"/>
    </row>
    <row r="424" s="2488" customFormat="1" customHeight="1" spans="10:26">
      <c r="J424" s="992"/>
      <c r="K424" s="992"/>
      <c r="L424" s="992"/>
      <c r="M424" s="992"/>
      <c r="N424" s="992"/>
      <c r="O424" s="992"/>
      <c r="P424" s="992"/>
      <c r="Q424" s="992"/>
      <c r="R424" s="992"/>
      <c r="S424" s="992"/>
      <c r="T424" s="992"/>
      <c r="U424" s="992"/>
      <c r="V424" s="992"/>
      <c r="W424" s="992"/>
      <c r="X424" s="992"/>
      <c r="Y424" s="992"/>
      <c r="Z424" s="992"/>
    </row>
    <row r="425" s="2488" customFormat="1" customHeight="1" spans="10:26">
      <c r="J425" s="992"/>
      <c r="K425" s="992"/>
      <c r="L425" s="992"/>
      <c r="M425" s="992"/>
      <c r="N425" s="992"/>
      <c r="O425" s="992"/>
      <c r="P425" s="992"/>
      <c r="Q425" s="992"/>
      <c r="R425" s="992"/>
      <c r="S425" s="992"/>
      <c r="T425" s="992"/>
      <c r="U425" s="992"/>
      <c r="V425" s="992"/>
      <c r="W425" s="992"/>
      <c r="X425" s="992"/>
      <c r="Y425" s="992"/>
      <c r="Z425" s="992"/>
    </row>
    <row r="426" s="2488" customFormat="1" customHeight="1" spans="10:26">
      <c r="J426" s="992"/>
      <c r="K426" s="992"/>
      <c r="L426" s="992"/>
      <c r="M426" s="992"/>
      <c r="N426" s="992"/>
      <c r="O426" s="992"/>
      <c r="P426" s="992"/>
      <c r="Q426" s="992"/>
      <c r="R426" s="992"/>
      <c r="S426" s="992"/>
      <c r="T426" s="992"/>
      <c r="U426" s="992"/>
      <c r="V426" s="992"/>
      <c r="W426" s="992"/>
      <c r="X426" s="992"/>
      <c r="Y426" s="992"/>
      <c r="Z426" s="992"/>
    </row>
    <row r="427" s="2488" customFormat="1" customHeight="1" spans="10:26">
      <c r="J427" s="992"/>
      <c r="K427" s="992"/>
      <c r="L427" s="992"/>
      <c r="M427" s="992"/>
      <c r="N427" s="992"/>
      <c r="O427" s="992"/>
      <c r="P427" s="992"/>
      <c r="Q427" s="992"/>
      <c r="R427" s="992"/>
      <c r="S427" s="992"/>
      <c r="T427" s="992"/>
      <c r="U427" s="992"/>
      <c r="V427" s="992"/>
      <c r="W427" s="992"/>
      <c r="X427" s="992"/>
      <c r="Y427" s="992"/>
      <c r="Z427" s="992"/>
    </row>
    <row r="428" s="2488" customFormat="1" customHeight="1" spans="10:26">
      <c r="J428" s="992"/>
      <c r="K428" s="992"/>
      <c r="L428" s="992"/>
      <c r="M428" s="992"/>
      <c r="N428" s="992"/>
      <c r="O428" s="992"/>
      <c r="P428" s="992"/>
      <c r="Q428" s="992"/>
      <c r="R428" s="992"/>
      <c r="S428" s="992"/>
      <c r="T428" s="992"/>
      <c r="U428" s="992"/>
      <c r="V428" s="992"/>
      <c r="W428" s="992"/>
      <c r="X428" s="992"/>
      <c r="Y428" s="992"/>
      <c r="Z428" s="992"/>
    </row>
    <row r="429" s="2488" customFormat="1" customHeight="1" spans="10:26">
      <c r="J429" s="992"/>
      <c r="K429" s="992"/>
      <c r="L429" s="992"/>
      <c r="M429" s="992"/>
      <c r="N429" s="992"/>
      <c r="O429" s="992"/>
      <c r="P429" s="992"/>
      <c r="Q429" s="992"/>
      <c r="R429" s="992"/>
      <c r="S429" s="992"/>
      <c r="T429" s="992"/>
      <c r="U429" s="992"/>
      <c r="V429" s="992"/>
      <c r="W429" s="992"/>
      <c r="X429" s="992"/>
      <c r="Y429" s="992"/>
      <c r="Z429" s="992"/>
    </row>
    <row r="430" s="2488" customFormat="1" customHeight="1" spans="10:26">
      <c r="J430" s="992"/>
      <c r="K430" s="992"/>
      <c r="L430" s="992"/>
      <c r="M430" s="992"/>
      <c r="N430" s="992"/>
      <c r="O430" s="992"/>
      <c r="P430" s="992"/>
      <c r="Q430" s="992"/>
      <c r="R430" s="992"/>
      <c r="S430" s="992"/>
      <c r="T430" s="992"/>
      <c r="U430" s="992"/>
      <c r="V430" s="992"/>
      <c r="W430" s="992"/>
      <c r="X430" s="992"/>
      <c r="Y430" s="992"/>
      <c r="Z430" s="992"/>
    </row>
    <row r="431" s="2488" customFormat="1" customHeight="1" spans="10:26">
      <c r="J431" s="992"/>
      <c r="K431" s="992"/>
      <c r="L431" s="992"/>
      <c r="M431" s="992"/>
      <c r="N431" s="992"/>
      <c r="O431" s="992"/>
      <c r="P431" s="992"/>
      <c r="Q431" s="992"/>
      <c r="R431" s="992"/>
      <c r="S431" s="992"/>
      <c r="T431" s="992"/>
      <c r="U431" s="992"/>
      <c r="V431" s="992"/>
      <c r="W431" s="992"/>
      <c r="X431" s="992"/>
      <c r="Y431" s="992"/>
      <c r="Z431" s="992"/>
    </row>
    <row r="432" s="2488" customFormat="1" customHeight="1" spans="10:26">
      <c r="J432" s="992"/>
      <c r="K432" s="992"/>
      <c r="L432" s="992"/>
      <c r="M432" s="992"/>
      <c r="N432" s="992"/>
      <c r="O432" s="992"/>
      <c r="P432" s="992"/>
      <c r="Q432" s="992"/>
      <c r="R432" s="992"/>
      <c r="S432" s="992"/>
      <c r="T432" s="992"/>
      <c r="U432" s="992"/>
      <c r="V432" s="992"/>
      <c r="W432" s="992"/>
      <c r="X432" s="992"/>
      <c r="Y432" s="992"/>
      <c r="Z432" s="992"/>
    </row>
    <row r="433" s="2488" customFormat="1" customHeight="1" spans="10:26">
      <c r="J433" s="992"/>
      <c r="K433" s="992"/>
      <c r="L433" s="992"/>
      <c r="M433" s="992"/>
      <c r="N433" s="992"/>
      <c r="O433" s="992"/>
      <c r="P433" s="992"/>
      <c r="Q433" s="992"/>
      <c r="R433" s="992"/>
      <c r="S433" s="992"/>
      <c r="T433" s="992"/>
      <c r="U433" s="992"/>
      <c r="V433" s="992"/>
      <c r="W433" s="992"/>
      <c r="X433" s="992"/>
      <c r="Y433" s="992"/>
      <c r="Z433" s="992"/>
    </row>
    <row r="434" s="2488" customFormat="1" customHeight="1" spans="10:26">
      <c r="J434" s="992"/>
      <c r="K434" s="992"/>
      <c r="L434" s="992"/>
      <c r="M434" s="992"/>
      <c r="N434" s="992"/>
      <c r="O434" s="992"/>
      <c r="P434" s="992"/>
      <c r="Q434" s="992"/>
      <c r="R434" s="992"/>
      <c r="S434" s="992"/>
      <c r="T434" s="992"/>
      <c r="U434" s="992"/>
      <c r="V434" s="992"/>
      <c r="W434" s="992"/>
      <c r="X434" s="992"/>
      <c r="Y434" s="992"/>
      <c r="Z434" s="992"/>
    </row>
    <row r="435" s="2488" customFormat="1" customHeight="1" spans="10:26">
      <c r="J435" s="992"/>
      <c r="K435" s="992"/>
      <c r="L435" s="992"/>
      <c r="M435" s="992"/>
      <c r="N435" s="992"/>
      <c r="O435" s="992"/>
      <c r="P435" s="992"/>
      <c r="Q435" s="992"/>
      <c r="R435" s="992"/>
      <c r="S435" s="992"/>
      <c r="T435" s="992"/>
      <c r="U435" s="992"/>
      <c r="V435" s="992"/>
      <c r="W435" s="992"/>
      <c r="X435" s="992"/>
      <c r="Y435" s="992"/>
      <c r="Z435" s="992"/>
    </row>
    <row r="436" s="2488" customFormat="1" customHeight="1" spans="10:26">
      <c r="J436" s="992"/>
      <c r="K436" s="992"/>
      <c r="L436" s="992"/>
      <c r="M436" s="992"/>
      <c r="N436" s="992"/>
      <c r="O436" s="992"/>
      <c r="P436" s="992"/>
      <c r="Q436" s="992"/>
      <c r="R436" s="992"/>
      <c r="S436" s="992"/>
      <c r="T436" s="992"/>
      <c r="U436" s="992"/>
      <c r="V436" s="992"/>
      <c r="W436" s="992"/>
      <c r="X436" s="992"/>
      <c r="Y436" s="992"/>
      <c r="Z436" s="992"/>
    </row>
    <row r="437" s="2488" customFormat="1" customHeight="1" spans="10:26">
      <c r="J437" s="992"/>
      <c r="K437" s="992"/>
      <c r="L437" s="992"/>
      <c r="M437" s="992"/>
      <c r="N437" s="992"/>
      <c r="O437" s="992"/>
      <c r="P437" s="992"/>
      <c r="Q437" s="992"/>
      <c r="R437" s="992"/>
      <c r="S437" s="992"/>
      <c r="T437" s="992"/>
      <c r="U437" s="992"/>
      <c r="V437" s="992"/>
      <c r="W437" s="992"/>
      <c r="X437" s="992"/>
      <c r="Y437" s="992"/>
      <c r="Z437" s="992"/>
    </row>
    <row r="438" s="2488" customFormat="1" customHeight="1" spans="10:26">
      <c r="J438" s="992"/>
      <c r="K438" s="992"/>
      <c r="L438" s="992"/>
      <c r="M438" s="992"/>
      <c r="N438" s="992"/>
      <c r="O438" s="992"/>
      <c r="P438" s="992"/>
      <c r="Q438" s="992"/>
      <c r="R438" s="992"/>
      <c r="S438" s="992"/>
      <c r="T438" s="992"/>
      <c r="U438" s="992"/>
      <c r="V438" s="992"/>
      <c r="W438" s="992"/>
      <c r="X438" s="992"/>
      <c r="Y438" s="992"/>
      <c r="Z438" s="992"/>
    </row>
    <row r="439" s="2488" customFormat="1" customHeight="1" spans="10:26">
      <c r="J439" s="992"/>
      <c r="K439" s="992"/>
      <c r="L439" s="992"/>
      <c r="M439" s="992"/>
      <c r="N439" s="992"/>
      <c r="O439" s="992"/>
      <c r="P439" s="992"/>
      <c r="Q439" s="992"/>
      <c r="R439" s="992"/>
      <c r="S439" s="992"/>
      <c r="T439" s="992"/>
      <c r="U439" s="992"/>
      <c r="V439" s="992"/>
      <c r="W439" s="992"/>
      <c r="X439" s="992"/>
      <c r="Y439" s="992"/>
      <c r="Z439" s="992"/>
    </row>
    <row r="440" s="2488" customFormat="1" customHeight="1" spans="10:26">
      <c r="J440" s="992"/>
      <c r="K440" s="992"/>
      <c r="L440" s="992"/>
      <c r="M440" s="992"/>
      <c r="N440" s="992"/>
      <c r="O440" s="992"/>
      <c r="P440" s="992"/>
      <c r="Q440" s="992"/>
      <c r="R440" s="992"/>
      <c r="S440" s="992"/>
      <c r="T440" s="992"/>
      <c r="U440" s="992"/>
      <c r="V440" s="992"/>
      <c r="W440" s="992"/>
      <c r="X440" s="992"/>
      <c r="Y440" s="992"/>
      <c r="Z440" s="992"/>
    </row>
    <row r="441" s="2488" customFormat="1" customHeight="1" spans="10:26">
      <c r="J441" s="992"/>
      <c r="K441" s="992"/>
      <c r="L441" s="992"/>
      <c r="M441" s="992"/>
      <c r="N441" s="992"/>
      <c r="O441" s="992"/>
      <c r="P441" s="992"/>
      <c r="Q441" s="992"/>
      <c r="R441" s="992"/>
      <c r="S441" s="992"/>
      <c r="T441" s="992"/>
      <c r="U441" s="992"/>
      <c r="V441" s="992"/>
      <c r="W441" s="992"/>
      <c r="X441" s="992"/>
      <c r="Y441" s="992"/>
      <c r="Z441" s="992"/>
    </row>
    <row r="442" s="2488" customFormat="1" customHeight="1" spans="10:26">
      <c r="J442" s="992"/>
      <c r="K442" s="992"/>
      <c r="L442" s="992"/>
      <c r="M442" s="992"/>
      <c r="N442" s="992"/>
      <c r="O442" s="992"/>
      <c r="P442" s="992"/>
      <c r="Q442" s="992"/>
      <c r="R442" s="992"/>
      <c r="S442" s="992"/>
      <c r="T442" s="992"/>
      <c r="U442" s="992"/>
      <c r="V442" s="992"/>
      <c r="W442" s="992"/>
      <c r="X442" s="992"/>
      <c r="Y442" s="992"/>
      <c r="Z442" s="992"/>
    </row>
    <row r="443" s="2488" customFormat="1" customHeight="1" spans="10:26">
      <c r="J443" s="992"/>
      <c r="K443" s="992"/>
      <c r="L443" s="992"/>
      <c r="M443" s="992"/>
      <c r="N443" s="992"/>
      <c r="O443" s="992"/>
      <c r="P443" s="992"/>
      <c r="Q443" s="992"/>
      <c r="R443" s="992"/>
      <c r="S443" s="992"/>
      <c r="T443" s="992"/>
      <c r="U443" s="992"/>
      <c r="V443" s="992"/>
      <c r="W443" s="992"/>
      <c r="X443" s="992"/>
      <c r="Y443" s="992"/>
      <c r="Z443" s="992"/>
    </row>
    <row r="444" s="2488" customFormat="1" customHeight="1" spans="10:26">
      <c r="J444" s="992"/>
      <c r="K444" s="992"/>
      <c r="L444" s="992"/>
      <c r="M444" s="992"/>
      <c r="N444" s="992"/>
      <c r="O444" s="992"/>
      <c r="P444" s="992"/>
      <c r="Q444" s="992"/>
      <c r="R444" s="992"/>
      <c r="S444" s="992"/>
      <c r="T444" s="992"/>
      <c r="U444" s="992"/>
      <c r="V444" s="992"/>
      <c r="W444" s="992"/>
      <c r="X444" s="992"/>
      <c r="Y444" s="992"/>
      <c r="Z444" s="992"/>
    </row>
    <row r="445" s="2488" customFormat="1" customHeight="1" spans="10:26">
      <c r="J445" s="992"/>
      <c r="K445" s="992"/>
      <c r="L445" s="992"/>
      <c r="M445" s="992"/>
      <c r="N445" s="992"/>
      <c r="O445" s="992"/>
      <c r="P445" s="992"/>
      <c r="Q445" s="992"/>
      <c r="R445" s="992"/>
      <c r="S445" s="992"/>
      <c r="T445" s="992"/>
      <c r="U445" s="992"/>
      <c r="V445" s="992"/>
      <c r="W445" s="992"/>
      <c r="X445" s="992"/>
      <c r="Y445" s="992"/>
      <c r="Z445" s="992"/>
    </row>
    <row r="446" s="2488" customFormat="1" customHeight="1" spans="10:26">
      <c r="J446" s="992"/>
      <c r="K446" s="992"/>
      <c r="L446" s="992"/>
      <c r="M446" s="992"/>
      <c r="N446" s="992"/>
      <c r="O446" s="992"/>
      <c r="P446" s="992"/>
      <c r="Q446" s="992"/>
      <c r="R446" s="992"/>
      <c r="S446" s="992"/>
      <c r="T446" s="992"/>
      <c r="U446" s="992"/>
      <c r="V446" s="992"/>
      <c r="W446" s="992"/>
      <c r="X446" s="992"/>
      <c r="Y446" s="992"/>
      <c r="Z446" s="992"/>
    </row>
    <row r="447" s="2488" customFormat="1" customHeight="1" spans="10:26">
      <c r="J447" s="992"/>
      <c r="K447" s="992"/>
      <c r="L447" s="992"/>
      <c r="M447" s="992"/>
      <c r="N447" s="992"/>
      <c r="O447" s="992"/>
      <c r="P447" s="992"/>
      <c r="Q447" s="992"/>
      <c r="R447" s="992"/>
      <c r="S447" s="992"/>
      <c r="T447" s="992"/>
      <c r="U447" s="992"/>
      <c r="V447" s="992"/>
      <c r="W447" s="992"/>
      <c r="X447" s="992"/>
      <c r="Y447" s="992"/>
      <c r="Z447" s="992"/>
    </row>
    <row r="448" s="2488" customFormat="1" customHeight="1" spans="10:26">
      <c r="J448" s="992"/>
      <c r="K448" s="992"/>
      <c r="L448" s="992"/>
      <c r="M448" s="992"/>
      <c r="N448" s="992"/>
      <c r="O448" s="992"/>
      <c r="P448" s="992"/>
      <c r="Q448" s="992"/>
      <c r="R448" s="992"/>
      <c r="S448" s="992"/>
      <c r="T448" s="992"/>
      <c r="U448" s="992"/>
      <c r="V448" s="992"/>
      <c r="W448" s="992"/>
      <c r="X448" s="992"/>
      <c r="Y448" s="992"/>
      <c r="Z448" s="992"/>
    </row>
    <row r="449" s="2488" customFormat="1" customHeight="1" spans="10:26">
      <c r="J449" s="992"/>
      <c r="K449" s="992"/>
      <c r="L449" s="992"/>
      <c r="M449" s="992"/>
      <c r="N449" s="992"/>
      <c r="O449" s="992"/>
      <c r="P449" s="992"/>
      <c r="Q449" s="992"/>
      <c r="R449" s="992"/>
      <c r="S449" s="992"/>
      <c r="T449" s="992"/>
      <c r="U449" s="992"/>
      <c r="V449" s="992"/>
      <c r="W449" s="992"/>
      <c r="X449" s="992"/>
      <c r="Y449" s="992"/>
      <c r="Z449" s="992"/>
    </row>
    <row r="450" s="2488" customFormat="1" customHeight="1" spans="10:26">
      <c r="J450" s="992"/>
      <c r="K450" s="992"/>
      <c r="L450" s="992"/>
      <c r="M450" s="992"/>
      <c r="N450" s="992"/>
      <c r="O450" s="992"/>
      <c r="P450" s="992"/>
      <c r="Q450" s="992"/>
      <c r="R450" s="992"/>
      <c r="S450" s="992"/>
      <c r="T450" s="992"/>
      <c r="U450" s="992"/>
      <c r="V450" s="992"/>
      <c r="W450" s="992"/>
      <c r="X450" s="992"/>
      <c r="Y450" s="992"/>
      <c r="Z450" s="992"/>
    </row>
    <row r="451" s="2488" customFormat="1" customHeight="1" spans="10:26">
      <c r="J451" s="992"/>
      <c r="K451" s="992"/>
      <c r="L451" s="992"/>
      <c r="M451" s="992"/>
      <c r="N451" s="992"/>
      <c r="O451" s="992"/>
      <c r="P451" s="992"/>
      <c r="Q451" s="992"/>
      <c r="R451" s="992"/>
      <c r="S451" s="992"/>
      <c r="T451" s="992"/>
      <c r="U451" s="992"/>
      <c r="V451" s="992"/>
      <c r="W451" s="992"/>
      <c r="X451" s="992"/>
      <c r="Y451" s="992"/>
      <c r="Z451" s="992"/>
    </row>
    <row r="452" s="2488" customFormat="1" customHeight="1" spans="10:26">
      <c r="J452" s="992"/>
      <c r="K452" s="992"/>
      <c r="L452" s="992"/>
      <c r="M452" s="992"/>
      <c r="N452" s="992"/>
      <c r="O452" s="992"/>
      <c r="P452" s="992"/>
      <c r="Q452" s="992"/>
      <c r="R452" s="992"/>
      <c r="S452" s="992"/>
      <c r="T452" s="992"/>
      <c r="U452" s="992"/>
      <c r="V452" s="992"/>
      <c r="W452" s="992"/>
      <c r="X452" s="992"/>
      <c r="Y452" s="992"/>
      <c r="Z452" s="992"/>
    </row>
    <row r="453" s="2488" customFormat="1" customHeight="1" spans="10:26">
      <c r="J453" s="992"/>
      <c r="K453" s="992"/>
      <c r="L453" s="992"/>
      <c r="M453" s="992"/>
      <c r="N453" s="992"/>
      <c r="O453" s="992"/>
      <c r="P453" s="992"/>
      <c r="Q453" s="992"/>
      <c r="R453" s="992"/>
      <c r="S453" s="992"/>
      <c r="T453" s="992"/>
      <c r="U453" s="992"/>
      <c r="V453" s="992"/>
      <c r="W453" s="992"/>
      <c r="X453" s="992"/>
      <c r="Y453" s="992"/>
      <c r="Z453" s="992"/>
    </row>
    <row r="454" s="2488" customFormat="1" customHeight="1" spans="10:26">
      <c r="J454" s="992"/>
      <c r="K454" s="992"/>
      <c r="L454" s="992"/>
      <c r="M454" s="992"/>
      <c r="N454" s="992"/>
      <c r="O454" s="992"/>
      <c r="P454" s="992"/>
      <c r="Q454" s="992"/>
      <c r="R454" s="992"/>
      <c r="S454" s="992"/>
      <c r="T454" s="992"/>
      <c r="U454" s="992"/>
      <c r="V454" s="992"/>
      <c r="W454" s="992"/>
      <c r="X454" s="992"/>
      <c r="Y454" s="992"/>
      <c r="Z454" s="992"/>
    </row>
    <row r="455" s="2488" customFormat="1" customHeight="1" spans="10:26">
      <c r="J455" s="992"/>
      <c r="K455" s="992"/>
      <c r="L455" s="992"/>
      <c r="M455" s="992"/>
      <c r="N455" s="992"/>
      <c r="O455" s="992"/>
      <c r="P455" s="992"/>
      <c r="Q455" s="992"/>
      <c r="R455" s="992"/>
      <c r="S455" s="992"/>
      <c r="T455" s="992"/>
      <c r="U455" s="992"/>
      <c r="V455" s="992"/>
      <c r="W455" s="992"/>
      <c r="X455" s="992"/>
      <c r="Y455" s="992"/>
      <c r="Z455" s="992"/>
    </row>
    <row r="456" s="2488" customFormat="1" customHeight="1" spans="10:26">
      <c r="J456" s="992"/>
      <c r="K456" s="992"/>
      <c r="L456" s="992"/>
      <c r="M456" s="992"/>
      <c r="N456" s="992"/>
      <c r="O456" s="992"/>
      <c r="P456" s="992"/>
      <c r="Q456" s="992"/>
      <c r="R456" s="992"/>
      <c r="S456" s="992"/>
      <c r="T456" s="992"/>
      <c r="U456" s="992"/>
      <c r="V456" s="992"/>
      <c r="W456" s="992"/>
      <c r="X456" s="992"/>
      <c r="Y456" s="992"/>
      <c r="Z456" s="992"/>
    </row>
    <row r="457" s="2488" customFormat="1" customHeight="1" spans="10:26">
      <c r="J457" s="992"/>
      <c r="K457" s="992"/>
      <c r="L457" s="992"/>
      <c r="M457" s="992"/>
      <c r="N457" s="992"/>
      <c r="O457" s="992"/>
      <c r="P457" s="992"/>
      <c r="Q457" s="992"/>
      <c r="R457" s="992"/>
      <c r="S457" s="992"/>
      <c r="T457" s="992"/>
      <c r="U457" s="992"/>
      <c r="V457" s="992"/>
      <c r="W457" s="992"/>
      <c r="X457" s="992"/>
      <c r="Y457" s="992"/>
      <c r="Z457" s="992"/>
    </row>
    <row r="458" s="2488" customFormat="1" customHeight="1" spans="10:26">
      <c r="J458" s="992"/>
      <c r="K458" s="992"/>
      <c r="L458" s="992"/>
      <c r="M458" s="992"/>
      <c r="N458" s="992"/>
      <c r="O458" s="992"/>
      <c r="P458" s="992"/>
      <c r="Q458" s="992"/>
      <c r="R458" s="992"/>
      <c r="S458" s="992"/>
      <c r="T458" s="992"/>
      <c r="U458" s="992"/>
      <c r="V458" s="992"/>
      <c r="W458" s="992"/>
      <c r="X458" s="992"/>
      <c r="Y458" s="992"/>
      <c r="Z458" s="992"/>
    </row>
    <row r="459" s="2488" customFormat="1" customHeight="1" spans="10:26">
      <c r="J459" s="992"/>
      <c r="K459" s="992"/>
      <c r="L459" s="992"/>
      <c r="M459" s="992"/>
      <c r="N459" s="992"/>
      <c r="O459" s="992"/>
      <c r="P459" s="992"/>
      <c r="Q459" s="992"/>
      <c r="R459" s="992"/>
      <c r="S459" s="992"/>
      <c r="T459" s="992"/>
      <c r="U459" s="992"/>
      <c r="V459" s="992"/>
      <c r="W459" s="992"/>
      <c r="X459" s="992"/>
      <c r="Y459" s="992"/>
      <c r="Z459" s="992"/>
    </row>
    <row r="460" s="2488" customFormat="1" customHeight="1" spans="10:26">
      <c r="J460" s="992"/>
      <c r="K460" s="992"/>
      <c r="L460" s="992"/>
      <c r="M460" s="992"/>
      <c r="N460" s="992"/>
      <c r="O460" s="992"/>
      <c r="P460" s="992"/>
      <c r="Q460" s="992"/>
      <c r="R460" s="992"/>
      <c r="S460" s="992"/>
      <c r="T460" s="992"/>
      <c r="U460" s="992"/>
      <c r="V460" s="992"/>
      <c r="W460" s="992"/>
      <c r="X460" s="992"/>
      <c r="Y460" s="992"/>
      <c r="Z460" s="992"/>
    </row>
    <row r="461" s="2488" customFormat="1" customHeight="1" spans="10:26">
      <c r="J461" s="992"/>
      <c r="K461" s="992"/>
      <c r="L461" s="992"/>
      <c r="M461" s="992"/>
      <c r="N461" s="992"/>
      <c r="O461" s="992"/>
      <c r="P461" s="992"/>
      <c r="Q461" s="992"/>
      <c r="R461" s="992"/>
      <c r="S461" s="992"/>
      <c r="T461" s="992"/>
      <c r="U461" s="992"/>
      <c r="V461" s="992"/>
      <c r="W461" s="992"/>
      <c r="X461" s="992"/>
      <c r="Y461" s="992"/>
      <c r="Z461" s="992"/>
    </row>
    <row r="462" s="2488" customFormat="1" customHeight="1" spans="10:26">
      <c r="J462" s="992"/>
      <c r="K462" s="992"/>
      <c r="L462" s="992"/>
      <c r="M462" s="992"/>
      <c r="N462" s="992"/>
      <c r="O462" s="992"/>
      <c r="P462" s="992"/>
      <c r="Q462" s="992"/>
      <c r="R462" s="992"/>
      <c r="S462" s="992"/>
      <c r="T462" s="992"/>
      <c r="U462" s="992"/>
      <c r="V462" s="992"/>
      <c r="W462" s="992"/>
      <c r="X462" s="992"/>
      <c r="Y462" s="992"/>
      <c r="Z462" s="992"/>
    </row>
    <row r="463" s="2488" customFormat="1" customHeight="1" spans="10:26">
      <c r="J463" s="992"/>
      <c r="K463" s="992"/>
      <c r="L463" s="992"/>
      <c r="M463" s="992"/>
      <c r="N463" s="992"/>
      <c r="O463" s="992"/>
      <c r="P463" s="992"/>
      <c r="Q463" s="992"/>
      <c r="R463" s="992"/>
      <c r="S463" s="992"/>
      <c r="T463" s="992"/>
      <c r="U463" s="992"/>
      <c r="V463" s="992"/>
      <c r="W463" s="992"/>
      <c r="X463" s="992"/>
      <c r="Y463" s="992"/>
      <c r="Z463" s="992"/>
    </row>
    <row r="464" s="2488" customFormat="1" customHeight="1" spans="10:26">
      <c r="J464" s="992"/>
      <c r="K464" s="992"/>
      <c r="L464" s="992"/>
      <c r="M464" s="992"/>
      <c r="N464" s="992"/>
      <c r="O464" s="992"/>
      <c r="P464" s="992"/>
      <c r="Q464" s="992"/>
      <c r="R464" s="992"/>
      <c r="S464" s="992"/>
      <c r="T464" s="992"/>
      <c r="U464" s="992"/>
      <c r="V464" s="992"/>
      <c r="W464" s="992"/>
      <c r="X464" s="992"/>
      <c r="Y464" s="992"/>
      <c r="Z464" s="992"/>
    </row>
    <row r="465" s="2488" customFormat="1" customHeight="1" spans="10:26">
      <c r="J465" s="992"/>
      <c r="K465" s="992"/>
      <c r="L465" s="992"/>
      <c r="M465" s="992"/>
      <c r="N465" s="992"/>
      <c r="O465" s="992"/>
      <c r="P465" s="992"/>
      <c r="Q465" s="992"/>
      <c r="R465" s="992"/>
      <c r="S465" s="992"/>
      <c r="T465" s="992"/>
      <c r="U465" s="992"/>
      <c r="V465" s="992"/>
      <c r="W465" s="992"/>
      <c r="X465" s="992"/>
      <c r="Y465" s="992"/>
      <c r="Z465" s="992"/>
    </row>
    <row r="466" s="2488" customFormat="1" customHeight="1" spans="10:26">
      <c r="J466" s="992"/>
      <c r="K466" s="992"/>
      <c r="L466" s="992"/>
      <c r="M466" s="992"/>
      <c r="N466" s="992"/>
      <c r="O466" s="992"/>
      <c r="P466" s="992"/>
      <c r="Q466" s="992"/>
      <c r="R466" s="992"/>
      <c r="S466" s="992"/>
      <c r="T466" s="992"/>
      <c r="U466" s="992"/>
      <c r="V466" s="992"/>
      <c r="W466" s="992"/>
      <c r="X466" s="992"/>
      <c r="Y466" s="992"/>
      <c r="Z466" s="992"/>
    </row>
    <row r="467" s="2488" customFormat="1" customHeight="1" spans="10:26">
      <c r="J467" s="992"/>
      <c r="K467" s="992"/>
      <c r="L467" s="992"/>
      <c r="M467" s="992"/>
      <c r="N467" s="992"/>
      <c r="O467" s="992"/>
      <c r="P467" s="992"/>
      <c r="Q467" s="992"/>
      <c r="R467" s="992"/>
      <c r="S467" s="992"/>
      <c r="T467" s="992"/>
      <c r="U467" s="992"/>
      <c r="V467" s="992"/>
      <c r="W467" s="992"/>
      <c r="X467" s="992"/>
      <c r="Y467" s="992"/>
      <c r="Z467" s="992"/>
    </row>
    <row r="468" s="2488" customFormat="1" customHeight="1" spans="10:26">
      <c r="J468" s="992"/>
      <c r="K468" s="992"/>
      <c r="L468" s="992"/>
      <c r="M468" s="992"/>
      <c r="N468" s="992"/>
      <c r="O468" s="992"/>
      <c r="P468" s="992"/>
      <c r="Q468" s="992"/>
      <c r="R468" s="992"/>
      <c r="S468" s="992"/>
      <c r="T468" s="992"/>
      <c r="U468" s="992"/>
      <c r="V468" s="992"/>
      <c r="W468" s="992"/>
      <c r="X468" s="992"/>
      <c r="Y468" s="992"/>
      <c r="Z468" s="992"/>
    </row>
    <row r="469" s="2488" customFormat="1" customHeight="1" spans="10:26">
      <c r="J469" s="992"/>
      <c r="K469" s="992"/>
      <c r="L469" s="992"/>
      <c r="M469" s="992"/>
      <c r="N469" s="992"/>
      <c r="O469" s="992"/>
      <c r="P469" s="992"/>
      <c r="Q469" s="992"/>
      <c r="R469" s="992"/>
      <c r="S469" s="992"/>
      <c r="T469" s="992"/>
      <c r="U469" s="992"/>
      <c r="V469" s="992"/>
      <c r="W469" s="992"/>
      <c r="X469" s="992"/>
      <c r="Y469" s="992"/>
      <c r="Z469" s="992"/>
    </row>
    <row r="470" s="2488" customFormat="1" customHeight="1" spans="10:26">
      <c r="J470" s="992"/>
      <c r="K470" s="992"/>
      <c r="L470" s="992"/>
      <c r="M470" s="992"/>
      <c r="N470" s="992"/>
      <c r="O470" s="992"/>
      <c r="P470" s="992"/>
      <c r="Q470" s="992"/>
      <c r="R470" s="992"/>
      <c r="S470" s="992"/>
      <c r="T470" s="992"/>
      <c r="U470" s="992"/>
      <c r="V470" s="992"/>
      <c r="W470" s="992"/>
      <c r="X470" s="992"/>
      <c r="Y470" s="992"/>
      <c r="Z470" s="992"/>
    </row>
    <row r="471" s="2488" customFormat="1" customHeight="1" spans="10:26">
      <c r="J471" s="992"/>
      <c r="K471" s="992"/>
      <c r="L471" s="992"/>
      <c r="M471" s="992"/>
      <c r="N471" s="992"/>
      <c r="O471" s="992"/>
      <c r="P471" s="992"/>
      <c r="Q471" s="992"/>
      <c r="R471" s="992"/>
      <c r="S471" s="992"/>
      <c r="T471" s="992"/>
      <c r="U471" s="992"/>
      <c r="V471" s="992"/>
      <c r="W471" s="992"/>
      <c r="X471" s="992"/>
      <c r="Y471" s="992"/>
      <c r="Z471" s="992"/>
    </row>
    <row r="472" s="2488" customFormat="1" customHeight="1" spans="10:26">
      <c r="J472" s="992"/>
      <c r="K472" s="992"/>
      <c r="L472" s="992"/>
      <c r="M472" s="992"/>
      <c r="N472" s="992"/>
      <c r="O472" s="992"/>
      <c r="P472" s="992"/>
      <c r="Q472" s="992"/>
      <c r="R472" s="992"/>
      <c r="S472" s="992"/>
      <c r="T472" s="992"/>
      <c r="U472" s="992"/>
      <c r="V472" s="992"/>
      <c r="W472" s="992"/>
      <c r="X472" s="992"/>
      <c r="Y472" s="992"/>
      <c r="Z472" s="992"/>
    </row>
    <row r="473" s="2488" customFormat="1" customHeight="1" spans="10:26">
      <c r="J473" s="992"/>
      <c r="K473" s="992"/>
      <c r="L473" s="992"/>
      <c r="M473" s="992"/>
      <c r="N473" s="992"/>
      <c r="O473" s="992"/>
      <c r="P473" s="992"/>
      <c r="Q473" s="992"/>
      <c r="R473" s="992"/>
      <c r="S473" s="992"/>
      <c r="T473" s="992"/>
      <c r="U473" s="992"/>
      <c r="V473" s="992"/>
      <c r="W473" s="992"/>
      <c r="X473" s="992"/>
      <c r="Y473" s="992"/>
      <c r="Z473" s="992"/>
    </row>
    <row r="474" s="2488" customFormat="1" customHeight="1" spans="10:26">
      <c r="J474" s="992"/>
      <c r="K474" s="992"/>
      <c r="L474" s="992"/>
      <c r="M474" s="992"/>
      <c r="N474" s="992"/>
      <c r="O474" s="992"/>
      <c r="P474" s="992"/>
      <c r="Q474" s="992"/>
      <c r="R474" s="992"/>
      <c r="S474" s="992"/>
      <c r="T474" s="992"/>
      <c r="U474" s="992"/>
      <c r="V474" s="992"/>
      <c r="W474" s="992"/>
      <c r="X474" s="992"/>
      <c r="Y474" s="992"/>
      <c r="Z474" s="992"/>
    </row>
    <row r="475" s="2488" customFormat="1" customHeight="1" spans="10:26">
      <c r="J475" s="992"/>
      <c r="K475" s="992"/>
      <c r="L475" s="992"/>
      <c r="M475" s="992"/>
      <c r="N475" s="992"/>
      <c r="O475" s="992"/>
      <c r="P475" s="992"/>
      <c r="Q475" s="992"/>
      <c r="R475" s="992"/>
      <c r="S475" s="992"/>
      <c r="T475" s="992"/>
      <c r="U475" s="992"/>
      <c r="V475" s="992"/>
      <c r="W475" s="992"/>
      <c r="X475" s="992"/>
      <c r="Y475" s="992"/>
      <c r="Z475" s="992"/>
    </row>
    <row r="476" s="2488" customFormat="1" customHeight="1" spans="10:26">
      <c r="J476" s="992"/>
      <c r="K476" s="992"/>
      <c r="L476" s="992"/>
      <c r="M476" s="992"/>
      <c r="N476" s="992"/>
      <c r="O476" s="992"/>
      <c r="P476" s="992"/>
      <c r="Q476" s="992"/>
      <c r="R476" s="992"/>
      <c r="S476" s="992"/>
      <c r="T476" s="992"/>
      <c r="U476" s="992"/>
      <c r="V476" s="992"/>
      <c r="W476" s="992"/>
      <c r="X476" s="992"/>
      <c r="Y476" s="992"/>
      <c r="Z476" s="992"/>
    </row>
    <row r="477" s="2488" customFormat="1" customHeight="1" spans="10:26">
      <c r="J477" s="992"/>
      <c r="K477" s="992"/>
      <c r="L477" s="992"/>
      <c r="M477" s="992"/>
      <c r="N477" s="992"/>
      <c r="O477" s="992"/>
      <c r="P477" s="992"/>
      <c r="Q477" s="992"/>
      <c r="R477" s="992"/>
      <c r="S477" s="992"/>
      <c r="T477" s="992"/>
      <c r="U477" s="992"/>
      <c r="V477" s="992"/>
      <c r="W477" s="992"/>
      <c r="X477" s="992"/>
      <c r="Y477" s="992"/>
      <c r="Z477" s="992"/>
    </row>
    <row r="478" s="2488" customFormat="1" customHeight="1" spans="10:26">
      <c r="J478" s="992"/>
      <c r="K478" s="992"/>
      <c r="L478" s="992"/>
      <c r="M478" s="992"/>
      <c r="N478" s="992"/>
      <c r="O478" s="992"/>
      <c r="P478" s="992"/>
      <c r="Q478" s="992"/>
      <c r="R478" s="992"/>
      <c r="S478" s="992"/>
      <c r="T478" s="992"/>
      <c r="U478" s="992"/>
      <c r="V478" s="992"/>
      <c r="W478" s="992"/>
      <c r="X478" s="992"/>
      <c r="Y478" s="992"/>
      <c r="Z478" s="992"/>
    </row>
    <row r="479" s="2488" customFormat="1" customHeight="1" spans="10:26">
      <c r="J479" s="992"/>
      <c r="K479" s="992"/>
      <c r="L479" s="992"/>
      <c r="M479" s="992"/>
      <c r="N479" s="992"/>
      <c r="O479" s="992"/>
      <c r="P479" s="992"/>
      <c r="Q479" s="992"/>
      <c r="R479" s="992"/>
      <c r="S479" s="992"/>
      <c r="T479" s="992"/>
      <c r="U479" s="992"/>
      <c r="V479" s="992"/>
      <c r="W479" s="992"/>
      <c r="X479" s="992"/>
      <c r="Y479" s="992"/>
      <c r="Z479" s="992"/>
    </row>
    <row r="480" s="2488" customFormat="1" customHeight="1" spans="10:26">
      <c r="J480" s="992"/>
      <c r="K480" s="992"/>
      <c r="L480" s="992"/>
      <c r="M480" s="992"/>
      <c r="N480" s="992"/>
      <c r="O480" s="992"/>
      <c r="P480" s="992"/>
      <c r="Q480" s="992"/>
      <c r="R480" s="992"/>
      <c r="S480" s="992"/>
      <c r="T480" s="992"/>
      <c r="U480" s="992"/>
      <c r="V480" s="992"/>
      <c r="W480" s="992"/>
      <c r="X480" s="992"/>
      <c r="Y480" s="992"/>
      <c r="Z480" s="992"/>
    </row>
    <row r="481" s="2488" customFormat="1" customHeight="1" spans="10:26">
      <c r="J481" s="992"/>
      <c r="K481" s="992"/>
      <c r="L481" s="992"/>
      <c r="M481" s="992"/>
      <c r="N481" s="992"/>
      <c r="O481" s="992"/>
      <c r="P481" s="992"/>
      <c r="Q481" s="992"/>
      <c r="R481" s="992"/>
      <c r="S481" s="992"/>
      <c r="T481" s="992"/>
      <c r="U481" s="992"/>
      <c r="V481" s="992"/>
      <c r="W481" s="992"/>
      <c r="X481" s="992"/>
      <c r="Y481" s="992"/>
      <c r="Z481" s="992"/>
    </row>
    <row r="482" s="2488" customFormat="1" customHeight="1" spans="10:26">
      <c r="J482" s="992"/>
      <c r="K482" s="992"/>
      <c r="L482" s="992"/>
      <c r="M482" s="992"/>
      <c r="N482" s="992"/>
      <c r="O482" s="992"/>
      <c r="P482" s="992"/>
      <c r="Q482" s="992"/>
      <c r="R482" s="992"/>
      <c r="S482" s="992"/>
      <c r="T482" s="992"/>
      <c r="U482" s="992"/>
      <c r="V482" s="992"/>
      <c r="W482" s="992"/>
      <c r="X482" s="992"/>
      <c r="Y482" s="992"/>
      <c r="Z482" s="992"/>
    </row>
    <row r="483" s="2488" customFormat="1" customHeight="1" spans="10:26">
      <c r="J483" s="992"/>
      <c r="K483" s="992"/>
      <c r="L483" s="992"/>
      <c r="M483" s="992"/>
      <c r="N483" s="992"/>
      <c r="O483" s="992"/>
      <c r="P483" s="992"/>
      <c r="Q483" s="992"/>
      <c r="R483" s="992"/>
      <c r="S483" s="992"/>
      <c r="T483" s="992"/>
      <c r="U483" s="992"/>
      <c r="V483" s="992"/>
      <c r="W483" s="992"/>
      <c r="X483" s="992"/>
      <c r="Y483" s="992"/>
      <c r="Z483" s="992"/>
    </row>
    <row r="484" s="2488" customFormat="1" customHeight="1" spans="10:26">
      <c r="J484" s="992"/>
      <c r="K484" s="992"/>
      <c r="L484" s="992"/>
      <c r="M484" s="992"/>
      <c r="N484" s="992"/>
      <c r="O484" s="992"/>
      <c r="P484" s="992"/>
      <c r="Q484" s="992"/>
      <c r="R484" s="992"/>
      <c r="S484" s="992"/>
      <c r="T484" s="992"/>
      <c r="U484" s="992"/>
      <c r="V484" s="992"/>
      <c r="W484" s="992"/>
      <c r="X484" s="992"/>
      <c r="Y484" s="992"/>
      <c r="Z484" s="992"/>
    </row>
    <row r="485" s="2488" customFormat="1" customHeight="1" spans="10:26">
      <c r="J485" s="992"/>
      <c r="K485" s="992"/>
      <c r="L485" s="992"/>
      <c r="M485" s="992"/>
      <c r="N485" s="992"/>
      <c r="O485" s="992"/>
      <c r="P485" s="992"/>
      <c r="Q485" s="992"/>
      <c r="R485" s="992"/>
      <c r="S485" s="992"/>
      <c r="T485" s="992"/>
      <c r="U485" s="992"/>
      <c r="V485" s="992"/>
      <c r="W485" s="992"/>
      <c r="X485" s="992"/>
      <c r="Y485" s="992"/>
      <c r="Z485" s="992"/>
    </row>
    <row r="486" s="2488" customFormat="1" customHeight="1" spans="10:26">
      <c r="J486" s="992"/>
      <c r="K486" s="992"/>
      <c r="L486" s="992"/>
      <c r="M486" s="992"/>
      <c r="N486" s="992"/>
      <c r="O486" s="992"/>
      <c r="P486" s="992"/>
      <c r="Q486" s="992"/>
      <c r="R486" s="992"/>
      <c r="S486" s="992"/>
      <c r="T486" s="992"/>
      <c r="U486" s="992"/>
      <c r="V486" s="992"/>
      <c r="W486" s="992"/>
      <c r="X486" s="992"/>
      <c r="Y486" s="992"/>
      <c r="Z486" s="992"/>
    </row>
    <row r="487" s="2488" customFormat="1" customHeight="1" spans="10:26">
      <c r="J487" s="992"/>
      <c r="K487" s="992"/>
      <c r="L487" s="992"/>
      <c r="M487" s="992"/>
      <c r="N487" s="992"/>
      <c r="O487" s="992"/>
      <c r="P487" s="992"/>
      <c r="Q487" s="992"/>
      <c r="R487" s="992"/>
      <c r="S487" s="992"/>
      <c r="T487" s="992"/>
      <c r="U487" s="992"/>
      <c r="V487" s="992"/>
      <c r="W487" s="992"/>
      <c r="X487" s="992"/>
      <c r="Y487" s="992"/>
      <c r="Z487" s="992"/>
    </row>
    <row r="488" s="2488" customFormat="1" customHeight="1" spans="10:26">
      <c r="J488" s="992"/>
      <c r="K488" s="992"/>
      <c r="L488" s="992"/>
      <c r="M488" s="992"/>
      <c r="N488" s="992"/>
      <c r="O488" s="992"/>
      <c r="P488" s="992"/>
      <c r="Q488" s="992"/>
      <c r="R488" s="992"/>
      <c r="S488" s="992"/>
      <c r="T488" s="992"/>
      <c r="U488" s="992"/>
      <c r="V488" s="992"/>
      <c r="W488" s="992"/>
      <c r="X488" s="992"/>
      <c r="Y488" s="992"/>
      <c r="Z488" s="992"/>
    </row>
    <row r="489" s="2488" customFormat="1" customHeight="1" spans="10:26">
      <c r="J489" s="992"/>
      <c r="K489" s="992"/>
      <c r="L489" s="992"/>
      <c r="M489" s="992"/>
      <c r="N489" s="992"/>
      <c r="O489" s="992"/>
      <c r="P489" s="992"/>
      <c r="Q489" s="992"/>
      <c r="R489" s="992"/>
      <c r="S489" s="992"/>
      <c r="T489" s="992"/>
      <c r="U489" s="992"/>
      <c r="V489" s="992"/>
      <c r="W489" s="992"/>
      <c r="X489" s="992"/>
      <c r="Y489" s="992"/>
      <c r="Z489" s="992"/>
    </row>
    <row r="490" s="2488" customFormat="1" customHeight="1" spans="10:26">
      <c r="J490" s="992"/>
      <c r="K490" s="992"/>
      <c r="L490" s="992"/>
      <c r="M490" s="992"/>
      <c r="N490" s="992"/>
      <c r="O490" s="992"/>
      <c r="P490" s="992"/>
      <c r="Q490" s="992"/>
      <c r="R490" s="992"/>
      <c r="S490" s="992"/>
      <c r="T490" s="992"/>
      <c r="U490" s="992"/>
      <c r="V490" s="992"/>
      <c r="W490" s="992"/>
      <c r="X490" s="992"/>
      <c r="Y490" s="992"/>
      <c r="Z490" s="992"/>
    </row>
    <row r="491" s="2488" customFormat="1" customHeight="1" spans="10:26">
      <c r="J491" s="992"/>
      <c r="K491" s="992"/>
      <c r="L491" s="992"/>
      <c r="M491" s="992"/>
      <c r="N491" s="992"/>
      <c r="O491" s="992"/>
      <c r="P491" s="992"/>
      <c r="Q491" s="992"/>
      <c r="R491" s="992"/>
      <c r="S491" s="992"/>
      <c r="T491" s="992"/>
      <c r="U491" s="992"/>
      <c r="V491" s="992"/>
      <c r="W491" s="992"/>
      <c r="X491" s="992"/>
      <c r="Y491" s="992"/>
      <c r="Z491" s="992"/>
    </row>
    <row r="492" s="2488" customFormat="1" customHeight="1" spans="10:26">
      <c r="J492" s="992"/>
      <c r="K492" s="992"/>
      <c r="L492" s="992"/>
      <c r="M492" s="992"/>
      <c r="N492" s="992"/>
      <c r="O492" s="992"/>
      <c r="P492" s="992"/>
      <c r="Q492" s="992"/>
      <c r="R492" s="992"/>
      <c r="S492" s="992"/>
      <c r="T492" s="992"/>
      <c r="U492" s="992"/>
      <c r="V492" s="992"/>
      <c r="W492" s="992"/>
      <c r="X492" s="992"/>
      <c r="Y492" s="992"/>
      <c r="Z492" s="992"/>
    </row>
    <row r="493" s="2488" customFormat="1" customHeight="1" spans="10:26">
      <c r="J493" s="992"/>
      <c r="K493" s="992"/>
      <c r="L493" s="992"/>
      <c r="M493" s="992"/>
      <c r="N493" s="992"/>
      <c r="O493" s="992"/>
      <c r="P493" s="992"/>
      <c r="Q493" s="992"/>
      <c r="R493" s="992"/>
      <c r="S493" s="992"/>
      <c r="T493" s="992"/>
      <c r="U493" s="992"/>
      <c r="V493" s="992"/>
      <c r="W493" s="992"/>
      <c r="X493" s="992"/>
      <c r="Y493" s="992"/>
      <c r="Z493" s="992"/>
    </row>
    <row r="494" s="2488" customFormat="1" customHeight="1" spans="10:26">
      <c r="J494" s="992"/>
      <c r="K494" s="992"/>
      <c r="L494" s="992"/>
      <c r="M494" s="992"/>
      <c r="N494" s="992"/>
      <c r="O494" s="992"/>
      <c r="P494" s="992"/>
      <c r="Q494" s="992"/>
      <c r="R494" s="992"/>
      <c r="S494" s="992"/>
      <c r="T494" s="992"/>
      <c r="U494" s="992"/>
      <c r="V494" s="992"/>
      <c r="W494" s="992"/>
      <c r="X494" s="992"/>
      <c r="Y494" s="992"/>
      <c r="Z494" s="992"/>
    </row>
    <row r="495" s="2488" customFormat="1" customHeight="1" spans="10:26">
      <c r="J495" s="992"/>
      <c r="K495" s="992"/>
      <c r="L495" s="992"/>
      <c r="M495" s="992"/>
      <c r="N495" s="992"/>
      <c r="O495" s="992"/>
      <c r="P495" s="992"/>
      <c r="Q495" s="992"/>
      <c r="R495" s="992"/>
      <c r="S495" s="992"/>
      <c r="T495" s="992"/>
      <c r="U495" s="992"/>
      <c r="V495" s="992"/>
      <c r="W495" s="992"/>
      <c r="X495" s="992"/>
      <c r="Y495" s="992"/>
      <c r="Z495" s="992"/>
    </row>
    <row r="496" s="2488" customFormat="1" customHeight="1" spans="10:26">
      <c r="J496" s="992"/>
      <c r="K496" s="992"/>
      <c r="L496" s="992"/>
      <c r="M496" s="992"/>
      <c r="N496" s="992"/>
      <c r="O496" s="992"/>
      <c r="P496" s="992"/>
      <c r="Q496" s="992"/>
      <c r="R496" s="992"/>
      <c r="S496" s="992"/>
      <c r="T496" s="992"/>
      <c r="U496" s="992"/>
      <c r="V496" s="992"/>
      <c r="W496" s="992"/>
      <c r="X496" s="992"/>
      <c r="Y496" s="992"/>
      <c r="Z496" s="992"/>
    </row>
    <row r="497" s="2488" customFormat="1" customHeight="1" spans="10:26">
      <c r="J497" s="992"/>
      <c r="K497" s="992"/>
      <c r="L497" s="992"/>
      <c r="M497" s="992"/>
      <c r="N497" s="992"/>
      <c r="O497" s="992"/>
      <c r="P497" s="992"/>
      <c r="Q497" s="992"/>
      <c r="R497" s="992"/>
      <c r="S497" s="992"/>
      <c r="T497" s="992"/>
      <c r="U497" s="992"/>
      <c r="V497" s="992"/>
      <c r="W497" s="992"/>
      <c r="X497" s="992"/>
      <c r="Y497" s="992"/>
      <c r="Z497" s="992"/>
    </row>
    <row r="498" s="2488" customFormat="1" customHeight="1" spans="10:26">
      <c r="J498" s="992"/>
      <c r="K498" s="992"/>
      <c r="L498" s="992"/>
      <c r="M498" s="992"/>
      <c r="N498" s="992"/>
      <c r="O498" s="992"/>
      <c r="P498" s="992"/>
      <c r="Q498" s="992"/>
      <c r="R498" s="992"/>
      <c r="S498" s="992"/>
      <c r="T498" s="992"/>
      <c r="U498" s="992"/>
      <c r="V498" s="992"/>
      <c r="W498" s="992"/>
      <c r="X498" s="992"/>
      <c r="Y498" s="992"/>
      <c r="Z498" s="992"/>
    </row>
    <row r="499" s="2488" customFormat="1" customHeight="1" spans="10:26">
      <c r="J499" s="992"/>
      <c r="K499" s="992"/>
      <c r="L499" s="992"/>
      <c r="M499" s="992"/>
      <c r="N499" s="992"/>
      <c r="O499" s="992"/>
      <c r="P499" s="992"/>
      <c r="Q499" s="992"/>
      <c r="R499" s="992"/>
      <c r="S499" s="992"/>
      <c r="T499" s="992"/>
      <c r="U499" s="992"/>
      <c r="V499" s="992"/>
      <c r="W499" s="992"/>
      <c r="X499" s="992"/>
      <c r="Y499" s="992"/>
      <c r="Z499" s="992"/>
    </row>
    <row r="500" s="2488" customFormat="1" customHeight="1" spans="10:26">
      <c r="J500" s="992"/>
      <c r="K500" s="992"/>
      <c r="L500" s="992"/>
      <c r="M500" s="992"/>
      <c r="N500" s="992"/>
      <c r="O500" s="992"/>
      <c r="P500" s="992"/>
      <c r="Q500" s="992"/>
      <c r="R500" s="992"/>
      <c r="S500" s="992"/>
      <c r="T500" s="992"/>
      <c r="U500" s="992"/>
      <c r="V500" s="992"/>
      <c r="W500" s="992"/>
      <c r="X500" s="992"/>
      <c r="Y500" s="992"/>
      <c r="Z500" s="992"/>
    </row>
    <row r="501" s="2488" customFormat="1" customHeight="1" spans="10:26">
      <c r="J501" s="992"/>
      <c r="K501" s="992"/>
      <c r="L501" s="992"/>
      <c r="M501" s="992"/>
      <c r="N501" s="992"/>
      <c r="O501" s="992"/>
      <c r="P501" s="992"/>
      <c r="Q501" s="992"/>
      <c r="R501" s="992"/>
      <c r="S501" s="992"/>
      <c r="T501" s="992"/>
      <c r="U501" s="992"/>
      <c r="V501" s="992"/>
      <c r="W501" s="992"/>
      <c r="X501" s="992"/>
      <c r="Y501" s="992"/>
      <c r="Z501" s="992"/>
    </row>
    <row r="502" s="2488" customFormat="1" customHeight="1" spans="10:26">
      <c r="J502" s="992"/>
      <c r="K502" s="992"/>
      <c r="L502" s="992"/>
      <c r="M502" s="992"/>
      <c r="N502" s="992"/>
      <c r="O502" s="992"/>
      <c r="P502" s="992"/>
      <c r="Q502" s="992"/>
      <c r="R502" s="992"/>
      <c r="S502" s="992"/>
      <c r="T502" s="992"/>
      <c r="U502" s="992"/>
      <c r="V502" s="992"/>
      <c r="W502" s="992"/>
      <c r="X502" s="992"/>
      <c r="Y502" s="992"/>
      <c r="Z502" s="992"/>
    </row>
    <row r="503" s="2488" customFormat="1" customHeight="1" spans="10:26">
      <c r="J503" s="992"/>
      <c r="K503" s="992"/>
      <c r="L503" s="992"/>
      <c r="M503" s="992"/>
      <c r="N503" s="992"/>
      <c r="O503" s="992"/>
      <c r="P503" s="992"/>
      <c r="Q503" s="992"/>
      <c r="R503" s="992"/>
      <c r="S503" s="992"/>
      <c r="T503" s="992"/>
      <c r="U503" s="992"/>
      <c r="V503" s="992"/>
      <c r="W503" s="992"/>
      <c r="X503" s="992"/>
      <c r="Y503" s="992"/>
      <c r="Z503" s="992"/>
    </row>
    <row r="504" s="2488" customFormat="1" customHeight="1" spans="10:26">
      <c r="J504" s="992"/>
      <c r="K504" s="992"/>
      <c r="L504" s="992"/>
      <c r="M504" s="992"/>
      <c r="N504" s="992"/>
      <c r="O504" s="992"/>
      <c r="P504" s="992"/>
      <c r="Q504" s="992"/>
      <c r="R504" s="992"/>
      <c r="S504" s="992"/>
      <c r="T504" s="992"/>
      <c r="U504" s="992"/>
      <c r="V504" s="992"/>
      <c r="W504" s="992"/>
      <c r="X504" s="992"/>
      <c r="Y504" s="992"/>
      <c r="Z504" s="992"/>
    </row>
    <row r="505" s="2488" customFormat="1" customHeight="1" spans="10:26">
      <c r="J505" s="992"/>
      <c r="K505" s="992"/>
      <c r="L505" s="992"/>
      <c r="M505" s="992"/>
      <c r="N505" s="992"/>
      <c r="O505" s="992"/>
      <c r="P505" s="992"/>
      <c r="Q505" s="992"/>
      <c r="R505" s="992"/>
      <c r="S505" s="992"/>
      <c r="T505" s="992"/>
      <c r="U505" s="992"/>
      <c r="V505" s="992"/>
      <c r="W505" s="992"/>
      <c r="X505" s="992"/>
      <c r="Y505" s="992"/>
      <c r="Z505" s="992"/>
    </row>
    <row r="506" s="2488" customFormat="1" customHeight="1" spans="10:26">
      <c r="J506" s="992"/>
      <c r="K506" s="992"/>
      <c r="L506" s="992"/>
      <c r="M506" s="992"/>
      <c r="N506" s="992"/>
      <c r="O506" s="992"/>
      <c r="P506" s="992"/>
      <c r="Q506" s="992"/>
      <c r="R506" s="992"/>
      <c r="S506" s="992"/>
      <c r="T506" s="992"/>
      <c r="U506" s="992"/>
      <c r="V506" s="992"/>
      <c r="W506" s="992"/>
      <c r="X506" s="992"/>
      <c r="Y506" s="992"/>
      <c r="Z506" s="992"/>
    </row>
    <row r="507" s="2488" customFormat="1" customHeight="1" spans="10:26">
      <c r="J507" s="992"/>
      <c r="K507" s="992"/>
      <c r="L507" s="992"/>
      <c r="M507" s="992"/>
      <c r="N507" s="992"/>
      <c r="O507" s="992"/>
      <c r="P507" s="992"/>
      <c r="Q507" s="992"/>
      <c r="R507" s="992"/>
      <c r="S507" s="992"/>
      <c r="T507" s="992"/>
      <c r="U507" s="992"/>
      <c r="V507" s="992"/>
      <c r="W507" s="992"/>
      <c r="X507" s="992"/>
      <c r="Y507" s="992"/>
      <c r="Z507" s="992"/>
    </row>
    <row r="508" s="2488" customFormat="1" customHeight="1" spans="10:26">
      <c r="J508" s="992"/>
      <c r="K508" s="992"/>
      <c r="L508" s="992"/>
      <c r="M508" s="992"/>
      <c r="N508" s="992"/>
      <c r="O508" s="992"/>
      <c r="P508" s="992"/>
      <c r="Q508" s="992"/>
      <c r="R508" s="992"/>
      <c r="S508" s="992"/>
      <c r="T508" s="992"/>
      <c r="U508" s="992"/>
      <c r="V508" s="992"/>
      <c r="W508" s="992"/>
      <c r="X508" s="992"/>
      <c r="Y508" s="992"/>
      <c r="Z508" s="992"/>
    </row>
    <row r="509" s="2488" customFormat="1" customHeight="1" spans="10:26">
      <c r="J509" s="992"/>
      <c r="K509" s="992"/>
      <c r="L509" s="992"/>
      <c r="M509" s="992"/>
      <c r="N509" s="992"/>
      <c r="O509" s="992"/>
      <c r="P509" s="992"/>
      <c r="Q509" s="992"/>
      <c r="R509" s="992"/>
      <c r="S509" s="992"/>
      <c r="T509" s="992"/>
      <c r="U509" s="992"/>
      <c r="V509" s="992"/>
      <c r="W509" s="992"/>
      <c r="X509" s="992"/>
      <c r="Y509" s="992"/>
      <c r="Z509" s="992"/>
    </row>
    <row r="510" s="2488" customFormat="1" customHeight="1" spans="10:26">
      <c r="J510" s="992"/>
      <c r="K510" s="992"/>
      <c r="L510" s="992"/>
      <c r="M510" s="992"/>
      <c r="N510" s="992"/>
      <c r="O510" s="992"/>
      <c r="P510" s="992"/>
      <c r="Q510" s="992"/>
      <c r="R510" s="992"/>
      <c r="S510" s="992"/>
      <c r="T510" s="992"/>
      <c r="U510" s="992"/>
      <c r="V510" s="992"/>
      <c r="W510" s="992"/>
      <c r="X510" s="992"/>
      <c r="Y510" s="992"/>
      <c r="Z510" s="992"/>
    </row>
    <row r="511" s="2488" customFormat="1" customHeight="1" spans="10:26">
      <c r="J511" s="992"/>
      <c r="K511" s="992"/>
      <c r="L511" s="992"/>
      <c r="M511" s="992"/>
      <c r="N511" s="992"/>
      <c r="O511" s="992"/>
      <c r="P511" s="992"/>
      <c r="Q511" s="992"/>
      <c r="R511" s="992"/>
      <c r="S511" s="992"/>
      <c r="T511" s="992"/>
      <c r="U511" s="992"/>
      <c r="V511" s="992"/>
      <c r="W511" s="992"/>
      <c r="X511" s="992"/>
      <c r="Y511" s="992"/>
      <c r="Z511" s="992"/>
    </row>
    <row r="512" s="248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26" sqref="I2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986</v>
      </c>
      <c r="B1" s="2470" t="s">
        <v>599</v>
      </c>
      <c r="C1" s="391"/>
      <c r="D1" s="391"/>
      <c r="E1" s="391"/>
      <c r="F1" s="391"/>
      <c r="G1" s="2472">
        <f>MATCH(B1,'数据-取费表'!A6:A16,0)+5</f>
        <v>6</v>
      </c>
    </row>
    <row r="2" s="381" customFormat="1" ht="18" customHeight="1" spans="1:7">
      <c r="A2" s="393" t="s">
        <v>987</v>
      </c>
      <c r="B2" s="394">
        <f ca="1">IF(D2="——",C52,C52-E2)</f>
        <v>7210</v>
      </c>
      <c r="C2" s="392" t="s">
        <v>988</v>
      </c>
      <c r="D2" s="2474" t="s">
        <v>124</v>
      </c>
      <c r="E2" s="2475" t="e">
        <f ca="1">SUMIF(INDIRECT("'"&amp;G2&amp;"'"&amp;"!A:A"),"承租人权益价值",INDIRECT("'"&amp;G2&amp;"'"&amp;"!c:c"))</f>
        <v>#REF!</v>
      </c>
      <c r="F2" s="2476" t="s">
        <v>988</v>
      </c>
      <c r="G2" s="2477"/>
    </row>
    <row r="3" s="381" customFormat="1" ht="18" customHeight="1" spans="1:7">
      <c r="A3" s="396" t="s">
        <v>989</v>
      </c>
      <c r="B3" s="397">
        <f ca="1">ROUND(B2*10000/(IF(B1="",'数据-汇总表'!E3,INDIRECT("'数据-取费表'!k"&amp;$G$1))),0)</f>
        <v>3102</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773.498716</v>
      </c>
      <c r="D5" s="403" t="s">
        <v>994</v>
      </c>
      <c r="E5" s="404" t="s">
        <v>995</v>
      </c>
      <c r="F5" s="404" t="s">
        <v>892</v>
      </c>
      <c r="G5" s="405"/>
    </row>
    <row r="6" s="383" customFormat="1" ht="13.5" customHeight="1" spans="1:7">
      <c r="A6" s="406" t="s">
        <v>996</v>
      </c>
      <c r="B6" s="407" t="s">
        <v>997</v>
      </c>
      <c r="C6" s="408">
        <f>'土地比较法-工业'!C42*'数据-汇总表'!F27/10000</f>
        <v>750.498716</v>
      </c>
      <c r="D6" s="409"/>
      <c r="E6" s="410"/>
      <c r="F6" s="410"/>
      <c r="G6" s="411"/>
    </row>
    <row r="7" s="383" customFormat="1" ht="13.5" customHeight="1" spans="1:7">
      <c r="A7" s="406" t="s">
        <v>998</v>
      </c>
      <c r="B7" s="407" t="s">
        <v>999</v>
      </c>
      <c r="C7" s="412">
        <f>ROUND(C6*F7,0)</f>
        <v>23</v>
      </c>
      <c r="D7" s="412"/>
      <c r="E7" s="410"/>
      <c r="F7" s="413">
        <f>IF(项目基本情况!B8="出让",0,'数据-取费表'!B48+'数据-取费表'!B49)</f>
        <v>0.0305</v>
      </c>
      <c r="G7" s="411"/>
    </row>
    <row r="8" s="384" customFormat="1" spans="1:7">
      <c r="A8" s="406" t="s">
        <v>1000</v>
      </c>
      <c r="B8" s="407" t="s">
        <v>1001</v>
      </c>
      <c r="C8" s="412">
        <f ca="1">IF(G8="已包含在土地购买价格中","0",IF(B1="",'数据-取费表'!B29,IF(G9="全部缴纳",C9+C10,H9)))</f>
        <v>0</v>
      </c>
      <c r="D8" s="414"/>
      <c r="E8" s="412"/>
      <c r="F8" s="413"/>
      <c r="G8" s="2478" t="s">
        <v>1002</v>
      </c>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2" t="s">
        <v>1005</v>
      </c>
      <c r="H9" s="2483"/>
      <c r="I9" s="2484" t="s">
        <v>1006</v>
      </c>
    </row>
    <row r="10" s="383" customFormat="1" ht="13.5" customHeight="1" spans="1:7">
      <c r="A10" s="416" t="s">
        <v>1007</v>
      </c>
      <c r="B10" s="417" t="s">
        <v>1008</v>
      </c>
      <c r="C10" s="418">
        <f ca="1">ROUND(D10*E10/10000,0)</f>
        <v>0</v>
      </c>
      <c r="D10" s="419">
        <f ca="1">IF(B1="",'数据-汇总表'!E6,IF(INDIRECT("'数据-取费表'!c"&amp;$G$1)="住宅",INDIRECT("'数据-取费表'!s"&amp;$G$1),INDIRECT("'数据-取费表'!k"&amp;$G$1)+INDIRECT("'数据-取费表'!s"&amp;$G$1)))</f>
        <v>23244.54</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928</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1001</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1001</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t="str">
        <f ca="1">IF(G19="已包含在土地取得成本中","0",ROUND(D19*E19/10000,0))</f>
        <v>0</v>
      </c>
      <c r="D19" s="427">
        <f ca="1">D9+D10</f>
        <v>23244.54</v>
      </c>
      <c r="E19" s="403">
        <f>'数据-取费表'!B31</f>
        <v>200</v>
      </c>
      <c r="F19" s="428"/>
      <c r="G19" s="2478" t="s">
        <v>1027</v>
      </c>
    </row>
    <row r="20" s="383" customFormat="1" ht="13.5" customHeight="1" spans="1:7">
      <c r="A20" s="401" t="s">
        <v>1028</v>
      </c>
      <c r="B20" s="402" t="s">
        <v>1029</v>
      </c>
      <c r="C20" s="429">
        <f ca="1">ROUND((C5+C19)*F20,0)</f>
        <v>15</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435">
        <f ca="1">ROUND(SUM(C23:C25),0)</f>
        <v>54</v>
      </c>
      <c r="D22" s="432">
        <f ca="1">C26</f>
        <v>0.0007</v>
      </c>
      <c r="E22" s="433" t="s">
        <v>1033</v>
      </c>
      <c r="F22" s="436">
        <f ca="1">'数据-取费表'!B40</f>
        <v>0.0335</v>
      </c>
      <c r="G22" s="434" t="str">
        <f>IF('数据-取费表'!B22&lt;=1,"单利计息","复利计息")</f>
        <v>复利计息</v>
      </c>
    </row>
    <row r="23" s="383" customFormat="1" ht="13.5" customHeight="1" spans="1:7">
      <c r="A23" s="437" t="s">
        <v>996</v>
      </c>
      <c r="B23" s="407" t="s">
        <v>1037</v>
      </c>
      <c r="C23" s="438">
        <f ca="1">ROUND(IF('数据-取费表'!B22&lt;=1,C5*F22*'数据-取费表'!B23,C5*(POWER((1+F22),'数据-取费表'!B23)-1)),0)</f>
        <v>53</v>
      </c>
      <c r="D23" s="439"/>
      <c r="E23" s="439"/>
      <c r="F23" s="440"/>
      <c r="G23" s="441" t="s">
        <v>1038</v>
      </c>
    </row>
    <row r="24" s="383" customFormat="1" ht="13.5" customHeight="1" spans="1:7">
      <c r="A24" s="437" t="s">
        <v>998</v>
      </c>
      <c r="B24" s="407" t="s">
        <v>1039</v>
      </c>
      <c r="C24" s="438">
        <f ca="1">ROUND(IF('数据-取费表'!B22&lt;=1,C19*F22*('数据-取费表'!B19/2+'数据-取费表'!B21),C19*(POWER((1+F22),('数据-取费表'!B19/2+'数据-取费表'!B21))-1)),0)</f>
        <v>0</v>
      </c>
      <c r="D24" s="439"/>
      <c r="E24" s="439"/>
      <c r="F24" s="440"/>
      <c r="G24" s="441" t="s">
        <v>1040</v>
      </c>
    </row>
    <row r="25" s="383" customFormat="1" ht="24" spans="1:7">
      <c r="A25" s="437" t="s">
        <v>1000</v>
      </c>
      <c r="B25" s="407" t="s">
        <v>1041</v>
      </c>
      <c r="C25" s="438">
        <f ca="1">ROUND(IF('数据-取费表'!B22&lt;=1,C20*F22*'数据-取费表'!B23/2,C20*(POWER((1+F22),'数据-取费表'!B23/2)-1)),0)</f>
        <v>1</v>
      </c>
      <c r="D25" s="439"/>
      <c r="E25" s="442"/>
      <c r="F25" s="440"/>
      <c r="G25" s="443" t="s">
        <v>1042</v>
      </c>
    </row>
    <row r="26" s="383" customFormat="1" spans="1:7">
      <c r="A26" s="437" t="s">
        <v>1043</v>
      </c>
      <c r="B26" s="407" t="s">
        <v>1044</v>
      </c>
      <c r="C26" s="439">
        <f ca="1">ROUND(IF('数据-取费表'!B22&lt;=1,F21*F22*'数据-取费表'!B23/2,F21*(POWER((1+F22),'数据-取费表'!B23/2)-1)),4)</f>
        <v>0.0007</v>
      </c>
      <c r="D26" s="439"/>
      <c r="E26" s="442"/>
      <c r="F26" s="440"/>
      <c r="G26" s="444"/>
    </row>
    <row r="27" s="383" customFormat="1" ht="24.75" spans="1:7">
      <c r="A27" s="401" t="s">
        <v>1045</v>
      </c>
      <c r="B27" s="445" t="s">
        <v>1046</v>
      </c>
      <c r="C27" s="446">
        <f ca="1">C28</f>
        <v>79</v>
      </c>
      <c r="D27" s="432">
        <f ca="1">C29</f>
        <v>0.002</v>
      </c>
      <c r="E27" s="433" t="s">
        <v>1033</v>
      </c>
      <c r="F27" s="447">
        <f ca="1">IF(B1="",'数据-取费表'!Q16,INDIRECT("'数据-取费表'!q"&amp;$G$1))</f>
        <v>0.1</v>
      </c>
      <c r="G27" s="448" t="s">
        <v>1047</v>
      </c>
    </row>
    <row r="28" s="383" customFormat="1" ht="13.5" customHeight="1" spans="1:7">
      <c r="A28" s="437" t="s">
        <v>996</v>
      </c>
      <c r="B28" s="449" t="s">
        <v>1048</v>
      </c>
      <c r="C28" s="450">
        <f ca="1">ROUND((C5+C19+C20)*F27*'数据-取费表'!B21/'数据-取费表'!B20,0)</f>
        <v>79</v>
      </c>
      <c r="D28" s="432"/>
      <c r="E28" s="433"/>
      <c r="F28" s="447"/>
      <c r="G28" s="448"/>
    </row>
    <row r="29" s="383" customFormat="1" ht="13.5" customHeight="1" spans="1:7">
      <c r="A29" s="437" t="s">
        <v>998</v>
      </c>
      <c r="B29" s="449" t="s">
        <v>1049</v>
      </c>
      <c r="C29" s="439">
        <f ca="1">ROUND(C21*F27*'数据-取费表'!B21/'数据-取费表'!B20,4)</f>
        <v>0.002</v>
      </c>
      <c r="D29" s="432"/>
      <c r="E29" s="433"/>
      <c r="F29" s="447"/>
      <c r="G29" s="448"/>
    </row>
    <row r="30" s="383" customFormat="1" ht="13.5" customHeight="1" spans="1:7">
      <c r="A30" s="401" t="s">
        <v>1050</v>
      </c>
      <c r="B30" s="402" t="s">
        <v>1051</v>
      </c>
      <c r="C30" s="432">
        <f>ROUND(F30/(1+'数据-取费表'!C42),4)</f>
        <v>0.0533</v>
      </c>
      <c r="D30" s="433" t="s">
        <v>1033</v>
      </c>
      <c r="E30" s="442"/>
      <c r="F30" s="436">
        <f>'数据-取费表'!B41</f>
        <v>0.056</v>
      </c>
      <c r="G30" s="434" t="s">
        <v>1052</v>
      </c>
    </row>
    <row r="31" ht="16.5" customHeight="1" spans="1:7">
      <c r="A31" s="451">
        <v>1</v>
      </c>
      <c r="B31" s="402" t="s">
        <v>1053</v>
      </c>
      <c r="C31" s="403">
        <f ca="1">ROUND((C5+C19+C20+C22+C27)/(1-C21-D22-D27-C30),0)</f>
        <v>997</v>
      </c>
      <c r="D31" s="452"/>
      <c r="E31" s="403"/>
      <c r="F31" s="453"/>
      <c r="G31" s="434" t="s">
        <v>1054</v>
      </c>
    </row>
    <row r="32" s="382" customFormat="1" ht="15.75" spans="1:7">
      <c r="A32" s="454" t="s">
        <v>1055</v>
      </c>
      <c r="B32" s="455"/>
      <c r="C32" s="455"/>
      <c r="D32" s="455"/>
      <c r="E32" s="455"/>
      <c r="F32" s="455"/>
      <c r="G32" s="456"/>
    </row>
    <row r="33" s="383" customFormat="1" ht="13.5" customHeight="1" spans="1:7">
      <c r="A33" s="401" t="s">
        <v>992</v>
      </c>
      <c r="B33" s="402" t="s">
        <v>1056</v>
      </c>
      <c r="C33" s="457">
        <f ca="1">SUM(C34:C38)</f>
        <v>8275</v>
      </c>
      <c r="D33" s="429"/>
      <c r="E33" s="404"/>
      <c r="F33" s="442"/>
      <c r="G33" s="434"/>
    </row>
    <row r="34" s="385" customFormat="1" ht="13.5" customHeight="1" spans="1:7">
      <c r="A34" s="437" t="s">
        <v>996</v>
      </c>
      <c r="B34" s="407" t="s">
        <v>1057</v>
      </c>
      <c r="C34" s="412">
        <f ca="1">IF(B1="",IF(F34=100%,'数据-取费表'!M16,'数据-取费表'!O16),IF(F34=100%,INDIRECT("'数据-取费表'!m"&amp;$G$1)+INDIRECT("'数据-取费表'!t"&amp;$G$1),INDIRECT("'数据-取费表'!o"&amp;$G$1)+INDIRECT("'数据-取费表'!aq"&amp;$G$1)))</f>
        <v>7438</v>
      </c>
      <c r="D34" s="409"/>
      <c r="E34" s="412"/>
      <c r="F34" s="458">
        <f ca="1">IF('数据-取费表'!B24=0,1,IF(B1="",'数据-取费表'!N16,INDIRECT("'数据-取费表'!n"&amp;$G$1)))</f>
        <v>1</v>
      </c>
      <c r="G34" s="411" t="s">
        <v>1058</v>
      </c>
    </row>
    <row r="35" ht="13.5" customHeight="1" spans="1:7">
      <c r="A35" s="437" t="s">
        <v>998</v>
      </c>
      <c r="B35" s="407" t="s">
        <v>1059</v>
      </c>
      <c r="C35" s="412">
        <f ca="1">ROUND(C34*F35,0)</f>
        <v>223</v>
      </c>
      <c r="D35" s="412"/>
      <c r="E35" s="412"/>
      <c r="F35" s="459">
        <f>'数据-取费表'!B33</f>
        <v>0.03</v>
      </c>
      <c r="G35" s="411" t="s">
        <v>1060</v>
      </c>
    </row>
    <row r="36" ht="24" spans="1:7">
      <c r="A36" s="437" t="s">
        <v>1000</v>
      </c>
      <c r="B36" s="407" t="s">
        <v>1061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1062</v>
      </c>
    </row>
    <row r="37" s="385" customFormat="1" ht="13.5" customHeight="1" spans="1:7">
      <c r="A37" s="437" t="s">
        <v>1043</v>
      </c>
      <c r="B37" s="407" t="s">
        <v>1063</v>
      </c>
      <c r="C37" s="450">
        <f ca="1">ROUND(E37*D37*F34/10000,0)</f>
        <v>465</v>
      </c>
      <c r="D37" s="409">
        <f ca="1">D19</f>
        <v>23244.54</v>
      </c>
      <c r="E37" s="450">
        <f>'数据-取费表'!B35</f>
        <v>200</v>
      </c>
      <c r="F37" s="459"/>
      <c r="G37" s="461" t="s">
        <v>1064</v>
      </c>
    </row>
    <row r="38" ht="13.5" customHeight="1" spans="1:7">
      <c r="A38" s="437" t="s">
        <v>1065</v>
      </c>
      <c r="B38" s="407" t="s">
        <v>928</v>
      </c>
      <c r="C38" s="412">
        <f ca="1">ROUND(C34*F38,0)</f>
        <v>149</v>
      </c>
      <c r="D38" s="412"/>
      <c r="E38" s="412"/>
      <c r="F38" s="459">
        <f>'数据-取费表'!B36</f>
        <v>0.02</v>
      </c>
      <c r="G38" s="411" t="s">
        <v>1060</v>
      </c>
    </row>
    <row r="39" s="383" customFormat="1" ht="13.5" customHeight="1" spans="1:7">
      <c r="A39" s="401" t="s">
        <v>1025</v>
      </c>
      <c r="B39" s="402" t="s">
        <v>1029</v>
      </c>
      <c r="C39" s="429">
        <f ca="1">ROUND(C33*F20,0)</f>
        <v>166</v>
      </c>
      <c r="D39" s="429"/>
      <c r="E39" s="429"/>
      <c r="F39" s="430">
        <f>F20</f>
        <v>0.02</v>
      </c>
      <c r="G39" s="434" t="s">
        <v>1066</v>
      </c>
    </row>
    <row r="40" s="383" customFormat="1" ht="13.5" customHeight="1" spans="1:7">
      <c r="A40" s="401" t="s">
        <v>1028</v>
      </c>
      <c r="B40" s="402" t="s">
        <v>1032</v>
      </c>
      <c r="C40" s="2481">
        <f>F21</f>
        <v>0.02</v>
      </c>
      <c r="D40" s="433" t="s">
        <v>1067</v>
      </c>
      <c r="E40" s="429"/>
      <c r="F40" s="430">
        <f>F21</f>
        <v>0.02</v>
      </c>
      <c r="G40" s="434" t="s">
        <v>1068</v>
      </c>
    </row>
    <row r="41" s="383" customFormat="1" ht="13.5" customHeight="1" spans="1:7">
      <c r="A41" s="401" t="s">
        <v>1031</v>
      </c>
      <c r="B41" s="402" t="s">
        <v>1036</v>
      </c>
      <c r="C41" s="429">
        <f ca="1">ROUND(SUM(C42:C43),0)</f>
        <v>283</v>
      </c>
      <c r="D41" s="432">
        <f ca="1">C44</f>
        <v>0.0007</v>
      </c>
      <c r="E41" s="433" t="s">
        <v>1067</v>
      </c>
      <c r="F41" s="436">
        <f ca="1">F22</f>
        <v>0.0335</v>
      </c>
      <c r="G41" s="434" t="str">
        <f>IF('数据-取费表'!B22&lt;=1,"单利计息","复利计息")</f>
        <v>复利计息</v>
      </c>
    </row>
    <row r="42" ht="13.5" customHeight="1" spans="1:7">
      <c r="A42" s="437" t="s">
        <v>996</v>
      </c>
      <c r="B42" s="407" t="s">
        <v>1037</v>
      </c>
      <c r="C42" s="439">
        <f ca="1">ROUND(IF('数据-取费表'!B22&lt;=1,C33*F22*'数据-取费表'!B21/2,C33*(POWER((1+F22),'数据-取费表'!B21/2)-1)),0)</f>
        <v>277</v>
      </c>
      <c r="D42" s="439"/>
      <c r="E42" s="439"/>
      <c r="F42" s="440"/>
      <c r="G42" s="463" t="s">
        <v>1069</v>
      </c>
    </row>
    <row r="43" ht="13.5" customHeight="1" spans="1:7">
      <c r="A43" s="437" t="s">
        <v>998</v>
      </c>
      <c r="B43" s="407" t="s">
        <v>1039</v>
      </c>
      <c r="C43" s="439">
        <f ca="1">ROUND(IF('数据-取费表'!B22&lt;=1,C39*F22*'数据-取费表'!B21/2,C39*(POWER((1+F22),'数据-取费表'!B21/2)-1)),0)</f>
        <v>6</v>
      </c>
      <c r="D43" s="439"/>
      <c r="E43" s="439"/>
      <c r="F43" s="440"/>
      <c r="G43" s="464"/>
    </row>
    <row r="44" ht="13.5" customHeight="1" spans="1:7">
      <c r="A44" s="437" t="s">
        <v>1000</v>
      </c>
      <c r="B44" s="407" t="s">
        <v>1041</v>
      </c>
      <c r="C44" s="439">
        <f ca="1">ROUND(IF('数据-取费表'!B22&lt;=1,C40*F22*'数据-取费表'!B21/2,C40*(POWER((1+F22),'数据-取费表'!B21/2)-1)),4)</f>
        <v>0.0007</v>
      </c>
      <c r="D44" s="439"/>
      <c r="E44" s="439"/>
      <c r="F44" s="440"/>
      <c r="G44" s="465"/>
    </row>
    <row r="45" s="383" customFormat="1" ht="13.5" customHeight="1" spans="1:7">
      <c r="A45" s="401" t="s">
        <v>1035</v>
      </c>
      <c r="B45" s="445" t="s">
        <v>1046</v>
      </c>
      <c r="C45" s="446">
        <f ca="1">C46</f>
        <v>844</v>
      </c>
      <c r="D45" s="432">
        <f ca="1">C47</f>
        <v>0.002</v>
      </c>
      <c r="E45" s="433" t="s">
        <v>1067</v>
      </c>
      <c r="F45" s="447">
        <f ca="1">F27</f>
        <v>0.1</v>
      </c>
      <c r="G45" s="448" t="s">
        <v>1070</v>
      </c>
    </row>
    <row r="46" s="383" customFormat="1" ht="13.5" customHeight="1" spans="1:7">
      <c r="A46" s="437" t="s">
        <v>996</v>
      </c>
      <c r="B46" s="449" t="s">
        <v>1071</v>
      </c>
      <c r="C46" s="450">
        <f ca="1">ROUND((C33+C39)*F27,0)</f>
        <v>844</v>
      </c>
      <c r="D46" s="466"/>
      <c r="E46" s="433"/>
      <c r="F46" s="447"/>
      <c r="G46" s="448"/>
    </row>
    <row r="47" s="383" customFormat="1" ht="13.5" customHeight="1" spans="1:7">
      <c r="A47" s="437" t="s">
        <v>998</v>
      </c>
      <c r="B47" s="449" t="s">
        <v>1072</v>
      </c>
      <c r="C47" s="439">
        <f ca="1">ROUND(C40*F27,4)</f>
        <v>0.002</v>
      </c>
      <c r="D47" s="466"/>
      <c r="E47" s="433"/>
      <c r="F47" s="447"/>
      <c r="G47" s="448"/>
    </row>
    <row r="48" s="383" customFormat="1" ht="13.5" customHeight="1" spans="1:7">
      <c r="A48" s="401" t="s">
        <v>1045</v>
      </c>
      <c r="B48" s="402" t="s">
        <v>1051</v>
      </c>
      <c r="C48" s="2481">
        <f>ROUND(F30/(1+'数据-取费表'!C42),4)</f>
        <v>0.0533</v>
      </c>
      <c r="D48" s="433" t="s">
        <v>1067</v>
      </c>
      <c r="E48" s="429"/>
      <c r="F48" s="436">
        <f>F30</f>
        <v>0.056</v>
      </c>
      <c r="G48" s="434" t="s">
        <v>1073</v>
      </c>
    </row>
    <row r="49" ht="16.5" customHeight="1" spans="1:7">
      <c r="A49" s="401" t="s">
        <v>1050</v>
      </c>
      <c r="B49" s="402" t="s">
        <v>1074</v>
      </c>
      <c r="C49" s="429">
        <f ca="1">ROUND((C33+C39+C41+C45)/(1-C40-D41-D45-C48),0)</f>
        <v>10355</v>
      </c>
      <c r="D49" s="429"/>
      <c r="E49" s="429"/>
      <c r="F49" s="467"/>
      <c r="G49" s="434" t="s">
        <v>1075</v>
      </c>
    </row>
    <row r="50" s="385" customFormat="1" ht="24" spans="1:7">
      <c r="A50" s="401" t="s">
        <v>1076</v>
      </c>
      <c r="B50" s="402" t="s">
        <v>1077</v>
      </c>
      <c r="C50" s="429"/>
      <c r="D50" s="429"/>
      <c r="E50" s="429"/>
      <c r="F50" s="467">
        <f>IF('数据-取费表'!B24=0,'数据-取费表'!N16,1)</f>
        <v>0.6</v>
      </c>
      <c r="G50" s="448" t="s">
        <v>1078</v>
      </c>
    </row>
    <row r="51" ht="16.5" customHeight="1" spans="1:7">
      <c r="A51" s="401" t="s">
        <v>1079</v>
      </c>
      <c r="B51" s="402" t="s">
        <v>1080</v>
      </c>
      <c r="C51" s="429">
        <f ca="1">ROUND(C49*F50,0)</f>
        <v>6213</v>
      </c>
      <c r="D51" s="429"/>
      <c r="E51" s="429"/>
      <c r="F51" s="467"/>
      <c r="G51" s="434" t="s">
        <v>1081</v>
      </c>
    </row>
    <row r="52" s="382" customFormat="1" ht="16.5" spans="1:7">
      <c r="A52" s="468" t="s">
        <v>1082</v>
      </c>
      <c r="B52" s="469"/>
      <c r="C52" s="470">
        <f ca="1">C31+C51</f>
        <v>7210</v>
      </c>
      <c r="D52" s="469"/>
      <c r="E52" s="469"/>
      <c r="F52" s="469"/>
      <c r="G52" s="471"/>
    </row>
    <row r="55" ht="15" spans="2:3">
      <c r="B55" s="472" t="s">
        <v>1083</v>
      </c>
      <c r="C55" s="473"/>
    </row>
    <row r="56" spans="2:3">
      <c r="B56" s="474" t="s">
        <v>1084</v>
      </c>
      <c r="C56" s="476">
        <f ca="1">1-C57</f>
        <v>0.138</v>
      </c>
    </row>
    <row r="57" spans="2:3">
      <c r="B57" s="474" t="s">
        <v>1085</v>
      </c>
      <c r="C57" s="475">
        <f ca="1">ROUND(C51/C52,3)</f>
        <v>0.862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3"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986</v>
      </c>
      <c r="B1" s="2470"/>
      <c r="C1" s="2471" t="s">
        <v>1086</v>
      </c>
      <c r="D1" s="391"/>
      <c r="E1" s="391"/>
      <c r="F1" s="391"/>
      <c r="G1" s="2472">
        <f>MATCH(B1,'数据-取费表'!A6:A16,0)+5</f>
        <v>7</v>
      </c>
      <c r="H1" s="1817" t="str">
        <f>IF(ISERROR(FIND("住宅",B1)),"非住宅","住宅")</f>
        <v>非住宅</v>
      </c>
    </row>
    <row r="2" s="381" customFormat="1" ht="18" customHeight="1" spans="1:7">
      <c r="A2" s="393" t="s">
        <v>987</v>
      </c>
      <c r="B2" s="2473">
        <f ca="1">ROUND(IF(D2="——",C52/10000,C52/10000-E2),4)</f>
        <v>6811.7007</v>
      </c>
      <c r="C2" s="392" t="s">
        <v>988</v>
      </c>
      <c r="D2" s="2474" t="s">
        <v>124</v>
      </c>
      <c r="E2" s="2475" t="e">
        <f ca="1">SUMIF(INDIRECT("'"&amp;G2&amp;"'"&amp;"!A:A"),"承租人权益价值",INDIRECT("'"&amp;G2&amp;"'"&amp;"!c:c"))</f>
        <v>#REF!</v>
      </c>
      <c r="F2" s="2476" t="s">
        <v>988</v>
      </c>
      <c r="G2" s="2477"/>
    </row>
    <row r="3" s="381" customFormat="1" ht="18" customHeight="1" spans="1:7">
      <c r="A3" s="396" t="s">
        <v>989</v>
      </c>
      <c r="B3" s="397">
        <f ca="1">ROUND(B2*10000/(IF(B1="",'数据-汇总表'!E3,INDIRECT("'数据-取费表'!k"&amp;$G$1))),0)</f>
        <v>2930</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0</v>
      </c>
      <c r="D5" s="403" t="s">
        <v>994</v>
      </c>
      <c r="E5" s="404" t="s">
        <v>995</v>
      </c>
      <c r="F5" s="404" t="s">
        <v>892</v>
      </c>
      <c r="G5" s="405"/>
    </row>
    <row r="6" s="383" customFormat="1" ht="13.5" customHeight="1" spans="1:7">
      <c r="A6" s="406" t="s">
        <v>996</v>
      </c>
      <c r="B6" s="407" t="s">
        <v>997</v>
      </c>
      <c r="C6" s="408"/>
      <c r="D6" s="409"/>
      <c r="E6" s="410"/>
      <c r="F6" s="410"/>
      <c r="G6" s="411"/>
    </row>
    <row r="7" s="383" customFormat="1" ht="13.5" customHeight="1" spans="1:7">
      <c r="A7" s="406" t="s">
        <v>998</v>
      </c>
      <c r="B7" s="407" t="s">
        <v>999</v>
      </c>
      <c r="C7" s="412">
        <f>ROUND(C6*F7,0)</f>
        <v>0</v>
      </c>
      <c r="D7" s="412"/>
      <c r="E7" s="410"/>
      <c r="F7" s="413">
        <f>IF(项目基本情况!B8="出让",0,'数据-取费表'!B48+'数据-取费表'!B49)</f>
        <v>0.0305</v>
      </c>
      <c r="G7" s="411"/>
    </row>
    <row r="8" s="384" customFormat="1" spans="1:7">
      <c r="A8" s="406" t="s">
        <v>1000</v>
      </c>
      <c r="B8" s="407" t="s">
        <v>1001</v>
      </c>
      <c r="C8" s="412">
        <f ca="1">IF(G8="已包含在土地购买价格中",0,C9+C10)</f>
        <v>0</v>
      </c>
      <c r="D8" s="414"/>
      <c r="E8" s="412"/>
      <c r="F8" s="413"/>
      <c r="G8" s="2478"/>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1007</v>
      </c>
      <c r="B10" s="417" t="s">
        <v>1008</v>
      </c>
      <c r="C10" s="418">
        <f ca="1">ROUND(D10*E10,0)</f>
        <v>0</v>
      </c>
      <c r="D10" s="419">
        <f ca="1">IF(B1="",'数据-汇总表'!E6,IF(INDIRECT("'数据-取费表'!c"&amp;$G$1)="住宅",INDIRECT("'数据-取费表'!s"&amp;$G$1),INDIRECT("'数据-取费表'!k"&amp;$G$1)+INDIRECT("'数据-取费表'!s"&amp;$G$1)))</f>
        <v>23244.54</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928</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1001</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1001</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IF(G19="已包含在土地取得成本中","0",ROUND(D19*E19,0))</f>
        <v>4648908</v>
      </c>
      <c r="D19" s="427">
        <f ca="1">D9+D10</f>
        <v>23244.54</v>
      </c>
      <c r="E19" s="403">
        <f>'数据-取费表'!B31</f>
        <v>200</v>
      </c>
      <c r="F19" s="428"/>
      <c r="G19" s="2478"/>
    </row>
    <row r="20" s="383" customFormat="1" ht="13.5" customHeight="1" spans="1:7">
      <c r="A20" s="401" t="s">
        <v>1028</v>
      </c>
      <c r="B20" s="402" t="s">
        <v>1029</v>
      </c>
      <c r="C20" s="429">
        <f ca="1">ROUND((C5+C19)*F20,0)</f>
        <v>92978</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2479">
        <f ca="1">ROUND(SUM(C23:C25),0)</f>
        <v>319809</v>
      </c>
      <c r="D22" s="432">
        <f ca="1">C26</f>
        <v>0.0007</v>
      </c>
      <c r="E22" s="433" t="s">
        <v>1033</v>
      </c>
      <c r="F22" s="436">
        <f ca="1">'数据-取费表'!B40</f>
        <v>0.0335</v>
      </c>
      <c r="G22" s="434" t="str">
        <f>IF('数据-取费表'!B22&lt;=1,"单利计息","复利计息")</f>
        <v>复利计息</v>
      </c>
    </row>
    <row r="23" s="383" customFormat="1" ht="13.5" customHeight="1" spans="1:7">
      <c r="A23" s="437" t="s">
        <v>996</v>
      </c>
      <c r="B23" s="407" t="s">
        <v>1037</v>
      </c>
      <c r="C23" s="2480">
        <f ca="1">ROUND(IF('数据-取费表'!B22&lt;=1,C5*F22*'数据-取费表'!B22,C5*(POWER((1+F22),'数据-取费表'!B22)-1)),0)</f>
        <v>0</v>
      </c>
      <c r="D23" s="439"/>
      <c r="E23" s="439"/>
      <c r="F23" s="440"/>
      <c r="G23" s="441" t="s">
        <v>1038</v>
      </c>
    </row>
    <row r="24" s="383" customFormat="1" ht="13.5" customHeight="1" spans="1:7">
      <c r="A24" s="437" t="s">
        <v>998</v>
      </c>
      <c r="B24" s="407" t="s">
        <v>1039</v>
      </c>
      <c r="C24" s="2480">
        <f ca="1">ROUND(IF('数据-取费表'!B22&lt;=1,C19*F22*('数据-取费表'!B19/2+'数据-取费表'!B20),C19*(POWER((1+F22),('数据-取费表'!B19/2+'数据-取费表'!B20))-1)),0)</f>
        <v>316694</v>
      </c>
      <c r="D24" s="439"/>
      <c r="E24" s="439"/>
      <c r="F24" s="440"/>
      <c r="G24" s="441" t="s">
        <v>1040</v>
      </c>
    </row>
    <row r="25" s="383" customFormat="1" ht="24" spans="1:7">
      <c r="A25" s="437" t="s">
        <v>1000</v>
      </c>
      <c r="B25" s="407" t="s">
        <v>1041</v>
      </c>
      <c r="C25" s="2480">
        <f ca="1">ROUND(IF('数据-取费表'!B22&lt;=1,C20*F22*'数据-取费表'!B22/2,C20*(POWER((1+F22),'数据-取费表'!B22/2)-1)),0)</f>
        <v>3115</v>
      </c>
      <c r="D25" s="439"/>
      <c r="E25" s="442"/>
      <c r="F25" s="440"/>
      <c r="G25" s="443" t="s">
        <v>1042</v>
      </c>
    </row>
    <row r="26" s="383" customFormat="1" spans="1:7">
      <c r="A26" s="437" t="s">
        <v>1043</v>
      </c>
      <c r="B26" s="407" t="s">
        <v>1044</v>
      </c>
      <c r="C26" s="439">
        <f ca="1">ROUND(IF('数据-取费表'!B22&lt;=1,F21*F22*'数据-取费表'!B22/2,F21*(POWER((1+F22),'数据-取费表'!B22/2)-1)),4)</f>
        <v>0.0007</v>
      </c>
      <c r="D26" s="439"/>
      <c r="E26" s="442"/>
      <c r="F26" s="440"/>
      <c r="G26" s="444"/>
    </row>
    <row r="27" s="383" customFormat="1" ht="24.75" spans="1:7">
      <c r="A27" s="401" t="s">
        <v>1045</v>
      </c>
      <c r="B27" s="445" t="s">
        <v>1046</v>
      </c>
      <c r="C27" s="446">
        <f ca="1">C28</f>
        <v>474189</v>
      </c>
      <c r="D27" s="432">
        <f ca="1">C29</f>
        <v>0.002</v>
      </c>
      <c r="E27" s="433" t="s">
        <v>1033</v>
      </c>
      <c r="F27" s="447">
        <f ca="1">IF(B1="",'数据-取费表'!Q16,INDIRECT("'数据-取费表'!q"&amp;$G$1))</f>
        <v>0.1</v>
      </c>
      <c r="G27" s="448" t="s">
        <v>1047</v>
      </c>
    </row>
    <row r="28" s="383" customFormat="1" ht="13.5" customHeight="1" spans="1:7">
      <c r="A28" s="437" t="s">
        <v>996</v>
      </c>
      <c r="B28" s="449" t="s">
        <v>1048</v>
      </c>
      <c r="C28" s="450">
        <f ca="1">ROUND((C5+C19+C20)*F27,0)</f>
        <v>474189</v>
      </c>
      <c r="D28" s="432"/>
      <c r="E28" s="433"/>
      <c r="F28" s="447"/>
      <c r="G28" s="448"/>
    </row>
    <row r="29" s="383" customFormat="1" ht="13.5" customHeight="1" spans="1:7">
      <c r="A29" s="437" t="s">
        <v>998</v>
      </c>
      <c r="B29" s="449" t="s">
        <v>1049</v>
      </c>
      <c r="C29" s="439">
        <f ca="1">ROUND(C21*F27,4)</f>
        <v>0.002</v>
      </c>
      <c r="D29" s="432"/>
      <c r="E29" s="433"/>
      <c r="F29" s="447"/>
      <c r="G29" s="448"/>
    </row>
    <row r="30" s="383" customFormat="1" ht="13.5" customHeight="1" spans="1:7">
      <c r="A30" s="401" t="s">
        <v>1050</v>
      </c>
      <c r="B30" s="402" t="s">
        <v>1051</v>
      </c>
      <c r="C30" s="432">
        <f>ROUND(F30/(1+'数据-取费表'!C42),4)</f>
        <v>0.0533</v>
      </c>
      <c r="D30" s="433" t="s">
        <v>1033</v>
      </c>
      <c r="E30" s="442"/>
      <c r="F30" s="436">
        <f>'数据-取费表'!B41</f>
        <v>0.056</v>
      </c>
      <c r="G30" s="434" t="s">
        <v>1052</v>
      </c>
    </row>
    <row r="31" ht="16.5" customHeight="1" spans="1:7">
      <c r="A31" s="451">
        <v>1</v>
      </c>
      <c r="B31" s="402" t="s">
        <v>1053</v>
      </c>
      <c r="C31" s="403">
        <f ca="1">ROUND((C5+C19+C20+C22+C27)/(1-C21-D22-D27-C30),0)</f>
        <v>5991216</v>
      </c>
      <c r="D31" s="452"/>
      <c r="E31" s="403"/>
      <c r="F31" s="453"/>
      <c r="G31" s="434" t="s">
        <v>1054</v>
      </c>
    </row>
    <row r="32" s="382" customFormat="1" ht="15.75" spans="1:7">
      <c r="A32" s="454" t="s">
        <v>1087</v>
      </c>
      <c r="B32" s="455"/>
      <c r="C32" s="455"/>
      <c r="D32" s="455"/>
      <c r="E32" s="455"/>
      <c r="F32" s="455"/>
      <c r="G32" s="456"/>
    </row>
    <row r="33" s="383" customFormat="1" ht="13.5" customHeight="1" spans="1:7">
      <c r="A33" s="401" t="s">
        <v>992</v>
      </c>
      <c r="B33" s="402" t="s">
        <v>1088</v>
      </c>
      <c r="C33" s="457">
        <f ca="1">SUM(C34:C38)</f>
        <v>82750563</v>
      </c>
      <c r="D33" s="429"/>
      <c r="E33" s="404"/>
      <c r="F33" s="442"/>
      <c r="G33" s="434"/>
    </row>
    <row r="34" s="385" customFormat="1" ht="13.5" customHeight="1" spans="1:7">
      <c r="A34" s="437" t="s">
        <v>996</v>
      </c>
      <c r="B34" s="407" t="s">
        <v>1057</v>
      </c>
      <c r="C34" s="412">
        <f ca="1">ROUND(IF(B1="",SUMPRODUCT('数据-取费表'!K6:K14,'数据-取费表'!L6:L14),INDIRECT("'数据-取费表'!l"&amp;$G$1)*INDIRECT("'数据-取费表'!k"&amp;$G$1)+'数据-取费表'!L14*INDIRECT("'数据-取费表'!S"&amp;$G$1)),0)</f>
        <v>74382528</v>
      </c>
      <c r="D34" s="409"/>
      <c r="E34" s="412"/>
      <c r="F34" s="458"/>
      <c r="G34" s="411"/>
    </row>
    <row r="35" ht="13.5" customHeight="1" spans="1:7">
      <c r="A35" s="437" t="s">
        <v>998</v>
      </c>
      <c r="B35" s="407" t="s">
        <v>1059</v>
      </c>
      <c r="C35" s="412">
        <f ca="1">ROUND(C34*F35,0)</f>
        <v>2231476</v>
      </c>
      <c r="D35" s="412"/>
      <c r="E35" s="412"/>
      <c r="F35" s="459">
        <f>'数据-取费表'!B33</f>
        <v>0.03</v>
      </c>
      <c r="G35" s="411" t="s">
        <v>1060</v>
      </c>
    </row>
    <row r="36" ht="24" spans="1:7">
      <c r="A36" s="437" t="s">
        <v>1000</v>
      </c>
      <c r="B36" s="407" t="s">
        <v>1061</v>
      </c>
      <c r="C36" s="412">
        <f ca="1">ROUND(IF(B1="",SUM('数据-取费表'!AP6:AP13)*F36,IF(INDIRECT("'数据-取费表'!c"&amp;$G$1)="住宅",INDIRECT("'数据-取费表'!k"&amp;$G$1)*INDIRECT("'数据-取费表'!l"&amp;$G$1)*F36,0)),0)</f>
        <v>0</v>
      </c>
      <c r="D36" s="412"/>
      <c r="E36" s="412"/>
      <c r="F36" s="459">
        <f>'数据-取费表'!B34</f>
        <v>0</v>
      </c>
      <c r="G36" s="460" t="s">
        <v>1062</v>
      </c>
    </row>
    <row r="37" s="385" customFormat="1" ht="13.5" customHeight="1" spans="1:7">
      <c r="A37" s="437" t="s">
        <v>1043</v>
      </c>
      <c r="B37" s="407" t="s">
        <v>1063</v>
      </c>
      <c r="C37" s="450">
        <f ca="1">ROUND(E37*D37,0)</f>
        <v>4648908</v>
      </c>
      <c r="D37" s="409">
        <f ca="1">D19</f>
        <v>23244.54</v>
      </c>
      <c r="E37" s="450">
        <f>'数据-取费表'!B35</f>
        <v>200</v>
      </c>
      <c r="F37" s="459"/>
      <c r="G37" s="461"/>
    </row>
    <row r="38" ht="13.5" customHeight="1" spans="1:7">
      <c r="A38" s="437" t="s">
        <v>1065</v>
      </c>
      <c r="B38" s="407" t="s">
        <v>928</v>
      </c>
      <c r="C38" s="412">
        <f ca="1">ROUND(C34*F38,0)</f>
        <v>1487651</v>
      </c>
      <c r="D38" s="412"/>
      <c r="E38" s="412"/>
      <c r="F38" s="459">
        <f>'数据-取费表'!B36</f>
        <v>0.02</v>
      </c>
      <c r="G38" s="411" t="s">
        <v>1060</v>
      </c>
    </row>
    <row r="39" s="383" customFormat="1" ht="13.5" customHeight="1" spans="1:7">
      <c r="A39" s="401" t="s">
        <v>1025</v>
      </c>
      <c r="B39" s="402" t="s">
        <v>1029</v>
      </c>
      <c r="C39" s="429">
        <f ca="1">ROUND(C33*F20,0)</f>
        <v>1655011</v>
      </c>
      <c r="D39" s="429"/>
      <c r="E39" s="429"/>
      <c r="F39" s="430">
        <f>F20</f>
        <v>0.02</v>
      </c>
      <c r="G39" s="434" t="s">
        <v>1066</v>
      </c>
    </row>
    <row r="40" s="383" customFormat="1" ht="13.5" customHeight="1" spans="1:7">
      <c r="A40" s="401" t="s">
        <v>1028</v>
      </c>
      <c r="B40" s="402" t="s">
        <v>1032</v>
      </c>
      <c r="C40" s="2481">
        <f>F21</f>
        <v>0.02</v>
      </c>
      <c r="D40" s="433" t="s">
        <v>1067</v>
      </c>
      <c r="E40" s="429"/>
      <c r="F40" s="430">
        <f>F21</f>
        <v>0.02</v>
      </c>
      <c r="G40" s="434" t="s">
        <v>1068</v>
      </c>
    </row>
    <row r="41" s="383" customFormat="1" ht="13.5" customHeight="1" spans="1:7">
      <c r="A41" s="401" t="s">
        <v>1031</v>
      </c>
      <c r="B41" s="402" t="s">
        <v>1036</v>
      </c>
      <c r="C41" s="429">
        <f ca="1">ROUND(SUM(C42:C43),0)</f>
        <v>2827587</v>
      </c>
      <c r="D41" s="432">
        <f ca="1">C44</f>
        <v>0.0007</v>
      </c>
      <c r="E41" s="433" t="s">
        <v>1067</v>
      </c>
      <c r="F41" s="436">
        <f ca="1">F22</f>
        <v>0.0335</v>
      </c>
      <c r="G41" s="434" t="str">
        <f>IF('数据-取费表'!B22&lt;=1,"单利计息","复利计息")</f>
        <v>复利计息</v>
      </c>
    </row>
    <row r="42" ht="13.5" customHeight="1" spans="1:7">
      <c r="A42" s="437" t="s">
        <v>996</v>
      </c>
      <c r="B42" s="407" t="s">
        <v>1037</v>
      </c>
      <c r="C42" s="439">
        <f ca="1">ROUND(IF('数据-取费表'!B22&lt;=1,C33*F22*'数据-取费表'!B20/2,C33*(POWER((1+F22),'数据-取费表'!B20/2)-1)),0)</f>
        <v>2772144</v>
      </c>
      <c r="D42" s="439"/>
      <c r="E42" s="439"/>
      <c r="F42" s="440"/>
      <c r="G42" s="463" t="s">
        <v>1089</v>
      </c>
    </row>
    <row r="43" ht="13.5" customHeight="1" spans="1:7">
      <c r="A43" s="437" t="s">
        <v>998</v>
      </c>
      <c r="B43" s="407" t="s">
        <v>1039</v>
      </c>
      <c r="C43" s="439">
        <f ca="1">ROUND(IF('数据-取费表'!B22&lt;=1,C39*F22*'数据-取费表'!B20/2,C39*(POWER((1+F22),'数据-取费表'!B20/2)-1)),0)</f>
        <v>55443</v>
      </c>
      <c r="D43" s="439"/>
      <c r="E43" s="439"/>
      <c r="F43" s="440"/>
      <c r="G43" s="464"/>
    </row>
    <row r="44" ht="13.5" customHeight="1" spans="1:7">
      <c r="A44" s="437" t="s">
        <v>1000</v>
      </c>
      <c r="B44" s="407" t="s">
        <v>1041</v>
      </c>
      <c r="C44" s="439">
        <f ca="1">ROUND(IF('数据-取费表'!B22&lt;=1,C40*F22*'数据-取费表'!B20/2,C40*(POWER((1+F22),'数据-取费表'!B20/2)-1)),4)</f>
        <v>0.0007</v>
      </c>
      <c r="D44" s="439"/>
      <c r="E44" s="439"/>
      <c r="F44" s="440"/>
      <c r="G44" s="465"/>
    </row>
    <row r="45" s="383" customFormat="1" ht="13.5" customHeight="1" spans="1:7">
      <c r="A45" s="401" t="s">
        <v>1035</v>
      </c>
      <c r="B45" s="445" t="s">
        <v>1046</v>
      </c>
      <c r="C45" s="446">
        <f ca="1">C46</f>
        <v>8440557</v>
      </c>
      <c r="D45" s="432">
        <f ca="1">C47</f>
        <v>0.002</v>
      </c>
      <c r="E45" s="433" t="s">
        <v>1067</v>
      </c>
      <c r="F45" s="447">
        <f ca="1">F27</f>
        <v>0.1</v>
      </c>
      <c r="G45" s="448" t="s">
        <v>1070</v>
      </c>
    </row>
    <row r="46" s="383" customFormat="1" ht="13.5" customHeight="1" spans="1:7">
      <c r="A46" s="437" t="s">
        <v>996</v>
      </c>
      <c r="B46" s="449" t="s">
        <v>1071</v>
      </c>
      <c r="C46" s="450">
        <f ca="1">ROUND((C33+C39)*F27,0)</f>
        <v>8440557</v>
      </c>
      <c r="D46" s="466"/>
      <c r="E46" s="433"/>
      <c r="F46" s="447"/>
      <c r="G46" s="448"/>
    </row>
    <row r="47" s="383" customFormat="1" ht="13.5" customHeight="1" spans="1:7">
      <c r="A47" s="437" t="s">
        <v>998</v>
      </c>
      <c r="B47" s="449" t="s">
        <v>1072</v>
      </c>
      <c r="C47" s="439">
        <f ca="1">ROUND(C40*F27,4)</f>
        <v>0.002</v>
      </c>
      <c r="D47" s="466"/>
      <c r="E47" s="433"/>
      <c r="F47" s="447"/>
      <c r="G47" s="448"/>
    </row>
    <row r="48" s="383" customFormat="1" ht="13.5" customHeight="1" spans="1:7">
      <c r="A48" s="401" t="s">
        <v>1045</v>
      </c>
      <c r="B48" s="402" t="s">
        <v>1051</v>
      </c>
      <c r="C48" s="462">
        <f>ROUND(F30/(1+'数据-取费表'!C42),4)</f>
        <v>0.0533</v>
      </c>
      <c r="D48" s="433" t="s">
        <v>1067</v>
      </c>
      <c r="E48" s="429"/>
      <c r="F48" s="436">
        <f>F30</f>
        <v>0.056</v>
      </c>
      <c r="G48" s="434" t="s">
        <v>1073</v>
      </c>
    </row>
    <row r="49" ht="16.5" customHeight="1" spans="1:7">
      <c r="A49" s="401" t="s">
        <v>1050</v>
      </c>
      <c r="B49" s="402" t="s">
        <v>1090</v>
      </c>
      <c r="C49" s="429">
        <f ca="1">ROUND((C33+C39+C41+C45)/(1-C40-D41-D45-C48),0)</f>
        <v>103542985</v>
      </c>
      <c r="D49" s="429"/>
      <c r="E49" s="429"/>
      <c r="F49" s="467"/>
      <c r="G49" s="434" t="s">
        <v>1075</v>
      </c>
    </row>
    <row r="50" s="385" customFormat="1" spans="1:7">
      <c r="A50" s="401" t="s">
        <v>1076</v>
      </c>
      <c r="B50" s="402" t="s">
        <v>1077</v>
      </c>
      <c r="C50" s="429"/>
      <c r="D50" s="429"/>
      <c r="E50" s="429"/>
      <c r="F50" s="467">
        <f>IF('数据-取费表'!B24=0,'数据-取费表'!N16,1)</f>
        <v>0.6</v>
      </c>
      <c r="G50" s="448"/>
    </row>
    <row r="51" ht="16.5" customHeight="1" spans="1:7">
      <c r="A51" s="401" t="s">
        <v>1079</v>
      </c>
      <c r="B51" s="402" t="s">
        <v>1091</v>
      </c>
      <c r="C51" s="429">
        <f ca="1">ROUND(C49*F50,0)</f>
        <v>62125791</v>
      </c>
      <c r="D51" s="429"/>
      <c r="E51" s="429"/>
      <c r="F51" s="467"/>
      <c r="G51" s="434" t="s">
        <v>1081</v>
      </c>
    </row>
    <row r="52" s="382" customFormat="1" ht="16.5" spans="1:7">
      <c r="A52" s="468" t="s">
        <v>1082</v>
      </c>
      <c r="B52" s="469"/>
      <c r="C52" s="470">
        <f ca="1">C31+C51</f>
        <v>68117007</v>
      </c>
      <c r="D52" s="469"/>
      <c r="E52" s="469"/>
      <c r="F52" s="469"/>
      <c r="G52" s="471"/>
    </row>
    <row r="55" ht="15" spans="2:3">
      <c r="B55" s="472" t="s">
        <v>1083</v>
      </c>
      <c r="C55" s="473"/>
    </row>
    <row r="56" spans="2:3">
      <c r="B56" s="474" t="s">
        <v>1084</v>
      </c>
      <c r="C56" s="476">
        <f ca="1">1-C57</f>
        <v>0.088</v>
      </c>
    </row>
    <row r="57" spans="2:3">
      <c r="B57" s="474" t="s">
        <v>1085</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P49" sqref="P49"/>
    </sheetView>
  </sheetViews>
  <sheetFormatPr defaultColWidth="6.625" defaultRowHeight="12.75"/>
  <cols>
    <col min="1" max="1" width="9.75" style="1089" customWidth="1"/>
    <col min="2" max="2" width="25.75" style="2384" customWidth="1"/>
    <col min="3" max="3" width="10.375" style="2385" customWidth="1"/>
    <col min="4" max="4" width="9.875" style="2384" customWidth="1"/>
    <col min="5" max="5" width="9.5" style="1089" customWidth="1"/>
    <col min="6" max="6" width="10.125" style="2384" customWidth="1"/>
    <col min="7" max="7" width="10.75" style="2384" customWidth="1"/>
    <col min="8" max="8" width="10" style="2384" customWidth="1"/>
    <col min="9" max="11" width="9.5" style="2384" customWidth="1"/>
    <col min="12" max="12" width="9" style="2384" customWidth="1"/>
    <col min="13" max="13" width="10.5" style="2384" customWidth="1"/>
    <col min="14" max="254" width="9" style="2384" customWidth="1"/>
    <col min="255" max="16384" width="6.625" style="2384"/>
  </cols>
  <sheetData>
    <row r="1" ht="20.25" spans="1:11">
      <c r="A1" s="389" t="s">
        <v>1092</v>
      </c>
      <c r="B1" s="2193"/>
      <c r="C1" s="2386"/>
      <c r="D1" s="2387"/>
      <c r="E1" s="2388"/>
      <c r="F1" s="2388"/>
      <c r="G1" s="2389"/>
      <c r="H1" s="2388"/>
      <c r="I1" s="2388"/>
      <c r="J1" s="2388"/>
      <c r="K1" s="2457">
        <f>MATCH(C1,'数据-取费表'!A6:A16,0)+5</f>
        <v>7</v>
      </c>
    </row>
    <row r="2" ht="18" customHeight="1" spans="1:11">
      <c r="A2" s="393" t="s">
        <v>987</v>
      </c>
      <c r="B2" s="397">
        <f ca="1">C32</f>
        <v>0</v>
      </c>
      <c r="C2" s="2390" t="s">
        <v>1093</v>
      </c>
      <c r="D2" s="2390"/>
      <c r="E2" s="2388"/>
      <c r="F2" s="2388"/>
      <c r="G2" s="2388"/>
      <c r="H2" s="2388"/>
      <c r="I2" s="2388"/>
      <c r="J2" s="2388"/>
      <c r="K2" s="2388"/>
    </row>
    <row r="3" ht="18" customHeight="1" spans="1:11">
      <c r="A3" s="396" t="s">
        <v>989</v>
      </c>
      <c r="B3" s="397">
        <f ca="1">ROUND(B2*10000/IF(C1="",'数据-汇总表'!E3,INDIRECT("'数据-取费表'!K"&amp;$K$1)),0)</f>
        <v>0</v>
      </c>
      <c r="C3" s="2390" t="s">
        <v>1094</v>
      </c>
      <c r="D3" s="2390"/>
      <c r="E3" s="2388"/>
      <c r="F3" s="2388"/>
      <c r="G3" s="2388"/>
      <c r="H3" s="2388"/>
      <c r="I3" s="2388"/>
      <c r="J3" s="2388"/>
      <c r="K3" s="2388"/>
    </row>
    <row r="4" s="2375" customFormat="1" ht="16.5" customHeight="1" spans="1:11">
      <c r="A4" s="2391" t="s">
        <v>1095</v>
      </c>
      <c r="B4" s="2392"/>
      <c r="C4" s="2393">
        <f>SUM(C8:K8)</f>
        <v>0</v>
      </c>
      <c r="D4" s="2392"/>
      <c r="E4" s="2392"/>
      <c r="F4" s="2392"/>
      <c r="G4" s="2392"/>
      <c r="H4" s="2392"/>
      <c r="I4" s="2392"/>
      <c r="J4" s="2392"/>
      <c r="K4" s="2458"/>
    </row>
    <row r="5" s="2376" customFormat="1" ht="15" spans="1:33">
      <c r="A5" s="2394" t="s">
        <v>1096</v>
      </c>
      <c r="B5" s="2395" t="s">
        <v>1097</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897</v>
      </c>
      <c r="B6" s="2156" t="s">
        <v>1098</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901</v>
      </c>
      <c r="B7" s="2156"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946</v>
      </c>
      <c r="B8" s="2401" t="s">
        <v>1099</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1100</v>
      </c>
      <c r="B9" s="2392"/>
      <c r="C9" s="2392"/>
      <c r="D9" s="2392"/>
      <c r="E9" s="2392"/>
      <c r="F9" s="2392"/>
      <c r="G9" s="2392"/>
      <c r="H9" s="2392"/>
      <c r="I9" s="2392"/>
      <c r="J9" s="2392"/>
      <c r="K9" s="2458"/>
    </row>
    <row r="10" s="2378" customFormat="1" ht="13.5" customHeight="1" spans="1:11">
      <c r="A10" s="2394" t="s">
        <v>1096</v>
      </c>
      <c r="B10" s="2404" t="s">
        <v>1097</v>
      </c>
      <c r="C10" s="2405" t="s">
        <v>1101</v>
      </c>
      <c r="D10" s="2406" t="s">
        <v>1102</v>
      </c>
      <c r="E10" s="2406" t="s">
        <v>1103</v>
      </c>
      <c r="F10" s="2406" t="s">
        <v>1104</v>
      </c>
      <c r="G10" s="2404"/>
      <c r="H10" s="2407"/>
      <c r="I10" s="2407"/>
      <c r="J10" s="2407"/>
      <c r="K10" s="2464"/>
    </row>
    <row r="11" s="2379" customFormat="1" ht="13.5" customHeight="1" spans="1:11">
      <c r="A11" s="2408" t="s">
        <v>1003</v>
      </c>
      <c r="B11" s="2409" t="s">
        <v>1105</v>
      </c>
      <c r="C11" s="2410">
        <f ca="1">IF(C1="",'数据-取费表'!P16,INDIRECT("'数据-取费表'!p"&amp;$K$1)+INDIRECT("'数据-取费表'!ar"&amp;$K$1))</f>
        <v>0</v>
      </c>
      <c r="D11" s="2411"/>
      <c r="E11" s="2159"/>
      <c r="F11" s="2412">
        <f ca="1">1-IF('数据-取费表'!B24=0,1,IF(C1="",'数据-取费表'!N16,INDIRECT("'数据-取费表'!n"&amp;$K$1)))</f>
        <v>0</v>
      </c>
      <c r="G11" s="2404"/>
      <c r="H11" s="2407"/>
      <c r="I11" s="2407"/>
      <c r="J11" s="2407"/>
      <c r="K11" s="2464"/>
    </row>
    <row r="12" s="2379" customFormat="1" ht="13.5" customHeight="1" spans="1:11">
      <c r="A12" s="2408" t="s">
        <v>1007</v>
      </c>
      <c r="B12" s="2409" t="s">
        <v>1106</v>
      </c>
      <c r="C12" s="1047">
        <f ca="1">ROUND(C11*F12,0)</f>
        <v>0</v>
      </c>
      <c r="D12" s="2411"/>
      <c r="E12" s="2159"/>
      <c r="F12" s="2412">
        <f>'数据-取费表'!B33</f>
        <v>0.03</v>
      </c>
      <c r="G12" s="2404" t="s">
        <v>1107</v>
      </c>
      <c r="H12" s="2407"/>
      <c r="I12" s="2407"/>
      <c r="J12" s="2407"/>
      <c r="K12" s="2464"/>
    </row>
    <row r="13" s="2379" customFormat="1" ht="13.5" customHeight="1" spans="1:11">
      <c r="A13" s="2408" t="s">
        <v>1108</v>
      </c>
      <c r="B13" s="2409" t="s">
        <v>1109</v>
      </c>
      <c r="C13" s="1047">
        <f ca="1">ROUND(IF(C1="",SUMIF('数据-取费表'!C:C,"住宅",'数据-取费表'!P:P)*F13,IF(INDIRECT("'数据-取费表'!c"&amp;$K$1)="住宅",INDIRECT("'数据-取费表'!P"&amp;$K$1)*F13,0)),0)</f>
        <v>0</v>
      </c>
      <c r="D13" s="2413"/>
      <c r="E13" s="2159"/>
      <c r="F13" s="2412">
        <f>'数据-取费表'!B34</f>
        <v>0</v>
      </c>
      <c r="G13" s="2404" t="s">
        <v>1110</v>
      </c>
      <c r="H13" s="2407"/>
      <c r="I13" s="2407"/>
      <c r="J13" s="2407"/>
      <c r="K13" s="2464"/>
    </row>
    <row r="14" s="2380" customFormat="1" ht="13.5" customHeight="1" spans="1:33">
      <c r="A14" s="2408" t="s">
        <v>1111</v>
      </c>
      <c r="B14" s="2409" t="s">
        <v>1112</v>
      </c>
      <c r="C14" s="1047">
        <f ca="1">ROUND(D14*E14*F11/10000,0)</f>
        <v>0</v>
      </c>
      <c r="D14" s="2413">
        <f ca="1">IF(C1="",'数据-汇总表'!E3,INDIRECT("'数据-取费表'!K"&amp;$K$1)+INDIRECT("'数据-取费表'!S"&amp;$K$1))</f>
        <v>23244.54</v>
      </c>
      <c r="E14" s="1047">
        <f>'数据-取费表'!B35</f>
        <v>200</v>
      </c>
      <c r="F14" s="2414"/>
      <c r="G14" s="2404" t="s">
        <v>1113</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1114</v>
      </c>
      <c r="B15" s="2409" t="s">
        <v>1115</v>
      </c>
      <c r="C15" s="2415">
        <f ca="1">ROUND(C11*F15,0)</f>
        <v>0</v>
      </c>
      <c r="D15" s="2416"/>
      <c r="E15" s="2415"/>
      <c r="F15" s="2412">
        <f>'数据-取费表'!B36</f>
        <v>0.02</v>
      </c>
      <c r="G15" s="2156" t="s">
        <v>1116</v>
      </c>
      <c r="H15" s="2271"/>
      <c r="I15" s="2271"/>
      <c r="J15" s="2271"/>
      <c r="K15" s="2272"/>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920</v>
      </c>
      <c r="B16" s="2409" t="s">
        <v>1117</v>
      </c>
      <c r="C16" s="2415">
        <f ca="1">SUM(C11:C15)</f>
        <v>0</v>
      </c>
      <c r="D16" s="2416"/>
      <c r="E16" s="2415"/>
      <c r="F16" s="2412"/>
      <c r="G16" s="2156"/>
      <c r="H16" s="2417"/>
      <c r="I16" s="2271"/>
      <c r="J16" s="2271"/>
      <c r="K16" s="2272"/>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924</v>
      </c>
      <c r="B17" s="2409" t="s">
        <v>1118</v>
      </c>
      <c r="C17" s="1047">
        <f ca="1">ROUND(D17*E17/10000,0)</f>
        <v>0</v>
      </c>
      <c r="D17" s="2413">
        <f ca="1">D14</f>
        <v>23244.54</v>
      </c>
      <c r="E17" s="1047">
        <f>'数据-取费表'!B32</f>
        <v>0</v>
      </c>
      <c r="F17" s="2416"/>
      <c r="G17" s="2156" t="s">
        <v>1119</v>
      </c>
      <c r="H17" s="2417"/>
      <c r="I17" s="2271"/>
      <c r="J17" s="2271"/>
      <c r="K17" s="2272"/>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1120</v>
      </c>
      <c r="B18" s="2409" t="s">
        <v>1121</v>
      </c>
      <c r="C18" s="1047">
        <f ca="1">C19+C20-IF(C1="",'数据-取费表'!B29,IF(G18="已全部缴纳",C19+C20,H18))</f>
        <v>0</v>
      </c>
      <c r="D18" s="2413"/>
      <c r="E18" s="1047"/>
      <c r="F18" s="2414"/>
      <c r="G18" s="2418"/>
      <c r="H18" s="2419"/>
      <c r="I18" s="2465" t="s">
        <v>1122</v>
      </c>
      <c r="J18" s="2271"/>
      <c r="K18" s="2272"/>
    </row>
    <row r="19" s="2379" customFormat="1" ht="13.5" customHeight="1" spans="1:11">
      <c r="A19" s="2408" t="s">
        <v>1003</v>
      </c>
      <c r="B19" s="2409" t="s">
        <v>443</v>
      </c>
      <c r="C19" s="1047">
        <f ca="1">ROUND(D19*E19/10000,0)</f>
        <v>0</v>
      </c>
      <c r="D19" s="2413">
        <f ca="1">IF(C1="",'数据-汇总表'!E5,IF(INDIRECT("'数据-取费表'!c"&amp;$K$1)="住宅",INDIRECT("'数据-取费表'!k"&amp;$K$1),0))</f>
        <v>0</v>
      </c>
      <c r="E19" s="1047">
        <f>'数据-取费表'!B27</f>
        <v>0</v>
      </c>
      <c r="F19" s="2414"/>
      <c r="G19" s="2270"/>
      <c r="H19" s="2420"/>
      <c r="I19" s="2421"/>
      <c r="J19" s="2421"/>
      <c r="K19" s="2466"/>
    </row>
    <row r="20" s="2379" customFormat="1" ht="13.5" customHeight="1" spans="1:11">
      <c r="A20" s="2408" t="s">
        <v>1007</v>
      </c>
      <c r="B20" s="2409" t="s">
        <v>1123</v>
      </c>
      <c r="C20" s="1047">
        <f ca="1">ROUND(D20*E20/10000,0)</f>
        <v>0</v>
      </c>
      <c r="D20" s="2413">
        <f ca="1">IF(C1="",'数据-汇总表'!E6,IF(INDIRECT("'数据-取费表'!c"&amp;$K$1)="住宅",INDIRECT("'数据-取费表'!s"&amp;$K$1),INDIRECT("'数据-取费表'!k"&amp;$K$1)+INDIRECT("'数据-取费表'!s"&amp;$K$1)))</f>
        <v>23244.54</v>
      </c>
      <c r="E20" s="1047">
        <f>'数据-取费表'!B28</f>
        <v>0</v>
      </c>
      <c r="F20" s="2414"/>
      <c r="G20" s="2270"/>
      <c r="H20" s="2421"/>
      <c r="I20" s="2421"/>
      <c r="J20" s="2421"/>
      <c r="K20" s="2466"/>
    </row>
    <row r="21" s="2379" customFormat="1" ht="13.5" customHeight="1" spans="1:11">
      <c r="A21" s="2397" t="s">
        <v>897</v>
      </c>
      <c r="B21" s="2422" t="s">
        <v>1124</v>
      </c>
      <c r="C21" s="2423">
        <f ca="1">C16+C17+C18</f>
        <v>0</v>
      </c>
      <c r="D21" s="2424"/>
      <c r="E21" s="2425"/>
      <c r="F21" s="2425"/>
      <c r="G21" s="2156" t="s">
        <v>1125</v>
      </c>
      <c r="H21" s="2271"/>
      <c r="I21" s="2271"/>
      <c r="J21" s="2271"/>
      <c r="K21" s="2272"/>
    </row>
    <row r="22" s="2379" customFormat="1" ht="13.5" customHeight="1" spans="1:11">
      <c r="A22" s="2397" t="s">
        <v>901</v>
      </c>
      <c r="B22" s="2422" t="s">
        <v>1126</v>
      </c>
      <c r="C22" s="2423">
        <f ca="1">ROUND(C21*F22,0)</f>
        <v>0</v>
      </c>
      <c r="D22" s="2425"/>
      <c r="E22" s="2425"/>
      <c r="F22" s="2426">
        <f>'数据-取费表'!B37</f>
        <v>0.02</v>
      </c>
      <c r="G22" s="2404" t="s">
        <v>1127</v>
      </c>
      <c r="H22" s="2407"/>
      <c r="I22" s="2407"/>
      <c r="J22" s="2407"/>
      <c r="K22" s="2464"/>
    </row>
    <row r="23" s="2379" customFormat="1" ht="13.5" customHeight="1" spans="1:11">
      <c r="A23" s="2397" t="s">
        <v>946</v>
      </c>
      <c r="B23" s="2422" t="s">
        <v>1128</v>
      </c>
      <c r="C23" s="2423">
        <f ca="1">ROUND(C4*F23*F11,0)</f>
        <v>0</v>
      </c>
      <c r="D23" s="2425"/>
      <c r="E23" s="2425"/>
      <c r="F23" s="2426">
        <f>'数据-取费表'!B38</f>
        <v>0.02</v>
      </c>
      <c r="G23" s="2404" t="s">
        <v>1129</v>
      </c>
      <c r="H23" s="2407"/>
      <c r="I23" s="2407"/>
      <c r="J23" s="2407"/>
      <c r="K23" s="2464"/>
    </row>
    <row r="24" s="2379" customFormat="1" ht="13.5" customHeight="1" spans="1:11">
      <c r="A24" s="2397" t="s">
        <v>949</v>
      </c>
      <c r="B24" s="2422" t="s">
        <v>1130</v>
      </c>
      <c r="C24" s="2427">
        <f>ROUND(F24/(1+'数据-取费表'!C42),4)</f>
        <v>0.029</v>
      </c>
      <c r="D24" s="2425" t="s">
        <v>1131</v>
      </c>
      <c r="E24" s="2425"/>
      <c r="F24" s="2426">
        <f>IF(项目基本情况!B8="出让",0,'数据-取费表'!B48+'数据-取费表'!B49)</f>
        <v>0.0305</v>
      </c>
      <c r="G24" s="2404" t="s">
        <v>1132</v>
      </c>
      <c r="H24" s="2428"/>
      <c r="I24" s="2428"/>
      <c r="J24" s="2428"/>
      <c r="K24" s="2467"/>
    </row>
    <row r="25" s="2379" customFormat="1" ht="13.5" customHeight="1" spans="1:11">
      <c r="A25" s="2397" t="s">
        <v>953</v>
      </c>
      <c r="B25" s="2424" t="s">
        <v>1133</v>
      </c>
      <c r="C25" s="2429">
        <f ca="1">C27</f>
        <v>0</v>
      </c>
      <c r="D25" s="2427">
        <f ca="1">C26</f>
        <v>0</v>
      </c>
      <c r="E25" s="2430" t="s">
        <v>1131</v>
      </c>
      <c r="F25" s="2431">
        <f ca="1">'数据-取费表'!B40</f>
        <v>0.0335</v>
      </c>
      <c r="G25" s="2156"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920</v>
      </c>
      <c r="B26" s="2432" t="s">
        <v>1134</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71"/>
      <c r="I26" s="2271"/>
      <c r="J26" s="2271"/>
      <c r="K26" s="2272"/>
    </row>
    <row r="27" s="2381" customFormat="1" ht="13.5" customHeight="1" spans="1:11">
      <c r="A27" s="2408" t="s">
        <v>924</v>
      </c>
      <c r="B27" s="2432" t="s">
        <v>1135</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71"/>
      <c r="I27" s="2271"/>
      <c r="J27" s="2271"/>
      <c r="K27" s="2272"/>
    </row>
    <row r="28" s="2382" customFormat="1" ht="13.5" customHeight="1" spans="1:11">
      <c r="A28" s="2397" t="s">
        <v>954</v>
      </c>
      <c r="B28" s="2439" t="s">
        <v>1136</v>
      </c>
      <c r="C28" s="2440">
        <f ca="1">C30</f>
        <v>0</v>
      </c>
      <c r="D28" s="2427">
        <f ca="1">C29</f>
        <v>0</v>
      </c>
      <c r="E28" s="2430" t="s">
        <v>1131</v>
      </c>
      <c r="F28" s="1393">
        <f ca="1">IF(C1="",'数据-取费表'!Q16,INDIRECT("'数据-取费表'!q"&amp;$K$1))</f>
        <v>0.1</v>
      </c>
      <c r="G28" s="2441"/>
      <c r="H28" s="2428"/>
      <c r="I28" s="2428"/>
      <c r="J28" s="2428"/>
      <c r="K28" s="2467"/>
    </row>
    <row r="29" s="2383" customFormat="1" ht="13.5" customHeight="1" spans="1:11">
      <c r="A29" s="2408" t="s">
        <v>920</v>
      </c>
      <c r="B29" s="2442" t="s">
        <v>1137</v>
      </c>
      <c r="C29" s="2434">
        <f ca="1">ROUND((1+C24)*F28*'数据-取费表'!B24/'数据-取费表'!B20,4)</f>
        <v>0</v>
      </c>
      <c r="D29" s="2434"/>
      <c r="E29" s="2435"/>
      <c r="F29" s="2443"/>
      <c r="G29" s="2156" t="s">
        <v>1138</v>
      </c>
      <c r="H29" s="2271"/>
      <c r="I29" s="2271"/>
      <c r="J29" s="2271"/>
      <c r="K29" s="2272"/>
    </row>
    <row r="30" s="2383" customFormat="1" ht="13.5" customHeight="1" spans="1:11">
      <c r="A30" s="2408" t="s">
        <v>924</v>
      </c>
      <c r="B30" s="2442" t="s">
        <v>1139</v>
      </c>
      <c r="C30" s="2444">
        <f ca="1">ROUND((C21+C22+C23)*F28,0)</f>
        <v>0</v>
      </c>
      <c r="D30" s="2434"/>
      <c r="E30" s="2435"/>
      <c r="F30" s="2443"/>
      <c r="G30" s="2156"/>
      <c r="H30" s="2271"/>
      <c r="I30" s="2271"/>
      <c r="J30" s="2271"/>
      <c r="K30" s="2272"/>
    </row>
    <row r="31" s="2379" customFormat="1" ht="13.5" customHeight="1" spans="1:11">
      <c r="A31" s="2445" t="s">
        <v>1140</v>
      </c>
      <c r="B31" s="2446" t="s">
        <v>1141</v>
      </c>
      <c r="C31" s="2447">
        <f>ROUND(C4*F31/(1+'数据-取费表'!C42),0)</f>
        <v>0</v>
      </c>
      <c r="D31" s="2448"/>
      <c r="E31" s="2449"/>
      <c r="F31" s="2450">
        <f>'数据-取费表'!B41</f>
        <v>0.056</v>
      </c>
      <c r="G31" s="2451" t="s">
        <v>1142</v>
      </c>
      <c r="H31" s="2452"/>
      <c r="I31" s="2452"/>
      <c r="J31" s="2452"/>
      <c r="K31" s="2468"/>
    </row>
    <row r="32" s="2378" customFormat="1" ht="13.5" customHeight="1" spans="1:11">
      <c r="A32" s="2453" t="s">
        <v>1143</v>
      </c>
      <c r="B32" s="2454"/>
      <c r="C32" s="2455">
        <f ca="1">ROUND((C4-C21-C22-C23-C25-C28-C31)/(1+C24+D25+D28),0)</f>
        <v>0</v>
      </c>
      <c r="D32" s="2454"/>
      <c r="E32" s="2454"/>
      <c r="F32" s="2454"/>
      <c r="G32" s="2456" t="s">
        <v>1144</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J50" sqref="J50"/>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82"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0" customFormat="1" ht="20.25" spans="1:37">
      <c r="A1" s="2083" t="s">
        <v>1145</v>
      </c>
      <c r="B1" s="1381"/>
      <c r="C1" s="2084" t="s">
        <v>599</v>
      </c>
      <c r="D1" s="2085" t="s">
        <v>124</v>
      </c>
      <c r="E1" s="2086" t="s">
        <v>1146</v>
      </c>
      <c r="F1" s="2087">
        <f ca="1">J53</f>
        <v>32.25</v>
      </c>
      <c r="G1" s="2088">
        <f>MATCH(C1,'数据-取费表'!A6:A16,0)+5</f>
        <v>6</v>
      </c>
      <c r="H1" s="2089"/>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2" t="s">
        <v>1147</v>
      </c>
      <c r="B2" s="2367">
        <f ca="1">C40+J29+L46</f>
        <v>14062</v>
      </c>
      <c r="C2" s="2091" t="s">
        <v>1148</v>
      </c>
      <c r="D2" s="2091"/>
      <c r="E2" s="2093"/>
      <c r="F2" s="2094"/>
      <c r="G2" s="2095"/>
      <c r="H2" s="2096"/>
      <c r="I2" s="2096"/>
      <c r="J2" s="2096"/>
      <c r="K2" s="2258"/>
      <c r="L2" s="2096"/>
      <c r="M2" s="2096"/>
    </row>
    <row r="3" ht="18" customHeight="1" spans="1:13">
      <c r="A3" s="2097" t="s">
        <v>1149</v>
      </c>
      <c r="B3" s="2098">
        <f ca="1">IF(ISERROR(B2*10000/F43),0,ROUND(B2*10000/F43,0))</f>
        <v>6050</v>
      </c>
      <c r="C3" s="2091" t="s">
        <v>1150</v>
      </c>
      <c r="D3" s="2091"/>
      <c r="E3" s="2093"/>
      <c r="F3" s="2094"/>
      <c r="G3" s="2095"/>
      <c r="H3" s="2099" t="s">
        <v>1151</v>
      </c>
      <c r="I3" s="2259"/>
      <c r="J3" s="2259"/>
      <c r="K3" s="2260"/>
      <c r="L3" s="2259"/>
      <c r="M3" s="2259"/>
    </row>
    <row r="4" ht="18" customHeight="1" spans="1:13">
      <c r="A4" s="2100" t="s">
        <v>1152</v>
      </c>
      <c r="B4" s="2101" t="s">
        <v>1153</v>
      </c>
      <c r="C4" s="2101" t="s">
        <v>1154</v>
      </c>
      <c r="D4" s="2101" t="s">
        <v>1155</v>
      </c>
      <c r="E4" s="2102" t="s">
        <v>1156</v>
      </c>
      <c r="F4" s="2103"/>
      <c r="G4" s="798"/>
      <c r="H4" s="2100" t="s">
        <v>1152</v>
      </c>
      <c r="I4" s="2101" t="s">
        <v>1153</v>
      </c>
      <c r="J4" s="2101" t="s">
        <v>1154</v>
      </c>
      <c r="K4" s="2101" t="s">
        <v>1155</v>
      </c>
      <c r="L4" s="2102" t="s">
        <v>1156</v>
      </c>
      <c r="M4" s="2103"/>
    </row>
    <row r="5" ht="18" customHeight="1" spans="1:13">
      <c r="A5" s="2104">
        <v>1</v>
      </c>
      <c r="B5" s="2105" t="s">
        <v>1157</v>
      </c>
      <c r="C5" s="2106">
        <f ca="1">C6+C10+C12</f>
        <v>917</v>
      </c>
      <c r="D5" s="2107" t="s">
        <v>1158</v>
      </c>
      <c r="E5" s="2108"/>
      <c r="F5" s="2109"/>
      <c r="G5" s="798"/>
      <c r="H5" s="2104">
        <v>1</v>
      </c>
      <c r="I5" s="2105" t="s">
        <v>1157</v>
      </c>
      <c r="J5" s="2106">
        <f ca="1">J6+J10+J12</f>
        <v>0</v>
      </c>
      <c r="K5" s="2107" t="s">
        <v>1158</v>
      </c>
      <c r="L5" s="2108"/>
      <c r="M5" s="2109"/>
    </row>
    <row r="6" ht="18" customHeight="1" spans="1:13">
      <c r="A6" s="2110" t="s">
        <v>897</v>
      </c>
      <c r="B6" s="2111" t="s">
        <v>1159</v>
      </c>
      <c r="C6" s="2112">
        <f ca="1">ROUND(F6*F8*F7*(1-F9)/10000,0)</f>
        <v>916</v>
      </c>
      <c r="D6" s="2113" t="s">
        <v>1160</v>
      </c>
      <c r="E6" s="2114" t="s">
        <v>1161</v>
      </c>
      <c r="F6" s="2115">
        <f ca="1">INDIRECT("'数据-取费表'!u"&amp;$G$1)</f>
        <v>1.2</v>
      </c>
      <c r="G6" s="798"/>
      <c r="H6" s="2110" t="s">
        <v>897</v>
      </c>
      <c r="I6" s="2111" t="s">
        <v>1159</v>
      </c>
      <c r="J6" s="2188">
        <f ca="1">ROUND(M6*M8*M7*(1-M9)/10000,0)</f>
        <v>0</v>
      </c>
      <c r="K6" s="2113" t="s">
        <v>1162</v>
      </c>
      <c r="L6" s="2114" t="s">
        <v>1161</v>
      </c>
      <c r="M6" s="2115">
        <f ca="1">INDIRECT("'数据-取费表'!z"&amp;$G$1)</f>
        <v>0</v>
      </c>
    </row>
    <row r="7" ht="18" customHeight="1" spans="1:13">
      <c r="A7" s="2116"/>
      <c r="B7" s="2117"/>
      <c r="C7" s="2118"/>
      <c r="D7" s="2119"/>
      <c r="E7" s="2120" t="s">
        <v>1163</v>
      </c>
      <c r="F7" s="2115">
        <f ca="1">IF(INDIRECT("'数据-取费表'!ah"&amp;$G$1)="",INDIRECT("'数据-取费表'!k"&amp;$G$1),INDIRECT("'数据-取费表'!ah"&amp;$G$1))</f>
        <v>23244.54</v>
      </c>
      <c r="G7" s="798"/>
      <c r="H7" s="2121"/>
      <c r="I7" s="2117"/>
      <c r="J7" s="2122"/>
      <c r="K7" s="2119"/>
      <c r="L7" s="2114" t="s">
        <v>1163</v>
      </c>
      <c r="M7" s="2115">
        <f ca="1">F7</f>
        <v>23244.54</v>
      </c>
    </row>
    <row r="8" ht="18" customHeight="1" spans="1:13">
      <c r="A8" s="2121"/>
      <c r="B8" s="2117"/>
      <c r="C8" s="2122"/>
      <c r="D8" s="2119"/>
      <c r="E8" s="2114" t="s">
        <v>1164</v>
      </c>
      <c r="F8" s="2115">
        <f ca="1">INDIRECT("'数据-取费表'!ai"&amp;$G$1)</f>
        <v>365</v>
      </c>
      <c r="G8" s="798"/>
      <c r="H8" s="2121"/>
      <c r="I8" s="2117"/>
      <c r="J8" s="2122"/>
      <c r="K8" s="2119"/>
      <c r="L8" s="2114" t="s">
        <v>1164</v>
      </c>
      <c r="M8" s="2115">
        <f ca="1">INDIRECT("'数据-取费表'!ai"&amp;$G$1)</f>
        <v>365</v>
      </c>
    </row>
    <row r="9" ht="18" customHeight="1" spans="1:13">
      <c r="A9" s="2121"/>
      <c r="B9" s="2123"/>
      <c r="C9" s="2122"/>
      <c r="D9" s="2119"/>
      <c r="E9" s="2114" t="s">
        <v>1165</v>
      </c>
      <c r="F9" s="2124">
        <f ca="1">INDIRECT("'数据-取费表'!w"&amp;$G$1)</f>
        <v>0.1</v>
      </c>
      <c r="G9" s="798"/>
      <c r="H9" s="2121"/>
      <c r="I9" s="2123"/>
      <c r="J9" s="2122"/>
      <c r="K9" s="2119"/>
      <c r="L9" s="2127" t="s">
        <v>1165</v>
      </c>
      <c r="M9" s="2132">
        <f ca="1">INDIRECT("'数据-取费表'!ab"&amp;$G$1)</f>
        <v>0</v>
      </c>
    </row>
    <row r="10" ht="18" customHeight="1" spans="1:13">
      <c r="A10" s="2110" t="s">
        <v>901</v>
      </c>
      <c r="B10" s="2125" t="s">
        <v>1166</v>
      </c>
      <c r="C10" s="1046">
        <f ca="1">ROUND(IF(F10="押一",C6/12*F11,IF(F10="押二",C6/12*2*F11,IF(F10="押三",C6/12*3*F11,C11*F11))),0)</f>
        <v>1</v>
      </c>
      <c r="D10" s="2126" t="s">
        <v>1167</v>
      </c>
      <c r="E10" s="2127" t="s">
        <v>1168</v>
      </c>
      <c r="F10" s="2128" t="s">
        <v>1169</v>
      </c>
      <c r="G10" s="798"/>
      <c r="H10" s="2110" t="s">
        <v>901</v>
      </c>
      <c r="I10" s="2125" t="s">
        <v>1166</v>
      </c>
      <c r="J10" s="2188">
        <f ca="1">ROUND(IF(M10="押一",J6/12*M11,IF(M10="押二",J6/12*2*M11,IF(M10="押三",J6/12*3*M11,J11*M11))),0)</f>
        <v>0</v>
      </c>
      <c r="K10" s="2126" t="s">
        <v>1167</v>
      </c>
      <c r="L10" s="2127" t="s">
        <v>1168</v>
      </c>
      <c r="M10" s="2128"/>
    </row>
    <row r="11" ht="18" customHeight="1" spans="1:13">
      <c r="A11" s="2129"/>
      <c r="B11" s="2130" t="s">
        <v>1170</v>
      </c>
      <c r="C11" s="2131"/>
      <c r="D11" s="2368"/>
      <c r="E11" s="2127" t="s">
        <v>1171</v>
      </c>
      <c r="F11" s="2132">
        <f ca="1">'数据-取费表'!B39</f>
        <v>0.015</v>
      </c>
      <c r="G11" s="798"/>
      <c r="H11" s="2133"/>
      <c r="I11" s="2130" t="s">
        <v>1170</v>
      </c>
      <c r="J11" s="2131"/>
      <c r="K11" s="2263"/>
      <c r="L11" s="2127" t="s">
        <v>1171</v>
      </c>
      <c r="M11" s="2264">
        <f ca="1">'数据-取费表'!B39</f>
        <v>0.015</v>
      </c>
    </row>
    <row r="12" ht="18" customHeight="1" spans="1:13">
      <c r="A12" s="2134" t="s">
        <v>946</v>
      </c>
      <c r="B12" s="2135" t="s">
        <v>1172</v>
      </c>
      <c r="C12" s="2136"/>
      <c r="D12" s="2137"/>
      <c r="E12" s="2138"/>
      <c r="F12" s="2139"/>
      <c r="G12" s="798"/>
      <c r="H12" s="2134" t="s">
        <v>946</v>
      </c>
      <c r="I12" s="2135" t="s">
        <v>1172</v>
      </c>
      <c r="J12" s="2136"/>
      <c r="K12" s="2265"/>
      <c r="L12" s="2138"/>
      <c r="M12" s="2266"/>
    </row>
    <row r="13" ht="18" customHeight="1" spans="1:13">
      <c r="A13" s="2140">
        <v>2</v>
      </c>
      <c r="B13" s="2141" t="s">
        <v>1173</v>
      </c>
      <c r="C13" s="2142">
        <f ca="1">ROUND(C29*F13,0)</f>
        <v>6213</v>
      </c>
      <c r="D13" s="2143" t="s">
        <v>1174</v>
      </c>
      <c r="E13" s="2143" t="s">
        <v>1175</v>
      </c>
      <c r="F13" s="2144">
        <f ca="1">INDIRECT("'数据-取费表'!y"&amp;$G$1)</f>
        <v>0.6</v>
      </c>
      <c r="G13" s="798"/>
      <c r="H13" s="2140">
        <v>2</v>
      </c>
      <c r="I13" s="2141" t="s">
        <v>1173</v>
      </c>
      <c r="J13" s="2267">
        <f ca="1">ROUND(J14*J15,0)</f>
        <v>0</v>
      </c>
      <c r="K13" s="2166" t="s">
        <v>1174</v>
      </c>
      <c r="L13" s="2268"/>
      <c r="M13" s="2269"/>
    </row>
    <row r="14" ht="18" customHeight="1" spans="1:13">
      <c r="A14" s="2145" t="s">
        <v>920</v>
      </c>
      <c r="B14" s="2114" t="s">
        <v>1176</v>
      </c>
      <c r="C14" s="2146">
        <f ca="1">INDIRECT("'数据-取费表'!m"&amp;$G$1)+INDIRECT("'数据-取费表'!t"&amp;$G$1)</f>
        <v>7438</v>
      </c>
      <c r="D14" s="2147" t="s">
        <v>1177</v>
      </c>
      <c r="E14" s="2148"/>
      <c r="F14" s="2149"/>
      <c r="G14" s="798"/>
      <c r="H14" s="2145" t="s">
        <v>897</v>
      </c>
      <c r="I14" s="2114" t="s">
        <v>1178</v>
      </c>
      <c r="J14" s="1047">
        <f ca="1">C29</f>
        <v>10355</v>
      </c>
      <c r="K14" s="2270"/>
      <c r="L14" s="2271"/>
      <c r="M14" s="2272"/>
    </row>
    <row r="15" s="2081" customFormat="1" ht="18" customHeight="1" spans="1:37">
      <c r="A15" s="2145" t="s">
        <v>924</v>
      </c>
      <c r="B15" s="2114" t="s">
        <v>1106</v>
      </c>
      <c r="C15" s="1047">
        <f ca="1">ROUND(C14*F15,0)</f>
        <v>223</v>
      </c>
      <c r="D15" s="2150" t="s">
        <v>1179</v>
      </c>
      <c r="E15" s="2150" t="s">
        <v>1180</v>
      </c>
      <c r="F15" s="2151">
        <f>'数据-取费表'!B33</f>
        <v>0.03</v>
      </c>
      <c r="G15" s="2152"/>
      <c r="H15" s="2153" t="s">
        <v>901</v>
      </c>
      <c r="I15" s="2138" t="s">
        <v>1175</v>
      </c>
      <c r="J15" s="2266">
        <f ca="1">INDIRECT("'数据-取费表'!ad"&amp;$G$1)</f>
        <v>0</v>
      </c>
      <c r="K15" s="2273"/>
      <c r="L15" s="2274"/>
      <c r="M15" s="2275"/>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ht="18" customHeight="1" spans="1:13">
      <c r="A16" s="2145" t="s">
        <v>927</v>
      </c>
      <c r="B16" s="2114" t="s">
        <v>1109</v>
      </c>
      <c r="C16" s="1047">
        <f ca="1">ROUND(INDIRECT("'数据-取费表'!m"&amp;$G$1)*F16,0)</f>
        <v>0</v>
      </c>
      <c r="D16" s="2114" t="s">
        <v>1179</v>
      </c>
      <c r="E16" s="2114" t="s">
        <v>1180</v>
      </c>
      <c r="F16" s="2154">
        <f ca="1">IF(INDIRECT("'数据-取费表'!c"&amp;$G$1)="住宅",'数据-取费表'!B34,0)</f>
        <v>0</v>
      </c>
      <c r="G16" s="798"/>
      <c r="H16" s="2140" t="s">
        <v>1181</v>
      </c>
      <c r="I16" s="2141" t="s">
        <v>1182</v>
      </c>
      <c r="J16" s="2142">
        <f ca="1">ROUND(J17+J22+J23+J24,0)</f>
        <v>32</v>
      </c>
      <c r="K16" s="2166" t="s">
        <v>1183</v>
      </c>
      <c r="L16" s="2167"/>
      <c r="M16" s="2109"/>
    </row>
    <row r="17" s="2081" customFormat="1" ht="18" customHeight="1" spans="1:37">
      <c r="A17" s="2145" t="s">
        <v>1184</v>
      </c>
      <c r="B17" s="2114" t="s">
        <v>1185</v>
      </c>
      <c r="C17" s="1047">
        <f ca="1">ROUND(F17*(F43+INDIRECT("'数据-取费表'!S"&amp;$G$1))/10000,0)</f>
        <v>465</v>
      </c>
      <c r="D17" s="2114" t="s">
        <v>1186</v>
      </c>
      <c r="E17" s="2114" t="s">
        <v>1187</v>
      </c>
      <c r="F17" s="2155">
        <f>'数据-取费表'!B35</f>
        <v>200</v>
      </c>
      <c r="G17" s="2152"/>
      <c r="H17" s="2145" t="s">
        <v>897</v>
      </c>
      <c r="I17" s="2114" t="s">
        <v>1188</v>
      </c>
      <c r="J17" s="2169">
        <f ca="1">ROUND(IF(AND(项目基本情况!B11="自然人",项目基本情况!B10="北京市"),J6*M17/(1+'数据-取费表'!C42),J18+J19+J20),2)</f>
        <v>0.57</v>
      </c>
      <c r="K17" s="2147" t="s">
        <v>1189</v>
      </c>
      <c r="L17" s="2170" t="s">
        <v>1190</v>
      </c>
      <c r="M17" s="2171" t="str">
        <f ca="1">IF(项目基本情况!B11="企业","",IF('数据-取费表'!B10="住宅",IF(M6*M7*M8/12/(1+'数据-取费表'!F30)&gt;100000,4%,2.5%),IF(M6*M7*M8/12/(1+'数据-取费表'!F30)&gt;100000,12%,7%)))</f>
        <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2081" customFormat="1" ht="18" customHeight="1" spans="1:37">
      <c r="A18" s="2145" t="s">
        <v>1191</v>
      </c>
      <c r="B18" s="2114" t="s">
        <v>1115</v>
      </c>
      <c r="C18" s="1047">
        <f ca="1">ROUND(C14*F18,0)</f>
        <v>149</v>
      </c>
      <c r="D18" s="2114" t="s">
        <v>1179</v>
      </c>
      <c r="E18" s="2114" t="s">
        <v>1180</v>
      </c>
      <c r="F18" s="2154">
        <f>'数据-取费表'!B36</f>
        <v>0.02</v>
      </c>
      <c r="G18" s="2152"/>
      <c r="H18" s="2145" t="s">
        <v>920</v>
      </c>
      <c r="I18" s="2114" t="s">
        <v>1192</v>
      </c>
      <c r="J18" s="1047">
        <f ca="1">ROUND(J6*M18/(1+'数据-取费表'!C42),2)</f>
        <v>0</v>
      </c>
      <c r="K18" s="2170" t="s">
        <v>1193</v>
      </c>
      <c r="L18" s="2114" t="s">
        <v>1180</v>
      </c>
      <c r="M18" s="2154">
        <f>'数据-取费表'!B41</f>
        <v>0.056</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ht="18" customHeight="1" spans="1:13">
      <c r="A19" s="2145" t="s">
        <v>897</v>
      </c>
      <c r="B19" s="2114" t="s">
        <v>1194</v>
      </c>
      <c r="C19" s="1047">
        <f ca="1">SUM(C14:C18)</f>
        <v>8275</v>
      </c>
      <c r="D19" s="2156" t="s">
        <v>1195</v>
      </c>
      <c r="E19" s="1049"/>
      <c r="F19" s="2155"/>
      <c r="G19" s="798"/>
      <c r="H19" s="2145" t="s">
        <v>924</v>
      </c>
      <c r="I19" s="2114" t="s">
        <v>1196</v>
      </c>
      <c r="J19" s="1047">
        <f ca="1">IF(K19="按租金收入计税",ROUND(J6*M19/(1+'数据-取费表'!C42),2),ROUND(C29*M19*0.7,2))</f>
        <v>0</v>
      </c>
      <c r="K19" s="2173" t="s">
        <v>1197</v>
      </c>
      <c r="L19" s="2114" t="s">
        <v>1180</v>
      </c>
      <c r="M19" s="2154">
        <f>IF(K19="按租金收入计税",'数据-取费表'!B51,'数据-取费表'!B50)</f>
        <v>0.12</v>
      </c>
    </row>
    <row r="20" s="2081" customFormat="1" ht="18" customHeight="1" spans="1:37">
      <c r="A20" s="2145" t="s">
        <v>901</v>
      </c>
      <c r="B20" s="2114" t="s">
        <v>1198</v>
      </c>
      <c r="C20" s="1047">
        <f ca="1">ROUND(C19*F20,0)</f>
        <v>166</v>
      </c>
      <c r="D20" s="2157" t="s">
        <v>1199</v>
      </c>
      <c r="E20" s="2114" t="s">
        <v>1180</v>
      </c>
      <c r="F20" s="2154">
        <f>'数据-取费表'!B37</f>
        <v>0.02</v>
      </c>
      <c r="G20" s="2152"/>
      <c r="H20" s="2145" t="s">
        <v>927</v>
      </c>
      <c r="I20" s="2113" t="s">
        <v>1200</v>
      </c>
      <c r="J20" s="2175">
        <f ca="1">ROUND(M20*M21/10000,2)</f>
        <v>0.57</v>
      </c>
      <c r="K20" s="2176" t="s">
        <v>1201</v>
      </c>
      <c r="L20" s="2114" t="s">
        <v>1202</v>
      </c>
      <c r="M20" s="2160">
        <f>'数据-取费表'!B52</f>
        <v>1.5</v>
      </c>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row>
    <row r="21" s="2081" customFormat="1" ht="18" customHeight="1" spans="1:37">
      <c r="A21" s="2145" t="s">
        <v>946</v>
      </c>
      <c r="B21" s="2114" t="s">
        <v>1203</v>
      </c>
      <c r="C21" s="1047" t="s">
        <v>124</v>
      </c>
      <c r="D21" s="2157" t="s">
        <v>1204</v>
      </c>
      <c r="E21" s="2114" t="s">
        <v>1205</v>
      </c>
      <c r="F21" s="2154">
        <f>'数据-取费表'!B38</f>
        <v>0.02</v>
      </c>
      <c r="G21" s="2152"/>
      <c r="H21" s="2158"/>
      <c r="I21" s="2276"/>
      <c r="J21" s="2179"/>
      <c r="K21" s="2180"/>
      <c r="L21" s="2114" t="s">
        <v>1206</v>
      </c>
      <c r="M21" s="2115">
        <f ca="1">INDIRECT("'数据-取费表'!r"&amp;$G$1)</f>
        <v>3800.1</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ht="18" customHeight="1" spans="1:13">
      <c r="A22" s="2145" t="s">
        <v>949</v>
      </c>
      <c r="B22" s="2114" t="s">
        <v>1207</v>
      </c>
      <c r="C22" s="1047"/>
      <c r="D22" s="2156" t="str">
        <f>IF(F23&lt;=1,"单利计息。","复利计息。")&amp;"建造成本、管理费用、销售费用产生的利息。"</f>
        <v>复利计息。建造成本、管理费用、销售费用产生的利息。</v>
      </c>
      <c r="E22" s="1049"/>
      <c r="F22" s="2155"/>
      <c r="G22" s="798"/>
      <c r="H22" s="2145" t="s">
        <v>901</v>
      </c>
      <c r="I22" s="2114" t="s">
        <v>1208</v>
      </c>
      <c r="J22" s="1047">
        <f ca="1">ROUND(J14*M22,2)</f>
        <v>31.07</v>
      </c>
      <c r="K22" s="2170" t="s">
        <v>1209</v>
      </c>
      <c r="L22" s="2114" t="s">
        <v>1180</v>
      </c>
      <c r="M22" s="2182">
        <f ca="1">INDIRECT("'数据-取费表'!Ak"&amp;$G$1)</f>
        <v>0.003</v>
      </c>
    </row>
    <row r="23" s="2081" customFormat="1" ht="18" customHeight="1" spans="1:37">
      <c r="A23" s="2145" t="s">
        <v>920</v>
      </c>
      <c r="B23" s="2114" t="s">
        <v>1210</v>
      </c>
      <c r="C23" s="1047">
        <f ca="1">IF('数据-取费表'!B22&lt;=1,ROUND(C19*F24*F23/2,0)+ROUND(C20*F24*F23/2,0),ROUND(C19*(POWER((1+F24),F23/2)-1),0)+ROUND(C20*(POWER((1+F24),F23/2)-1),0))</f>
        <v>283</v>
      </c>
      <c r="D23" s="2159" t="str">
        <f>IF(F23&lt;=1,"(建造成本+管理费用)×利率×(建设周期÷2)","(建造成本+管理费用)×((1+利率)^(建设周期÷2)-1)")</f>
        <v>(建造成本+管理费用)×((1+利率)^(建设周期÷2)-1)</v>
      </c>
      <c r="E23" s="2114" t="s">
        <v>1211</v>
      </c>
      <c r="F23" s="2160">
        <f>'数据-取费表'!B20</f>
        <v>2</v>
      </c>
      <c r="G23" s="2152"/>
      <c r="H23" s="2145" t="s">
        <v>946</v>
      </c>
      <c r="I23" s="2114" t="s">
        <v>1212</v>
      </c>
      <c r="J23" s="1047">
        <f ca="1">ROUND(J13*M23,2)</f>
        <v>0</v>
      </c>
      <c r="K23" s="2170" t="s">
        <v>1213</v>
      </c>
      <c r="L23" s="2114" t="s">
        <v>1180</v>
      </c>
      <c r="M23" s="2183">
        <f ca="1">INDIRECT("'数据-取费表'!Al"&amp;$G$1)</f>
        <v>0.001</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2081" customFormat="1" ht="18" customHeight="1" spans="1:37">
      <c r="A24" s="2145" t="s">
        <v>924</v>
      </c>
      <c r="B24" s="2114" t="s">
        <v>1214</v>
      </c>
      <c r="C24" s="1047">
        <f ca="1">ROUND(IF('数据-取费表'!B22&lt;=1,F21*F24*F23/2,F21*(POWER((1+F24),F23/2)-1)),4)</f>
        <v>0.0007</v>
      </c>
      <c r="D24" s="2159" t="str">
        <f>IF(F23&lt;=1,"销售费用×利率×(建设周期÷2)","销售费用×((1+利率)^(建设周期÷2)-1)")</f>
        <v>销售费用×((1+利率)^(建设周期÷2)-1)</v>
      </c>
      <c r="E24" s="2114" t="s">
        <v>1215</v>
      </c>
      <c r="F24" s="2161">
        <f ca="1">'数据-取费表'!B40</f>
        <v>0.0335</v>
      </c>
      <c r="G24" s="2152"/>
      <c r="H24" s="2153" t="s">
        <v>949</v>
      </c>
      <c r="I24" s="2138" t="s">
        <v>1198</v>
      </c>
      <c r="J24" s="2162">
        <f ca="1">ROUND(J5*M24,2)</f>
        <v>0</v>
      </c>
      <c r="K24" s="2163" t="s">
        <v>1216</v>
      </c>
      <c r="L24" s="2138" t="s">
        <v>1180</v>
      </c>
      <c r="M24" s="2139">
        <f ca="1">INDIRECT("'数据-取费表'!Am"&amp;$G$1)</f>
        <v>0.005</v>
      </c>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row>
    <row r="25" ht="24" customHeight="1" spans="1:13">
      <c r="A25" s="2145" t="s">
        <v>953</v>
      </c>
      <c r="B25" s="2114" t="s">
        <v>1217</v>
      </c>
      <c r="C25" s="1047"/>
      <c r="D25" s="2156" t="s">
        <v>1218</v>
      </c>
      <c r="E25" s="1049"/>
      <c r="F25" s="2155"/>
      <c r="G25" s="798"/>
      <c r="H25" s="2140" t="s">
        <v>1219</v>
      </c>
      <c r="I25" s="2184" t="s">
        <v>1220</v>
      </c>
      <c r="J25" s="2142">
        <f ca="1">J5-J16</f>
        <v>-32</v>
      </c>
      <c r="K25" s="2185" t="s">
        <v>1221</v>
      </c>
      <c r="L25" s="2186"/>
      <c r="M25" s="2187"/>
    </row>
    <row r="26" spans="1:13">
      <c r="A26" s="2145" t="s">
        <v>920</v>
      </c>
      <c r="B26" s="2114" t="s">
        <v>1222</v>
      </c>
      <c r="C26" s="1047">
        <f ca="1">ROUND((C19+C20)*F26,0)</f>
        <v>844</v>
      </c>
      <c r="D26" s="2157" t="s">
        <v>1223</v>
      </c>
      <c r="E26" s="2127" t="s">
        <v>1224</v>
      </c>
      <c r="F26" s="2124">
        <f ca="1">INDIRECT("'数据-取费表'!q"&amp;$G$1)</f>
        <v>0.1</v>
      </c>
      <c r="G26" s="798"/>
      <c r="H26" s="2104" t="s">
        <v>1225</v>
      </c>
      <c r="I26" s="2105" t="s">
        <v>1226</v>
      </c>
      <c r="J26" s="2188">
        <f ca="1">IF(J5&lt;&gt;0,ROUND(J25*(1-((1+M28)/(1+M26))^M27)/(M26-M28),0),0)</f>
        <v>0</v>
      </c>
      <c r="K26" s="2176" t="s">
        <v>1227</v>
      </c>
      <c r="L26" s="2114" t="s">
        <v>1228</v>
      </c>
      <c r="M26" s="2124">
        <f ca="1">INDIRECT("'数据-取费表'!I"&amp;$G$1)</f>
        <v>0.055</v>
      </c>
    </row>
    <row r="27" ht="18" customHeight="1" spans="1:13">
      <c r="A27" s="2145" t="s">
        <v>924</v>
      </c>
      <c r="B27" s="2114" t="s">
        <v>1229</v>
      </c>
      <c r="C27" s="1047">
        <f ca="1">ROUND(F21*F26,4)</f>
        <v>0.002</v>
      </c>
      <c r="D27" s="2157" t="s">
        <v>1230</v>
      </c>
      <c r="E27" s="2150"/>
      <c r="F27" s="2151"/>
      <c r="G27" s="798"/>
      <c r="H27" s="2121"/>
      <c r="I27" s="2190"/>
      <c r="J27" s="2122"/>
      <c r="K27" s="2191" t="s">
        <v>1231</v>
      </c>
      <c r="L27" s="2114" t="s">
        <v>1232</v>
      </c>
      <c r="M27" s="2192">
        <f ca="1">INDIRECT("'数据-取费表'!ag"&amp;$G$1)</f>
        <v>0</v>
      </c>
    </row>
    <row r="28" s="2081" customFormat="1" ht="18" customHeight="1" spans="1:37">
      <c r="A28" s="2145" t="s">
        <v>954</v>
      </c>
      <c r="B28" s="2114" t="s">
        <v>1233</v>
      </c>
      <c r="C28" s="1047">
        <f>ROUND(F28/(1+'数据-取费表'!C42),4)</f>
        <v>0.0533</v>
      </c>
      <c r="D28" s="2157" t="s">
        <v>1234</v>
      </c>
      <c r="E28" s="2114" t="s">
        <v>1180</v>
      </c>
      <c r="F28" s="2154">
        <f>'数据-取费表'!B41</f>
        <v>0.056</v>
      </c>
      <c r="G28" s="2152"/>
      <c r="H28" s="2129"/>
      <c r="I28" s="2194"/>
      <c r="J28" s="2142"/>
      <c r="K28" s="2180"/>
      <c r="L28" s="2114" t="s">
        <v>1235</v>
      </c>
      <c r="M28" s="2124">
        <f ca="1">INDIRECT("'数据-取费表'!aa"&amp;$G$1)</f>
        <v>0</v>
      </c>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row>
    <row r="29" s="2081" customFormat="1" ht="18" customHeight="1" spans="1:37">
      <c r="A29" s="2153" t="s">
        <v>1140</v>
      </c>
      <c r="B29" s="2138" t="s">
        <v>1236</v>
      </c>
      <c r="C29" s="2162">
        <f ca="1">ROUND((C19+C20+C23+C26)/(1-F21-C24-C27-C28),0)</f>
        <v>10355</v>
      </c>
      <c r="D29" s="2163"/>
      <c r="E29" s="2138"/>
      <c r="F29" s="2164"/>
      <c r="G29" s="2152"/>
      <c r="H29" s="2165" t="s">
        <v>1237</v>
      </c>
      <c r="I29" s="2195" t="s">
        <v>1238</v>
      </c>
      <c r="J29" s="2196">
        <f ca="1">ROUND(J26/(1+F40)^F41,0)</f>
        <v>0</v>
      </c>
      <c r="K29" s="2197" t="s">
        <v>1239</v>
      </c>
      <c r="L29" s="2198"/>
      <c r="M29" s="2199">
        <f ca="1">INDIRECT("'数据-取费表'!k"&amp;$G$1)</f>
        <v>23244.54</v>
      </c>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row>
    <row r="30" ht="18" customHeight="1" spans="1:13">
      <c r="A30" s="2140" t="s">
        <v>1181</v>
      </c>
      <c r="B30" s="2141" t="s">
        <v>1182</v>
      </c>
      <c r="C30" s="2142">
        <f ca="1">ROUND(C31+C36+C37+C38,0)</f>
        <v>196</v>
      </c>
      <c r="D30" s="2166" t="s">
        <v>1183</v>
      </c>
      <c r="E30" s="2167"/>
      <c r="F30" s="2109"/>
      <c r="G30" s="798"/>
      <c r="H30" s="2168"/>
      <c r="I30" s="2277"/>
      <c r="J30" s="2278"/>
      <c r="K30" s="2279"/>
      <c r="L30" s="2280"/>
      <c r="M30" s="2281"/>
    </row>
    <row r="31" ht="18" customHeight="1" spans="1:13">
      <c r="A31" s="2145" t="s">
        <v>897</v>
      </c>
      <c r="B31" s="2114" t="s">
        <v>1188</v>
      </c>
      <c r="C31" s="2169">
        <f ca="1">ROUND(IF(AND(项目基本情况!B11="自然人",项目基本情况!B10="北京市"),C6*F31/(1+'数据-取费表'!C42),C32+C33+C34),2)</f>
        <v>154.11</v>
      </c>
      <c r="D31" s="2147" t="s">
        <v>1189</v>
      </c>
      <c r="E31" s="2170" t="s">
        <v>1190</v>
      </c>
      <c r="F31" s="2171" t="str">
        <f ca="1">IF(项目基本情况!B11="企业","——",IF(M47="住宅",IF(F6*F7*F8/12/(1+'数据-取费表'!F30)&gt;100000,4%,2.5%),IF(F6*F7*F8/12/(1+'数据-取费表'!F30)&gt;100000,12%,7%)))</f>
        <v>——</v>
      </c>
      <c r="G31" s="798"/>
      <c r="H31" s="2172" t="s">
        <v>1240</v>
      </c>
      <c r="I31" s="2277"/>
      <c r="J31" s="2278"/>
      <c r="K31" s="2279"/>
      <c r="L31" s="2280"/>
      <c r="M31" s="2281"/>
    </row>
    <row r="32" ht="18" customHeight="1" spans="1:13">
      <c r="A32" s="2145" t="s">
        <v>920</v>
      </c>
      <c r="B32" s="2114" t="s">
        <v>1192</v>
      </c>
      <c r="C32" s="1047">
        <f ca="1">IF(项目基本情况!B11="自然人","——",ROUND(C6*F32/(1+'数据-取费表'!C42),2))</f>
        <v>48.85</v>
      </c>
      <c r="D32" s="2170" t="s">
        <v>1193</v>
      </c>
      <c r="E32" s="2114" t="s">
        <v>1180</v>
      </c>
      <c r="F32" s="2161">
        <f>'数据-取费表'!B41</f>
        <v>0.056</v>
      </c>
      <c r="G32" s="798"/>
      <c r="H32" s="2168"/>
      <c r="I32" s="2277"/>
      <c r="J32" s="2278"/>
      <c r="K32" s="2279"/>
      <c r="L32" s="2280"/>
      <c r="M32" s="2281"/>
    </row>
    <row r="33" ht="18" customHeight="1" spans="1:13">
      <c r="A33" s="2145" t="s">
        <v>924</v>
      </c>
      <c r="B33" s="2114" t="s">
        <v>1196</v>
      </c>
      <c r="C33" s="1047">
        <f ca="1">IF(项目基本情况!B11="自然人","——",IF(D33="按租金收入计税",ROUND(C6*F33/(1+'数据-取费表'!C42),2),IF(D33="按房产原值计税",ROUND(C29*F33*0.7,2),INDIRECT("'数据-取费表'!Aj"&amp;$G$1))))</f>
        <v>104.69</v>
      </c>
      <c r="D33" s="2173" t="s">
        <v>1197</v>
      </c>
      <c r="E33" s="2114" t="s">
        <v>1180</v>
      </c>
      <c r="F33" s="2154">
        <f>IF(D33="按票据","——",IF(D33="按租金收入计税",'数据-取费表'!B51,'数据-取费表'!B50))</f>
        <v>0.12</v>
      </c>
      <c r="G33" s="798"/>
      <c r="H33" s="2174"/>
      <c r="I33" s="2277"/>
      <c r="J33" s="2278"/>
      <c r="K33" s="2282"/>
      <c r="L33" s="2174"/>
      <c r="M33" s="2174"/>
    </row>
    <row r="34" ht="18" customHeight="1" spans="1:13">
      <c r="A34" s="2110" t="s">
        <v>927</v>
      </c>
      <c r="B34" s="2113" t="s">
        <v>1200</v>
      </c>
      <c r="C34" s="2175">
        <f ca="1">IF(项目基本情况!B11="自然人","——",ROUND(F34*F35/10000,2))</f>
        <v>0.57</v>
      </c>
      <c r="D34" s="2176" t="s">
        <v>1201</v>
      </c>
      <c r="E34" s="2114" t="s">
        <v>1202</v>
      </c>
      <c r="F34" s="2160">
        <f>'数据-取费表'!B52</f>
        <v>1.5</v>
      </c>
      <c r="G34" s="798"/>
      <c r="H34" s="2168"/>
      <c r="I34" s="2277"/>
      <c r="J34" s="2278"/>
      <c r="K34" s="2283"/>
      <c r="L34" s="2284"/>
      <c r="M34" s="2284"/>
    </row>
    <row r="35" ht="18" customHeight="1" spans="1:13">
      <c r="A35" s="2177"/>
      <c r="B35" s="2178"/>
      <c r="C35" s="2179"/>
      <c r="D35" s="2180"/>
      <c r="E35" s="2114" t="s">
        <v>1206</v>
      </c>
      <c r="F35" s="2115">
        <f ca="1">INDIRECT("'数据-取费表'!r"&amp;$G$1)</f>
        <v>3800.1</v>
      </c>
      <c r="G35" s="798"/>
      <c r="H35" s="2168"/>
      <c r="I35" s="2277"/>
      <c r="J35" s="2278"/>
      <c r="K35" s="2282"/>
      <c r="L35" s="2174"/>
      <c r="M35" s="2174"/>
    </row>
    <row r="36" ht="18" customHeight="1" spans="1:13">
      <c r="A36" s="2181" t="s">
        <v>901</v>
      </c>
      <c r="B36" s="2114" t="s">
        <v>1208</v>
      </c>
      <c r="C36" s="1047">
        <f ca="1">ROUND(C29*F36,2)</f>
        <v>31.07</v>
      </c>
      <c r="D36" s="2170" t="s">
        <v>1241</v>
      </c>
      <c r="E36" s="2114" t="s">
        <v>1180</v>
      </c>
      <c r="F36" s="2182">
        <f ca="1">INDIRECT("'数据-取费表'!Ak"&amp;$G$1)</f>
        <v>0.003</v>
      </c>
      <c r="G36" s="798"/>
      <c r="H36" s="2174"/>
      <c r="I36" s="2277"/>
      <c r="J36" s="2278"/>
      <c r="K36" s="2285"/>
      <c r="L36" s="2174"/>
      <c r="M36" s="2174"/>
    </row>
    <row r="37" ht="18" customHeight="1" spans="1:13">
      <c r="A37" s="2145" t="s">
        <v>946</v>
      </c>
      <c r="B37" s="2114" t="s">
        <v>1212</v>
      </c>
      <c r="C37" s="1047">
        <f ca="1">ROUND(C13*F37,2)</f>
        <v>6.21</v>
      </c>
      <c r="D37" s="2170" t="s">
        <v>1213</v>
      </c>
      <c r="E37" s="2114" t="s">
        <v>1180</v>
      </c>
      <c r="F37" s="2183">
        <f ca="1">INDIRECT("'数据-取费表'!Al"&amp;$G$1)</f>
        <v>0.001</v>
      </c>
      <c r="G37" s="798"/>
      <c r="H37" s="2174"/>
      <c r="I37" s="2277"/>
      <c r="J37" s="2278"/>
      <c r="K37" s="2285"/>
      <c r="L37" s="2174"/>
      <c r="M37" s="2174"/>
    </row>
    <row r="38" ht="18" customHeight="1" spans="1:13">
      <c r="A38" s="2153" t="s">
        <v>949</v>
      </c>
      <c r="B38" s="2138" t="s">
        <v>1198</v>
      </c>
      <c r="C38" s="2162">
        <f ca="1">ROUND(C5*F38,2)</f>
        <v>4.59</v>
      </c>
      <c r="D38" s="2163" t="s">
        <v>1216</v>
      </c>
      <c r="E38" s="2138" t="s">
        <v>1180</v>
      </c>
      <c r="F38" s="2139">
        <f ca="1">INDIRECT("'数据-取费表'!Am"&amp;$G$1)</f>
        <v>0.005</v>
      </c>
      <c r="G38" s="798"/>
      <c r="H38" s="2174"/>
      <c r="I38" s="2277"/>
      <c r="J38" s="2278"/>
      <c r="K38" s="2286"/>
      <c r="L38" s="2174"/>
      <c r="M38" s="2174"/>
    </row>
    <row r="39" ht="24.6" customHeight="1" spans="1:13">
      <c r="A39" s="2140" t="s">
        <v>1219</v>
      </c>
      <c r="B39" s="2184" t="s">
        <v>1220</v>
      </c>
      <c r="C39" s="2142">
        <f ca="1">C5-C30</f>
        <v>721</v>
      </c>
      <c r="D39" s="2185" t="s">
        <v>1221</v>
      </c>
      <c r="E39" s="2186"/>
      <c r="F39" s="2187"/>
      <c r="G39" s="798"/>
      <c r="H39" s="2174"/>
      <c r="I39" s="2277"/>
      <c r="J39" s="2278"/>
      <c r="K39" s="2286"/>
      <c r="L39" s="2174"/>
      <c r="M39" s="2174"/>
    </row>
    <row r="40" ht="18" customHeight="1" spans="1:13">
      <c r="A40" s="2104" t="s">
        <v>1225</v>
      </c>
      <c r="B40" s="2105" t="s">
        <v>1242</v>
      </c>
      <c r="C40" s="2188">
        <f ca="1">ROUND(C39*(1-((1+F42)/(1+F40))^F41)/(F40-F42),0)</f>
        <v>13660</v>
      </c>
      <c r="D40" s="2176" t="s">
        <v>1227</v>
      </c>
      <c r="E40" s="2114" t="s">
        <v>1228</v>
      </c>
      <c r="F40" s="2124">
        <f ca="1">INDIRECT("'数据-取费表'!I"&amp;$G$1)</f>
        <v>0.055</v>
      </c>
      <c r="G40" s="798"/>
      <c r="H40" s="2189"/>
      <c r="I40" s="2277"/>
      <c r="J40" s="2278"/>
      <c r="K40" s="2286"/>
      <c r="L40" s="2189"/>
      <c r="M40" s="2189"/>
    </row>
    <row r="41" ht="18" customHeight="1" spans="1:13">
      <c r="A41" s="2121"/>
      <c r="B41" s="2190"/>
      <c r="C41" s="2122"/>
      <c r="D41" s="2191" t="s">
        <v>1231</v>
      </c>
      <c r="E41" s="2114" t="s">
        <v>1232</v>
      </c>
      <c r="F41" s="2192">
        <f ca="1">IF(INDIRECT("'数据-取费表'!af"&amp;$G$1)=0,INDIRECT("'数据-取费表'!ae"&amp;$G$1),INDIRECT("'数据-取费表'!af"&amp;$G$1))</f>
        <v>32.25</v>
      </c>
      <c r="G41" s="798"/>
      <c r="H41" s="2193"/>
      <c r="I41" s="2277"/>
      <c r="J41" s="2278"/>
      <c r="K41" s="2285"/>
      <c r="L41" s="2193"/>
      <c r="M41" s="2193"/>
    </row>
    <row r="42" ht="18" customHeight="1" spans="1:13">
      <c r="A42" s="2129"/>
      <c r="B42" s="2194"/>
      <c r="C42" s="2142"/>
      <c r="D42" s="2180"/>
      <c r="E42" s="2114" t="s">
        <v>1235</v>
      </c>
      <c r="F42" s="2124">
        <f ca="1">INDIRECT("'数据-取费表'!v"&amp;$G$1)</f>
        <v>0.02</v>
      </c>
      <c r="G42" s="798"/>
      <c r="H42" s="2193"/>
      <c r="I42" s="2277"/>
      <c r="J42" s="2278"/>
      <c r="K42" s="2285"/>
      <c r="L42" s="2193"/>
      <c r="M42" s="2193"/>
    </row>
    <row r="43" ht="18" customHeight="1" spans="1:13">
      <c r="A43" s="2165" t="s">
        <v>1237</v>
      </c>
      <c r="B43" s="2195" t="s">
        <v>1243</v>
      </c>
      <c r="C43" s="2196">
        <f ca="1">ROUND(C40*10000/F43,0)</f>
        <v>5877</v>
      </c>
      <c r="D43" s="2197" t="s">
        <v>1244</v>
      </c>
      <c r="E43" s="2198" t="s">
        <v>1245</v>
      </c>
      <c r="F43" s="2199">
        <f ca="1">INDIRECT("'数据-取费表'!k"&amp;$G$1)</f>
        <v>23244.54</v>
      </c>
      <c r="G43" s="798"/>
      <c r="H43" s="2193"/>
      <c r="I43" s="2193"/>
      <c r="J43" s="2193"/>
      <c r="K43" s="2285"/>
      <c r="L43" s="2193"/>
      <c r="M43" s="2193"/>
    </row>
    <row r="44" s="798" customFormat="1" ht="18" customHeight="1" spans="1:11">
      <c r="A44" s="2200"/>
      <c r="B44" s="2200"/>
      <c r="C44" s="2201"/>
      <c r="D44" s="2200"/>
      <c r="E44" s="2200"/>
      <c r="F44" s="2200"/>
      <c r="K44" s="2287"/>
    </row>
    <row r="45" s="798" customFormat="1" ht="18" customHeight="1" spans="1:18">
      <c r="A45" s="2200"/>
      <c r="B45" s="2200"/>
      <c r="C45" s="2201"/>
      <c r="D45" s="2200"/>
      <c r="E45" s="2200"/>
      <c r="F45" s="2200"/>
      <c r="J45" s="1081"/>
      <c r="O45" s="2374" t="s">
        <v>1246</v>
      </c>
      <c r="P45" s="2189"/>
      <c r="Q45" s="2189"/>
      <c r="R45" s="2189"/>
    </row>
    <row r="46" s="798" customFormat="1" ht="13.5" spans="1:18">
      <c r="A46" s="2205" t="s">
        <v>1247</v>
      </c>
      <c r="C46" s="2206">
        <f ca="1">C68-C40</f>
        <v>-14228</v>
      </c>
      <c r="D46" s="2207" t="str">
        <f>C2</f>
        <v>万元</v>
      </c>
      <c r="E46" s="2200"/>
      <c r="F46" s="2200"/>
      <c r="I46" s="2289" t="s">
        <v>1248</v>
      </c>
      <c r="J46" s="2290"/>
      <c r="K46" s="2291"/>
      <c r="L46" s="2292">
        <f ca="1">IF(M47="住宅",0,IF(L48&gt;J51,L60,J60))</f>
        <v>402</v>
      </c>
      <c r="O46" s="2293" t="s">
        <v>1249</v>
      </c>
      <c r="P46" s="2294" t="s">
        <v>1250</v>
      </c>
      <c r="Q46" s="2341" t="s">
        <v>1251</v>
      </c>
      <c r="R46" s="2341" t="s">
        <v>1252</v>
      </c>
    </row>
    <row r="47" s="798" customFormat="1" ht="13.5" spans="1:18">
      <c r="A47" s="2208" t="s">
        <v>1152</v>
      </c>
      <c r="B47" s="2209" t="s">
        <v>1153</v>
      </c>
      <c r="C47" s="2369" t="s">
        <v>1154</v>
      </c>
      <c r="D47" s="2209" t="s">
        <v>1155</v>
      </c>
      <c r="E47" s="2210" t="s">
        <v>1156</v>
      </c>
      <c r="F47" s="1040"/>
      <c r="G47" s="2211"/>
      <c r="I47" s="2295" t="s">
        <v>1253</v>
      </c>
      <c r="J47" s="2296" t="s">
        <v>1254</v>
      </c>
      <c r="K47" s="2297" t="s">
        <v>1255</v>
      </c>
      <c r="L47" s="2298">
        <f ca="1">INDIRECT("'数据-取费表'!d"&amp;$G$1)</f>
        <v>50</v>
      </c>
      <c r="M47" s="2299" t="str">
        <f>IF(ISNUMBER(FIND("住宅",C1)),"住宅","非住宅")</f>
        <v>非住宅</v>
      </c>
      <c r="O47" s="2300" t="s">
        <v>1003</v>
      </c>
      <c r="P47" s="2301" t="s">
        <v>1256</v>
      </c>
      <c r="Q47" s="2342">
        <f ca="1">C40+J29</f>
        <v>13660</v>
      </c>
      <c r="R47" s="2342" t="s">
        <v>1257</v>
      </c>
    </row>
    <row r="48" s="798" customFormat="1" ht="26.25" spans="1:18">
      <c r="A48" s="2212" t="s">
        <v>1258</v>
      </c>
      <c r="B48" s="2105" t="s">
        <v>1157</v>
      </c>
      <c r="C48" s="1048">
        <f ca="1">C49+C53+C55</f>
        <v>0</v>
      </c>
      <c r="D48" s="2213"/>
      <c r="E48" s="2214"/>
      <c r="F48" s="2215"/>
      <c r="G48" s="2211"/>
      <c r="H48" s="2216"/>
      <c r="I48" s="2302" t="s">
        <v>1259</v>
      </c>
      <c r="J48" s="2303" t="s">
        <v>1260</v>
      </c>
      <c r="K48" s="2304" t="s">
        <v>1261</v>
      </c>
      <c r="L48" s="2305">
        <f ca="1">INDIRECT("'数据-取费表'!f"&amp;$G$1)</f>
        <v>32.25</v>
      </c>
      <c r="O48" s="2300" t="s">
        <v>1007</v>
      </c>
      <c r="P48" s="2301" t="s">
        <v>1262</v>
      </c>
      <c r="Q48" s="2342">
        <f ca="1">J60</f>
        <v>402</v>
      </c>
      <c r="R48" s="2342" t="s">
        <v>1263</v>
      </c>
    </row>
    <row r="49" s="798" customFormat="1" ht="13.5" spans="1:18">
      <c r="A49" s="2217" t="s">
        <v>1264</v>
      </c>
      <c r="B49" s="2218" t="s">
        <v>1265</v>
      </c>
      <c r="C49" s="2219">
        <f ca="1">ROUND(F49*F51*F50*(1-F52)/10000,0)</f>
        <v>0</v>
      </c>
      <c r="D49" s="2220" t="s">
        <v>1162</v>
      </c>
      <c r="E49" s="2221" t="s">
        <v>1266</v>
      </c>
      <c r="F49" s="2222"/>
      <c r="G49" s="2223"/>
      <c r="H49" s="2216"/>
      <c r="I49" s="2302" t="s">
        <v>1267</v>
      </c>
      <c r="J49" s="2306">
        <v>2000</v>
      </c>
      <c r="K49" s="2304" t="s">
        <v>1268</v>
      </c>
      <c r="L49" s="2307"/>
      <c r="O49" s="2308" t="s">
        <v>1269</v>
      </c>
      <c r="P49" s="2301" t="s">
        <v>1270</v>
      </c>
      <c r="Q49" s="2342">
        <f ca="1">C29</f>
        <v>10355</v>
      </c>
      <c r="R49" s="2342" t="s">
        <v>1257</v>
      </c>
    </row>
    <row r="50" s="798" customFormat="1" ht="13.5" spans="1:18">
      <c r="A50" s="2224"/>
      <c r="B50" s="2225"/>
      <c r="C50" s="2370"/>
      <c r="D50" s="2227"/>
      <c r="E50" s="2228" t="s">
        <v>1163</v>
      </c>
      <c r="F50" s="2229">
        <f ca="1">F7</f>
        <v>23244.54</v>
      </c>
      <c r="H50" s="2216"/>
      <c r="I50" s="2302" t="s">
        <v>1271</v>
      </c>
      <c r="J50" s="2309">
        <f>SUMPRODUCT((I63:I65=J47)*(J62:L62=J48)*(J63:L65))</f>
        <v>60</v>
      </c>
      <c r="K50" s="2304" t="s">
        <v>1272</v>
      </c>
      <c r="L50" s="2307"/>
      <c r="M50" s="2310"/>
      <c r="O50" s="2308" t="s">
        <v>1273</v>
      </c>
      <c r="P50" s="2301" t="s">
        <v>1274</v>
      </c>
      <c r="Q50" s="2343">
        <f ca="1">J58</f>
        <v>0.4</v>
      </c>
      <c r="R50" s="2342"/>
    </row>
    <row r="51" s="798" customFormat="1" ht="13.5" spans="1:18">
      <c r="A51" s="2230"/>
      <c r="B51" s="2225"/>
      <c r="C51" s="2226"/>
      <c r="D51" s="2227"/>
      <c r="E51" s="2231" t="s">
        <v>1164</v>
      </c>
      <c r="F51" s="2115">
        <f ca="1">F8</f>
        <v>365</v>
      </c>
      <c r="I51" s="2311" t="s">
        <v>1275</v>
      </c>
      <c r="J51" s="2312">
        <f>IF(J49="",J50,J49+J50-YEAR('数据-取费表'!B2))</f>
        <v>36</v>
      </c>
      <c r="K51" s="2313" t="s">
        <v>1276</v>
      </c>
      <c r="L51" s="2314">
        <f ca="1">ROUND(-PV(INDIRECT("'数据-取费表'!h"&amp;$G$1),J51,(C39-C13*C76),0),0)</f>
        <v>4734</v>
      </c>
      <c r="M51" s="2315"/>
      <c r="O51" s="2308" t="s">
        <v>1277</v>
      </c>
      <c r="P51" s="2301" t="s">
        <v>1278</v>
      </c>
      <c r="Q51" s="2343">
        <f>J52</f>
        <v>0.075</v>
      </c>
      <c r="R51" s="2342"/>
    </row>
    <row r="52" s="798" customFormat="1" ht="13.5" spans="1:18">
      <c r="A52" s="2230"/>
      <c r="B52" s="2225"/>
      <c r="C52" s="2226"/>
      <c r="D52" s="2227"/>
      <c r="E52" s="2231" t="s">
        <v>1165</v>
      </c>
      <c r="F52" s="2232"/>
      <c r="I52" s="2316" t="s">
        <v>1279</v>
      </c>
      <c r="J52" s="2317">
        <f>'数据-取费表'!J6+0.005</f>
        <v>0.075</v>
      </c>
      <c r="K52" s="2316" t="s">
        <v>1280</v>
      </c>
      <c r="L52" s="2317"/>
      <c r="O52" s="2308" t="s">
        <v>1281</v>
      </c>
      <c r="P52" s="2301" t="s">
        <v>1282</v>
      </c>
      <c r="Q52" s="2342">
        <f ca="1">J53</f>
        <v>32.25</v>
      </c>
      <c r="R52" s="2342" t="s">
        <v>1283</v>
      </c>
    </row>
    <row r="53" s="798" customFormat="1" ht="24.75" spans="1:18">
      <c r="A53" s="2371" t="s">
        <v>1284</v>
      </c>
      <c r="B53" s="2372" t="s">
        <v>1166</v>
      </c>
      <c r="C53" s="1046">
        <f ca="1">ROUND(IF(F53="押一",C49/12*F11,IF(F53="押二",C49/12*2*F11,IF(F53="押三",C49/12*3*F11,C54*F11))),0)</f>
        <v>0</v>
      </c>
      <c r="D53" s="2126" t="s">
        <v>1167</v>
      </c>
      <c r="E53" s="2127" t="s">
        <v>1168</v>
      </c>
      <c r="F53" s="2128"/>
      <c r="I53" s="2318" t="s">
        <v>1285</v>
      </c>
      <c r="J53" s="2319">
        <f ca="1">IF(M47="住宅",IF(D1="——",MAX(J51,L48),MAX(J51,L48-'数据-取费表'!B24)),IF(D1="——",MIN(J51,L48),MIN(J51,L48-'数据-取费表'!B24)))</f>
        <v>32.25</v>
      </c>
      <c r="K53" s="2320" t="s">
        <v>1286</v>
      </c>
      <c r="L53" s="2321"/>
      <c r="O53" s="2300" t="s">
        <v>1108</v>
      </c>
      <c r="P53" s="2301" t="s">
        <v>1287</v>
      </c>
      <c r="Q53" s="2342">
        <f ca="1">Q47+Q48</f>
        <v>14062</v>
      </c>
      <c r="R53" s="2342" t="s">
        <v>1288</v>
      </c>
    </row>
    <row r="54" s="798" customFormat="1" ht="13.5" spans="1:18">
      <c r="A54" s="2373"/>
      <c r="B54" s="2130" t="s">
        <v>1170</v>
      </c>
      <c r="C54" s="2131"/>
      <c r="D54" s="2126"/>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3"/>
      <c r="K54" s="2323"/>
      <c r="L54" s="2323"/>
      <c r="M54" s="2223"/>
      <c r="O54" s="2288" t="s">
        <v>1289</v>
      </c>
      <c r="P54" s="2324"/>
      <c r="Q54" s="2324"/>
      <c r="R54" s="2324"/>
    </row>
    <row r="55" s="798" customFormat="1" ht="13.5" spans="1:18">
      <c r="A55" s="2134" t="s">
        <v>946</v>
      </c>
      <c r="B55" s="2135" t="s">
        <v>1172</v>
      </c>
      <c r="C55" s="2136"/>
      <c r="D55" s="2126"/>
      <c r="E55" s="2235"/>
      <c r="F55" s="2236"/>
      <c r="I55" s="2325" t="s">
        <v>1290</v>
      </c>
      <c r="J55" s="2326">
        <f ca="1">ROUND(IF(J47="钢混",J57/J50,1-(1-2%)*(J50-J57)/J50),3)</f>
        <v>0.063</v>
      </c>
      <c r="K55" s="2327" t="s">
        <v>1291</v>
      </c>
      <c r="L55" s="2328"/>
      <c r="O55" s="2293" t="s">
        <v>1249</v>
      </c>
      <c r="P55" s="2294" t="s">
        <v>1250</v>
      </c>
      <c r="Q55" s="2341" t="s">
        <v>1251</v>
      </c>
      <c r="R55" s="2341" t="s">
        <v>1252</v>
      </c>
    </row>
    <row r="56" s="798" customFormat="1" ht="25.5" spans="1:18">
      <c r="A56" s="2237">
        <v>2</v>
      </c>
      <c r="B56" s="2238" t="s">
        <v>1173</v>
      </c>
      <c r="C56" s="429">
        <f ca="1">C13</f>
        <v>6213</v>
      </c>
      <c r="D56" s="2239"/>
      <c r="E56" s="2240"/>
      <c r="F56" s="2236"/>
      <c r="I56" s="2329" t="s">
        <v>1292</v>
      </c>
      <c r="J56" s="2330" t="s">
        <v>1293</v>
      </c>
      <c r="K56" s="2302" t="s">
        <v>1294</v>
      </c>
      <c r="L56" s="2305" t="str">
        <f ca="1">IF(L48&lt;J51,"——",L48-J53)</f>
        <v>——</v>
      </c>
      <c r="O56" s="2300" t="s">
        <v>1003</v>
      </c>
      <c r="P56" s="2301" t="s">
        <v>1256</v>
      </c>
      <c r="Q56" s="2342">
        <f ca="1">C40+J29</f>
        <v>13660</v>
      </c>
      <c r="R56" s="2342" t="s">
        <v>1257</v>
      </c>
    </row>
    <row r="57" s="798" customFormat="1" ht="24.75" spans="1:18">
      <c r="A57" s="2241"/>
      <c r="B57" s="2242" t="s">
        <v>1236</v>
      </c>
      <c r="C57" s="439">
        <f ca="1">C29</f>
        <v>10355</v>
      </c>
      <c r="D57" s="2243"/>
      <c r="E57" s="2244"/>
      <c r="F57" s="2245"/>
      <c r="I57" s="2331" t="s">
        <v>1295</v>
      </c>
      <c r="J57" s="2332">
        <f ca="1">IF(OR(M47="住宅",J51&lt;L48,J56="是"),"——",J51-L48)</f>
        <v>3.75</v>
      </c>
      <c r="K57" s="2302" t="s">
        <v>1296</v>
      </c>
      <c r="L57" s="2305" t="str">
        <f ca="1">IF(L48&lt;J51,"——",IF(L55="比较法",L49,IF(L55="基准地价",L50,L51)))</f>
        <v>——</v>
      </c>
      <c r="O57" s="2300" t="s">
        <v>1007</v>
      </c>
      <c r="P57" s="2301" t="s">
        <v>1297</v>
      </c>
      <c r="Q57" s="2342">
        <f ca="1">L60</f>
        <v>0</v>
      </c>
      <c r="R57" s="2342" t="s">
        <v>1298</v>
      </c>
    </row>
    <row r="58" s="798" customFormat="1" ht="24.75" spans="1:18">
      <c r="A58" s="2246" t="s">
        <v>1181</v>
      </c>
      <c r="B58" s="2238" t="s">
        <v>1182</v>
      </c>
      <c r="C58" s="1046">
        <f ca="1">ROUND(C59+C64+C65+C66,0)</f>
        <v>38</v>
      </c>
      <c r="D58" s="2247" t="s">
        <v>1183</v>
      </c>
      <c r="E58" s="2248"/>
      <c r="F58" s="2215"/>
      <c r="I58" s="2331" t="s">
        <v>1299</v>
      </c>
      <c r="J58" s="2333">
        <f ca="1">IF(J55&lt;0.4,0.4,J55)</f>
        <v>0.4</v>
      </c>
      <c r="K58" s="2313" t="s">
        <v>1300</v>
      </c>
      <c r="L58" s="2305" t="e">
        <f ca="1">ROUND(POWER(1+L52,L47-L48)*(POWER(1+L52,L48)-1)/(POWER(1+L52,L47)-1),4)</f>
        <v>#DIV/0!</v>
      </c>
      <c r="O58" s="2308" t="s">
        <v>1269</v>
      </c>
      <c r="P58" s="2301" t="s">
        <v>1301</v>
      </c>
      <c r="Q58" s="2342">
        <f>IF(L55="比较法",L49,IF(L55="基准地价",L50,0))</f>
        <v>0</v>
      </c>
      <c r="R58" s="2342" t="s">
        <v>1257</v>
      </c>
    </row>
    <row r="59" s="798" customFormat="1" ht="24.75" spans="1:18">
      <c r="A59" s="2145" t="s">
        <v>897</v>
      </c>
      <c r="B59" s="2242" t="s">
        <v>1188</v>
      </c>
      <c r="C59" s="2169">
        <f ca="1">ROUND(IF(AND(项目基本情况!B11="自然人",项目基本情况!B10="北京市"),C49*F59/(1+'数据-取费表'!C42),C60+C61+C62),0)</f>
        <v>1</v>
      </c>
      <c r="D59" s="2249" t="s">
        <v>1189</v>
      </c>
      <c r="E59" s="2250" t="s">
        <v>1190</v>
      </c>
      <c r="F59" s="2171" t="str">
        <f ca="1">IF(项目基本情况!B11="企业","——",IF('数据-取费表'!B10="住宅",IF(F49*F50*F51/12/(1+'数据-取费表'!F30)&gt;100000,4%,2.5%),IF(F49*F50*F51/12/(1+'数据-取费表'!F30)&gt;100000,12%,7%)))</f>
        <v>——</v>
      </c>
      <c r="I59" s="2331" t="s">
        <v>1302</v>
      </c>
      <c r="J59" s="2332">
        <f ca="1">IF(OR(M47="住宅",J51&lt;L48,J56="是"),"——",ROUND(C29*J58,0))</f>
        <v>4142</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299" t="e">
        <f ca="1">ROUND(POWER(1+L52,L47-(J51+'数据-取费表'!B24))*(POWER(1+L52,(J51+'数据-取费表'!B24))-1)/(POWER(1+L52,L47)-1),4)</f>
        <v>#DIV/0!</v>
      </c>
      <c r="N59" s="2299" t="e">
        <f ca="1">ROUND(POWER(1+L52,L47-(J51+'数据-取费表'!B20))*(POWER(1+L52,(J51+'数据-取费表'!B20))-1)/(POWER(1+L52,L47)-1),4)</f>
        <v>#DIV/0!</v>
      </c>
      <c r="O59" s="2308" t="s">
        <v>1273</v>
      </c>
      <c r="P59" s="2301" t="s">
        <v>1303</v>
      </c>
      <c r="Q59" s="2343">
        <f>L52</f>
        <v>0</v>
      </c>
      <c r="R59" s="2342"/>
    </row>
    <row r="60" s="798" customFormat="1" ht="17.25" spans="1:18">
      <c r="A60" s="2145" t="s">
        <v>920</v>
      </c>
      <c r="B60" s="2242" t="s">
        <v>1192</v>
      </c>
      <c r="C60" s="1047">
        <f ca="1">IF(项目基本情况!B11="自然人","——",ROUND(C48*F60/(1+'数据-取费表'!C42),2))</f>
        <v>0</v>
      </c>
      <c r="D60" s="2250" t="s">
        <v>1193</v>
      </c>
      <c r="E60" s="2242" t="s">
        <v>1180</v>
      </c>
      <c r="F60" s="2161">
        <f t="shared" ref="F60:F66" si="0">F32</f>
        <v>0.056</v>
      </c>
      <c r="I60" s="2334" t="s">
        <v>1304</v>
      </c>
      <c r="J60" s="2335">
        <f ca="1">IF(OR(M47="住宅",J51&lt;L48,J56="是"),"0",ROUND(J59/(1+J52)^J53,0))</f>
        <v>402</v>
      </c>
      <c r="K60" s="2336" t="s">
        <v>1305</v>
      </c>
      <c r="L60" s="2335">
        <f ca="1">IF(OR(M47="住宅",L48&lt;J51),0,ROUND(L57*(L58/L59-1),0))</f>
        <v>0</v>
      </c>
      <c r="O60" s="2308" t="s">
        <v>1277</v>
      </c>
      <c r="P60" s="2301" t="s">
        <v>1306</v>
      </c>
      <c r="Q60" s="2342" t="e">
        <f ca="1">L58</f>
        <v>#DIV/0!</v>
      </c>
      <c r="R60" s="2342" t="s">
        <v>1307</v>
      </c>
    </row>
    <row r="61" s="798" customFormat="1" ht="13.5" spans="1:18">
      <c r="A61" s="2145" t="s">
        <v>924</v>
      </c>
      <c r="B61" s="2242" t="s">
        <v>1196</v>
      </c>
      <c r="C61" s="1047">
        <f ca="1">IF(项目基本情况!B11="自然人","——",IF(D61="按租金收入计税",ROUND(C49*F61/(1+'数据-取费表'!C42),2),IF(D61="按房产原值计税",ROUND(C57*F61*0.7,2),INDIRECT("'数据-取费表'!Aj"&amp;$G$1))))</f>
        <v>0</v>
      </c>
      <c r="D61" s="2173" t="s">
        <v>1197</v>
      </c>
      <c r="E61" s="2242" t="s">
        <v>1180</v>
      </c>
      <c r="F61" s="2154">
        <f t="shared" si="0"/>
        <v>0.12</v>
      </c>
      <c r="I61" s="2189"/>
      <c r="J61" s="2189"/>
      <c r="K61" s="2189"/>
      <c r="L61" s="2189"/>
      <c r="O61" s="2308" t="s">
        <v>1281</v>
      </c>
      <c r="P61" s="2301" t="str">
        <f>K59</f>
        <v>建筑物剩余耐用年限下的土地年期修正系数Kn</v>
      </c>
      <c r="Q61" s="2342" t="e">
        <f ca="1">L59</f>
        <v>#DIV/0!</v>
      </c>
      <c r="R61" s="2342" t="s">
        <v>1308</v>
      </c>
    </row>
    <row r="62" s="798" customFormat="1" ht="13.5" spans="1:18">
      <c r="A62" s="2145" t="s">
        <v>927</v>
      </c>
      <c r="B62" s="2251" t="s">
        <v>1200</v>
      </c>
      <c r="C62" s="2175">
        <f ca="1">IF(项目基本情况!B11="自然人","——",ROUND(F62*F63/10000,2))</f>
        <v>0.57</v>
      </c>
      <c r="D62" s="2252" t="s">
        <v>1201</v>
      </c>
      <c r="E62" s="2242" t="s">
        <v>1202</v>
      </c>
      <c r="F62" s="2160">
        <f t="shared" si="0"/>
        <v>1.5</v>
      </c>
      <c r="I62" s="2337" t="s">
        <v>1309</v>
      </c>
      <c r="J62" s="2338" t="s">
        <v>1310</v>
      </c>
      <c r="K62" s="2338" t="s">
        <v>1311</v>
      </c>
      <c r="L62" s="2338" t="s">
        <v>1312</v>
      </c>
      <c r="M62" s="2339" t="s">
        <v>1313</v>
      </c>
      <c r="O62" s="2300" t="s">
        <v>1108</v>
      </c>
      <c r="P62" s="2301" t="s">
        <v>1287</v>
      </c>
      <c r="Q62" s="2342">
        <f ca="1">Q56+Q57</f>
        <v>13660</v>
      </c>
      <c r="R62" s="2342" t="s">
        <v>1288</v>
      </c>
    </row>
    <row r="63" s="798" customFormat="1" ht="13.5" spans="1:18">
      <c r="A63" s="2158"/>
      <c r="B63" s="2253"/>
      <c r="C63" s="2179"/>
      <c r="D63" s="2254"/>
      <c r="E63" s="2242" t="s">
        <v>1206</v>
      </c>
      <c r="F63" s="2115">
        <f ca="1" t="shared" si="0"/>
        <v>3800.1</v>
      </c>
      <c r="I63" s="2337" t="s">
        <v>1314</v>
      </c>
      <c r="J63" s="2338">
        <v>70</v>
      </c>
      <c r="K63" s="2338">
        <v>50</v>
      </c>
      <c r="L63" s="2338">
        <v>80</v>
      </c>
      <c r="M63" s="2340">
        <v>0.02</v>
      </c>
      <c r="O63" s="2288" t="s">
        <v>1315</v>
      </c>
      <c r="P63" s="2324"/>
      <c r="Q63" s="2324"/>
      <c r="R63" s="2324"/>
    </row>
    <row r="64" s="798" customFormat="1" ht="13.5" spans="1:18">
      <c r="A64" s="2145" t="s">
        <v>901</v>
      </c>
      <c r="B64" s="2242" t="s">
        <v>1208</v>
      </c>
      <c r="C64" s="1047">
        <f ca="1">ROUND(C57*F64,2)</f>
        <v>31.07</v>
      </c>
      <c r="D64" s="2250" t="s">
        <v>1241</v>
      </c>
      <c r="E64" s="2242" t="s">
        <v>1180</v>
      </c>
      <c r="F64" s="2182">
        <f ca="1" t="shared" si="0"/>
        <v>0.003</v>
      </c>
      <c r="I64" s="2337" t="s">
        <v>1316</v>
      </c>
      <c r="J64" s="2338">
        <v>50</v>
      </c>
      <c r="K64" s="2338">
        <v>35</v>
      </c>
      <c r="L64" s="2338">
        <v>60</v>
      </c>
      <c r="M64" s="2339">
        <v>0</v>
      </c>
      <c r="O64" s="2293" t="s">
        <v>1249</v>
      </c>
      <c r="P64" s="2294" t="s">
        <v>1250</v>
      </c>
      <c r="Q64" s="2341" t="s">
        <v>1251</v>
      </c>
      <c r="R64" s="2341" t="s">
        <v>1252</v>
      </c>
    </row>
    <row r="65" s="798" customFormat="1" ht="13.5" spans="1:18">
      <c r="A65" s="2145" t="s">
        <v>946</v>
      </c>
      <c r="B65" s="2242" t="s">
        <v>1212</v>
      </c>
      <c r="C65" s="1047">
        <f ca="1">ROUND(C56*F65,2)</f>
        <v>6.21</v>
      </c>
      <c r="D65" s="2250" t="s">
        <v>1213</v>
      </c>
      <c r="E65" s="2242" t="s">
        <v>1180</v>
      </c>
      <c r="F65" s="2183">
        <f ca="1" t="shared" si="0"/>
        <v>0.001</v>
      </c>
      <c r="I65" s="2337" t="s">
        <v>1317</v>
      </c>
      <c r="J65" s="2338">
        <v>40</v>
      </c>
      <c r="K65" s="2338">
        <v>30</v>
      </c>
      <c r="L65" s="2338">
        <v>50</v>
      </c>
      <c r="M65" s="2340">
        <v>0.02</v>
      </c>
      <c r="O65" s="2300" t="s">
        <v>1003</v>
      </c>
      <c r="P65" s="2301" t="s">
        <v>1256</v>
      </c>
      <c r="Q65" s="2342">
        <f ca="1">C40+J29</f>
        <v>13660</v>
      </c>
      <c r="R65" s="2342" t="s">
        <v>1257</v>
      </c>
    </row>
    <row r="66" s="798" customFormat="1" ht="17.25" spans="1:18">
      <c r="A66" s="2145" t="s">
        <v>949</v>
      </c>
      <c r="B66" s="2242" t="s">
        <v>1198</v>
      </c>
      <c r="C66" s="1047">
        <f ca="1">ROUND(C48*F66,2)</f>
        <v>0</v>
      </c>
      <c r="D66" s="2250" t="s">
        <v>1216</v>
      </c>
      <c r="E66" s="2242" t="s">
        <v>1180</v>
      </c>
      <c r="F66" s="2124">
        <f ca="1" t="shared" si="0"/>
        <v>0.005</v>
      </c>
      <c r="O66" s="2300" t="s">
        <v>1007</v>
      </c>
      <c r="P66" s="2301" t="s">
        <v>1297</v>
      </c>
      <c r="Q66" s="2342">
        <f ca="1">L60</f>
        <v>0</v>
      </c>
      <c r="R66" s="2342" t="s">
        <v>1298</v>
      </c>
    </row>
    <row r="67" s="798" customFormat="1" ht="17.25" spans="1:18">
      <c r="A67" s="2237" t="s">
        <v>1219</v>
      </c>
      <c r="B67" s="2344" t="s">
        <v>1220</v>
      </c>
      <c r="C67" s="1046">
        <f ca="1">C48-C58</f>
        <v>-38</v>
      </c>
      <c r="D67" s="2249" t="s">
        <v>1221</v>
      </c>
      <c r="E67" s="2345"/>
      <c r="F67" s="2346"/>
      <c r="O67" s="2308" t="s">
        <v>1269</v>
      </c>
      <c r="P67" s="2301" t="s">
        <v>1301</v>
      </c>
      <c r="Q67" s="2366">
        <f ca="1">L51</f>
        <v>4734</v>
      </c>
      <c r="R67" s="2342" t="s">
        <v>1318</v>
      </c>
    </row>
    <row r="68" s="798" customFormat="1" ht="17.25" spans="1:18">
      <c r="A68" s="2347" t="s">
        <v>1225</v>
      </c>
      <c r="B68" s="2348" t="s">
        <v>1242</v>
      </c>
      <c r="C68" s="2188">
        <f ca="1">ROUND(C67*(1-((1+F70)/(1+F68))^F69)/(F68-F70),0)</f>
        <v>-568</v>
      </c>
      <c r="D68" s="2252" t="s">
        <v>1227</v>
      </c>
      <c r="E68" s="2242" t="s">
        <v>1228</v>
      </c>
      <c r="F68" s="2124">
        <f ca="1">F40</f>
        <v>0.055</v>
      </c>
      <c r="O68" s="2308" t="s">
        <v>1273</v>
      </c>
      <c r="P68" s="2365" t="s">
        <v>1319</v>
      </c>
      <c r="Q68" s="2342">
        <f ca="1">ROUND(Q69-Q70*Q71,0)</f>
        <v>286</v>
      </c>
      <c r="R68" s="2342" t="s">
        <v>1320</v>
      </c>
    </row>
    <row r="69" s="798" customFormat="1" ht="13.5" spans="1:18">
      <c r="A69" s="2349"/>
      <c r="B69" s="2350"/>
      <c r="C69" s="2122"/>
      <c r="D69" s="2351" t="s">
        <v>1231</v>
      </c>
      <c r="E69" s="2242" t="s">
        <v>1232</v>
      </c>
      <c r="F69" s="2192">
        <f ca="1">F41</f>
        <v>32.25</v>
      </c>
      <c r="O69" s="2308" t="s">
        <v>1321</v>
      </c>
      <c r="P69" s="2365" t="s">
        <v>1322</v>
      </c>
      <c r="Q69" s="2342">
        <f ca="1">C39</f>
        <v>721</v>
      </c>
      <c r="R69" s="2342" t="s">
        <v>1257</v>
      </c>
    </row>
    <row r="70" s="798" customFormat="1" ht="13.5" spans="1:18">
      <c r="A70" s="2352"/>
      <c r="B70" s="2353"/>
      <c r="C70" s="2142"/>
      <c r="D70" s="2254"/>
      <c r="E70" s="2242" t="s">
        <v>1235</v>
      </c>
      <c r="F70" s="2232"/>
      <c r="O70" s="2308" t="s">
        <v>1323</v>
      </c>
      <c r="P70" s="2365" t="s">
        <v>1324</v>
      </c>
      <c r="Q70" s="2342">
        <f ca="1">C13</f>
        <v>6213</v>
      </c>
      <c r="R70" s="2342" t="s">
        <v>1257</v>
      </c>
    </row>
    <row r="71" s="798" customFormat="1" ht="13.5" spans="1:18">
      <c r="A71" s="2354" t="s">
        <v>1237</v>
      </c>
      <c r="B71" s="2355" t="s">
        <v>1243</v>
      </c>
      <c r="C71" s="2196">
        <f ca="1">ROUND(C68*10000/F71,0)</f>
        <v>-244</v>
      </c>
      <c r="D71" s="2356" t="s">
        <v>1244</v>
      </c>
      <c r="E71" s="2357" t="s">
        <v>1245</v>
      </c>
      <c r="F71" s="2199">
        <f ca="1">F43</f>
        <v>23244.54</v>
      </c>
      <c r="O71" s="2308" t="s">
        <v>1325</v>
      </c>
      <c r="P71" s="2365" t="s">
        <v>1326</v>
      </c>
      <c r="Q71" s="2343">
        <f ca="1">C76</f>
        <v>0.07</v>
      </c>
      <c r="R71" s="2342"/>
    </row>
    <row r="72" s="798" customFormat="1" ht="13.5" spans="2:18">
      <c r="B72" s="1081"/>
      <c r="C72" s="1081"/>
      <c r="O72" s="2308" t="s">
        <v>1277</v>
      </c>
      <c r="P72" s="2301" t="s">
        <v>1303</v>
      </c>
      <c r="Q72" s="2343">
        <f>L52</f>
        <v>0</v>
      </c>
      <c r="R72" s="2342"/>
    </row>
    <row r="73" ht="17.25" spans="1:18">
      <c r="A73" s="798"/>
      <c r="B73" s="1081"/>
      <c r="C73" s="1081"/>
      <c r="D73" s="798"/>
      <c r="E73" s="798"/>
      <c r="F73" s="798"/>
      <c r="O73" s="2308" t="s">
        <v>1281</v>
      </c>
      <c r="P73" s="2301" t="s">
        <v>1306</v>
      </c>
      <c r="Q73" s="2342" t="e">
        <f ca="1">L58</f>
        <v>#DIV/0!</v>
      </c>
      <c r="R73" s="2342" t="s">
        <v>1307</v>
      </c>
    </row>
    <row r="74" ht="13.5" spans="1:18">
      <c r="A74" s="798"/>
      <c r="B74" s="474" t="s">
        <v>1327</v>
      </c>
      <c r="C74" s="2358"/>
      <c r="D74" s="798"/>
      <c r="E74" s="798"/>
      <c r="F74" s="798"/>
      <c r="O74" s="2308" t="s">
        <v>1328</v>
      </c>
      <c r="P74" s="2301" t="str">
        <f>K59</f>
        <v>建筑物剩余耐用年限下的土地年期修正系数Kn</v>
      </c>
      <c r="Q74" s="2342" t="e">
        <f ca="1">L59</f>
        <v>#DIV/0!</v>
      </c>
      <c r="R74" s="2342" t="s">
        <v>1308</v>
      </c>
    </row>
    <row r="75" ht="13.5" spans="1:18">
      <c r="A75" s="798"/>
      <c r="B75" s="2359" t="s">
        <v>1329</v>
      </c>
      <c r="C75" s="2360">
        <f ca="1">ROUND(C13*C76,0)</f>
        <v>435</v>
      </c>
      <c r="D75" s="798"/>
      <c r="E75" s="798"/>
      <c r="F75" s="798"/>
      <c r="K75" s="2287"/>
      <c r="L75" s="798"/>
      <c r="O75" s="2300" t="s">
        <v>1108</v>
      </c>
      <c r="P75" s="2301" t="s">
        <v>1287</v>
      </c>
      <c r="Q75" s="2342">
        <f ca="1">Q65+Q66</f>
        <v>13660</v>
      </c>
      <c r="R75" s="2342" t="s">
        <v>1288</v>
      </c>
    </row>
    <row r="76" spans="2:12">
      <c r="B76" s="574" t="s">
        <v>1330</v>
      </c>
      <c r="C76" s="2361">
        <f ca="1">INDIRECT("'数据-取费表'!j"&amp;$G$1)</f>
        <v>0.07</v>
      </c>
      <c r="I76" s="798"/>
      <c r="J76" s="798"/>
      <c r="K76" s="2287"/>
      <c r="L76" s="798"/>
    </row>
    <row r="77" spans="2:12">
      <c r="B77" s="2362" t="s">
        <v>1331</v>
      </c>
      <c r="C77" s="2363"/>
      <c r="I77" s="798"/>
      <c r="J77" s="798"/>
      <c r="K77" s="2287"/>
      <c r="L77" s="798"/>
    </row>
    <row r="78" spans="2:3">
      <c r="B78" s="472" t="s">
        <v>1332</v>
      </c>
      <c r="C78" s="2364"/>
    </row>
    <row r="79" spans="2:3">
      <c r="B79" s="2359" t="s">
        <v>1333</v>
      </c>
      <c r="C79" s="475">
        <f ca="1">1-C80</f>
        <v>0.397</v>
      </c>
    </row>
    <row r="80" spans="2:3">
      <c r="B80" s="2359" t="s">
        <v>1334</v>
      </c>
      <c r="C80" s="475">
        <f ca="1">ROUND(C75/C39,3)</f>
        <v>0.603</v>
      </c>
    </row>
    <row r="81" spans="2:3">
      <c r="B81" s="472" t="s">
        <v>1335</v>
      </c>
      <c r="C81" s="439"/>
    </row>
    <row r="82" spans="2:3">
      <c r="B82" s="474" t="s">
        <v>1084</v>
      </c>
      <c r="C82" s="476">
        <f ca="1">1-C83</f>
        <v>0.545</v>
      </c>
    </row>
    <row r="83" spans="2:3">
      <c r="B83" s="474" t="s">
        <v>1085</v>
      </c>
      <c r="C83" s="475">
        <f ca="1">ROUND(C13/C40,3)</f>
        <v>0.455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82"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0" customFormat="1" ht="20.25" spans="1:37">
      <c r="A1" s="2083" t="s">
        <v>1145</v>
      </c>
      <c r="B1" s="1381"/>
      <c r="C1" s="2084"/>
      <c r="D1" s="2085" t="s">
        <v>124</v>
      </c>
      <c r="E1" s="2086" t="s">
        <v>1146</v>
      </c>
      <c r="F1" s="2087">
        <f ca="1">J53</f>
        <v>0</v>
      </c>
      <c r="G1" s="2088">
        <f>MATCH(C1,'数据-取费表'!A6:A16,0)+5</f>
        <v>7</v>
      </c>
      <c r="H1" s="2089"/>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2" t="s">
        <v>1147</v>
      </c>
      <c r="B2" s="2090" t="e">
        <f ca="1">ROUND(D2/10000,4)</f>
        <v>#DIV/0!</v>
      </c>
      <c r="C2" s="2091" t="s">
        <v>1148</v>
      </c>
      <c r="D2" s="2092" t="e">
        <f ca="1">C40+J29+L46</f>
        <v>#DIV/0!</v>
      </c>
      <c r="E2" s="2093" t="s">
        <v>1336</v>
      </c>
      <c r="F2" s="2094"/>
      <c r="G2" s="2095"/>
      <c r="H2" s="2096"/>
      <c r="I2" s="2096"/>
      <c r="J2" s="2096"/>
      <c r="K2" s="2258"/>
      <c r="L2" s="2096"/>
      <c r="M2" s="2096"/>
    </row>
    <row r="3" ht="18" customHeight="1" spans="1:13">
      <c r="A3" s="2097" t="s">
        <v>1149</v>
      </c>
      <c r="B3" s="2098">
        <f ca="1">IF(ISERROR(D2/F43),0,ROUND(D2/F43,0))</f>
        <v>0</v>
      </c>
      <c r="C3" s="2091" t="s">
        <v>1150</v>
      </c>
      <c r="D3" s="2091"/>
      <c r="E3" s="2093"/>
      <c r="F3" s="2094"/>
      <c r="G3" s="2095"/>
      <c r="H3" s="2099" t="s">
        <v>1151</v>
      </c>
      <c r="I3" s="2259"/>
      <c r="J3" s="2259"/>
      <c r="K3" s="2260"/>
      <c r="L3" s="2259"/>
      <c r="M3" s="2259"/>
    </row>
    <row r="4" ht="18" customHeight="1" spans="1:13">
      <c r="A4" s="2100" t="s">
        <v>1152</v>
      </c>
      <c r="B4" s="2101" t="s">
        <v>1153</v>
      </c>
      <c r="C4" s="2101" t="s">
        <v>1154</v>
      </c>
      <c r="D4" s="2101" t="s">
        <v>1155</v>
      </c>
      <c r="E4" s="2102" t="s">
        <v>1156</v>
      </c>
      <c r="F4" s="2103"/>
      <c r="G4" s="798"/>
      <c r="H4" s="2100" t="s">
        <v>1152</v>
      </c>
      <c r="I4" s="2101" t="s">
        <v>1153</v>
      </c>
      <c r="J4" s="2101" t="s">
        <v>1154</v>
      </c>
      <c r="K4" s="2101" t="s">
        <v>1155</v>
      </c>
      <c r="L4" s="2102" t="s">
        <v>1156</v>
      </c>
      <c r="M4" s="2103"/>
    </row>
    <row r="5" ht="18" customHeight="1" spans="1:13">
      <c r="A5" s="2104">
        <v>1</v>
      </c>
      <c r="B5" s="2105" t="s">
        <v>1157</v>
      </c>
      <c r="C5" s="2106">
        <f ca="1">C6+C10+C12</f>
        <v>0</v>
      </c>
      <c r="D5" s="2107" t="s">
        <v>1158</v>
      </c>
      <c r="E5" s="2108"/>
      <c r="F5" s="2109"/>
      <c r="G5" s="798"/>
      <c r="H5" s="2104">
        <v>1</v>
      </c>
      <c r="I5" s="2105" t="s">
        <v>1157</v>
      </c>
      <c r="J5" s="2106">
        <f ca="1">J6+J10+J12</f>
        <v>0</v>
      </c>
      <c r="K5" s="2107" t="s">
        <v>1158</v>
      </c>
      <c r="L5" s="2108"/>
      <c r="M5" s="2109"/>
    </row>
    <row r="6" ht="18" customHeight="1" spans="1:13">
      <c r="A6" s="2110" t="s">
        <v>897</v>
      </c>
      <c r="B6" s="2111" t="s">
        <v>1159</v>
      </c>
      <c r="C6" s="2112">
        <f ca="1">ROUND(F6*F8*F7*(1-F9),0)</f>
        <v>0</v>
      </c>
      <c r="D6" s="2113" t="s">
        <v>1337</v>
      </c>
      <c r="E6" s="2114" t="s">
        <v>1161</v>
      </c>
      <c r="F6" s="2115">
        <f ca="1">INDIRECT("'数据-取费表'!u"&amp;$G$1)</f>
        <v>0</v>
      </c>
      <c r="G6" s="798"/>
      <c r="H6" s="2110" t="s">
        <v>897</v>
      </c>
      <c r="I6" s="2111" t="s">
        <v>1159</v>
      </c>
      <c r="J6" s="2188">
        <f ca="1">ROUND(M6*M8*M7*(1-M9),0)</f>
        <v>0</v>
      </c>
      <c r="K6" s="2261" t="s">
        <v>1338</v>
      </c>
      <c r="L6" s="2114" t="s">
        <v>1161</v>
      </c>
      <c r="M6" s="2115">
        <f ca="1">INDIRECT("'数据-取费表'!z"&amp;$G$1)</f>
        <v>0</v>
      </c>
    </row>
    <row r="7" ht="18" customHeight="1" spans="1:13">
      <c r="A7" s="2116"/>
      <c r="B7" s="2117"/>
      <c r="C7" s="2118"/>
      <c r="D7" s="2119"/>
      <c r="E7" s="2120" t="s">
        <v>1163</v>
      </c>
      <c r="F7" s="2115">
        <f ca="1">IF(INDIRECT("'数据-取费表'!ah"&amp;$G$1)="",INDIRECT("'数据-取费表'!k"&amp;$G$1),INDIRECT("'数据-取费表'!ah"&amp;$G$1))</f>
        <v>0</v>
      </c>
      <c r="G7" s="798"/>
      <c r="H7" s="2121"/>
      <c r="I7" s="2117"/>
      <c r="J7" s="2122"/>
      <c r="K7" s="2119"/>
      <c r="L7" s="2114" t="s">
        <v>1163</v>
      </c>
      <c r="M7" s="2115">
        <f ca="1">F7</f>
        <v>0</v>
      </c>
    </row>
    <row r="8" ht="18" customHeight="1" spans="1:13">
      <c r="A8" s="2121"/>
      <c r="B8" s="2117"/>
      <c r="C8" s="2122"/>
      <c r="D8" s="2119"/>
      <c r="E8" s="2114" t="s">
        <v>1164</v>
      </c>
      <c r="F8" s="2115">
        <f ca="1">INDIRECT("'数据-取费表'!ai"&amp;$G$1)</f>
        <v>0</v>
      </c>
      <c r="G8" s="798"/>
      <c r="H8" s="2121"/>
      <c r="I8" s="2117"/>
      <c r="J8" s="2122"/>
      <c r="K8" s="2119"/>
      <c r="L8" s="2114" t="s">
        <v>1164</v>
      </c>
      <c r="M8" s="2115">
        <f ca="1">INDIRECT("'数据-取费表'!ai"&amp;$G$1)</f>
        <v>0</v>
      </c>
    </row>
    <row r="9" ht="18" customHeight="1" spans="1:13">
      <c r="A9" s="2121"/>
      <c r="B9" s="2123"/>
      <c r="C9" s="2122"/>
      <c r="D9" s="2119"/>
      <c r="E9" s="2114" t="s">
        <v>1165</v>
      </c>
      <c r="F9" s="2124">
        <f ca="1">INDIRECT("'数据-取费表'!w"&amp;$G$1)</f>
        <v>0</v>
      </c>
      <c r="G9" s="798"/>
      <c r="H9" s="2121"/>
      <c r="I9" s="2123"/>
      <c r="J9" s="2122"/>
      <c r="K9" s="2119"/>
      <c r="L9" s="2127" t="s">
        <v>1165</v>
      </c>
      <c r="M9" s="2132">
        <f ca="1">INDIRECT("'数据-取费表'!ab"&amp;$G$1)</f>
        <v>0</v>
      </c>
    </row>
    <row r="10" ht="18" customHeight="1" spans="1:13">
      <c r="A10" s="2110" t="s">
        <v>901</v>
      </c>
      <c r="B10" s="2125" t="s">
        <v>1166</v>
      </c>
      <c r="C10" s="1046">
        <f ca="1">ROUND(IF(F10="押一",C6/12*F11,IF(F10="押二",C6/12*2*F11,IF(F10="押三",C6/12*3*F11,C11*F11))),0)</f>
        <v>0</v>
      </c>
      <c r="D10" s="2126" t="s">
        <v>1167</v>
      </c>
      <c r="E10" s="2127" t="s">
        <v>1168</v>
      </c>
      <c r="F10" s="2128"/>
      <c r="G10" s="798"/>
      <c r="H10" s="2110" t="s">
        <v>901</v>
      </c>
      <c r="I10" s="2125" t="s">
        <v>1166</v>
      </c>
      <c r="J10" s="2188">
        <f ca="1">ROUND(IF(M10="押一",J6/12*M11,IF(M10="押二",J6/12*2*M11,IF(M10="押三",J6/12*3*M11,J11*M11))),0)</f>
        <v>0</v>
      </c>
      <c r="K10" s="2262" t="s">
        <v>1339</v>
      </c>
      <c r="L10" s="2127" t="s">
        <v>1168</v>
      </c>
      <c r="M10" s="2128"/>
    </row>
    <row r="11" ht="18" customHeight="1" spans="1:13">
      <c r="A11" s="2129"/>
      <c r="B11" s="2130" t="s">
        <v>1340</v>
      </c>
      <c r="C11" s="2131"/>
      <c r="D11" s="2119"/>
      <c r="E11" s="2127" t="s">
        <v>1171</v>
      </c>
      <c r="F11" s="2132">
        <f ca="1">'数据-取费表'!B39</f>
        <v>0.015</v>
      </c>
      <c r="G11" s="798"/>
      <c r="H11" s="2133"/>
      <c r="I11" s="2130" t="s">
        <v>1341</v>
      </c>
      <c r="J11" s="2131"/>
      <c r="K11" s="2263"/>
      <c r="L11" s="2127" t="s">
        <v>1171</v>
      </c>
      <c r="M11" s="2264">
        <f ca="1">'数据-取费表'!B39</f>
        <v>0.015</v>
      </c>
    </row>
    <row r="12" ht="18" customHeight="1" spans="1:13">
      <c r="A12" s="2134" t="s">
        <v>946</v>
      </c>
      <c r="B12" s="2135" t="s">
        <v>1172</v>
      </c>
      <c r="C12" s="2136"/>
      <c r="D12" s="2137"/>
      <c r="E12" s="2138"/>
      <c r="F12" s="2139"/>
      <c r="G12" s="798"/>
      <c r="H12" s="2134" t="s">
        <v>946</v>
      </c>
      <c r="I12" s="2135" t="s">
        <v>1172</v>
      </c>
      <c r="J12" s="2136"/>
      <c r="K12" s="2265"/>
      <c r="L12" s="2138"/>
      <c r="M12" s="2266"/>
    </row>
    <row r="13" ht="18" customHeight="1" spans="1:13">
      <c r="A13" s="2140">
        <v>2</v>
      </c>
      <c r="B13" s="2141" t="s">
        <v>1173</v>
      </c>
      <c r="C13" s="2142">
        <f ca="1">ROUND(C29*F13,0)</f>
        <v>0</v>
      </c>
      <c r="D13" s="2143" t="s">
        <v>1174</v>
      </c>
      <c r="E13" s="2143" t="s">
        <v>1175</v>
      </c>
      <c r="F13" s="2144">
        <f ca="1">INDIRECT("'数据-取费表'!y"&amp;$G$1)</f>
        <v>0</v>
      </c>
      <c r="G13" s="798"/>
      <c r="H13" s="2140">
        <v>2</v>
      </c>
      <c r="I13" s="2141" t="s">
        <v>1173</v>
      </c>
      <c r="J13" s="2267">
        <f ca="1">ROUND(J14*J15,0)</f>
        <v>0</v>
      </c>
      <c r="K13" s="2166" t="s">
        <v>1174</v>
      </c>
      <c r="L13" s="2268"/>
      <c r="M13" s="2269"/>
    </row>
    <row r="14" ht="18" customHeight="1" spans="1:13">
      <c r="A14" s="2145" t="s">
        <v>920</v>
      </c>
      <c r="B14" s="2114" t="s">
        <v>1176</v>
      </c>
      <c r="C14" s="2146">
        <f ca="1">ROUND(INDIRECT("'数据-取费表'!l"&amp;$G$1)*F43+'数据-取费表'!L14*INDIRECT("'数据-取费表'!S"&amp;$G$1),0)</f>
        <v>0</v>
      </c>
      <c r="D14" s="2147" t="s">
        <v>1177</v>
      </c>
      <c r="E14" s="2148"/>
      <c r="F14" s="2149"/>
      <c r="G14" s="798"/>
      <c r="H14" s="2145" t="s">
        <v>897</v>
      </c>
      <c r="I14" s="2114" t="s">
        <v>1178</v>
      </c>
      <c r="J14" s="1047">
        <f ca="1">C29</f>
        <v>0</v>
      </c>
      <c r="K14" s="2270"/>
      <c r="L14" s="2271"/>
      <c r="M14" s="2272"/>
    </row>
    <row r="15" s="2081" customFormat="1" ht="18" customHeight="1" spans="1:37">
      <c r="A15" s="2145" t="s">
        <v>924</v>
      </c>
      <c r="B15" s="2114" t="s">
        <v>1106</v>
      </c>
      <c r="C15" s="1047">
        <f ca="1">ROUND(C14*F15,0)</f>
        <v>0</v>
      </c>
      <c r="D15" s="2150" t="s">
        <v>1179</v>
      </c>
      <c r="E15" s="2150" t="s">
        <v>1180</v>
      </c>
      <c r="F15" s="2151">
        <f>'数据-取费表'!B33</f>
        <v>0.03</v>
      </c>
      <c r="G15" s="2152"/>
      <c r="H15" s="2153" t="s">
        <v>901</v>
      </c>
      <c r="I15" s="2138" t="s">
        <v>1175</v>
      </c>
      <c r="J15" s="2266">
        <f ca="1">INDIRECT("'数据-取费表'!ad"&amp;$G$1)</f>
        <v>0</v>
      </c>
      <c r="K15" s="2273"/>
      <c r="L15" s="2274"/>
      <c r="M15" s="2275"/>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ht="18" customHeight="1" spans="1:13">
      <c r="A16" s="2145" t="s">
        <v>927</v>
      </c>
      <c r="B16" s="2114" t="s">
        <v>1109</v>
      </c>
      <c r="C16" s="1047">
        <f ca="1">ROUND(INDIRECT("'数据-取费表'!l"&amp;$G$1)*F43*F16,0)</f>
        <v>0</v>
      </c>
      <c r="D16" s="2114" t="s">
        <v>1179</v>
      </c>
      <c r="E16" s="2114" t="s">
        <v>1180</v>
      </c>
      <c r="F16" s="2154">
        <f ca="1">IF(INDIRECT("'数据-取费表'!c"&amp;$G$1)="住宅",'数据-取费表'!B34,0)</f>
        <v>0</v>
      </c>
      <c r="G16" s="798"/>
      <c r="H16" s="2140" t="s">
        <v>1181</v>
      </c>
      <c r="I16" s="2141" t="s">
        <v>1182</v>
      </c>
      <c r="J16" s="2142">
        <f ca="1">ROUND(J17+J22+J23+J24,0)</f>
        <v>0</v>
      </c>
      <c r="K16" s="2166" t="s">
        <v>1183</v>
      </c>
      <c r="L16" s="2167"/>
      <c r="M16" s="2109"/>
    </row>
    <row r="17" s="2081" customFormat="1" ht="18" customHeight="1" spans="1:37">
      <c r="A17" s="2145" t="s">
        <v>1184</v>
      </c>
      <c r="B17" s="2114" t="s">
        <v>1185</v>
      </c>
      <c r="C17" s="1047">
        <f ca="1">ROUND(F17*(F43+INDIRECT("'数据-取费表'!S"&amp;$G$1)),0)</f>
        <v>0</v>
      </c>
      <c r="D17" s="2114" t="s">
        <v>1186</v>
      </c>
      <c r="E17" s="2114" t="s">
        <v>1187</v>
      </c>
      <c r="F17" s="2155">
        <f>'数据-取费表'!B35</f>
        <v>200</v>
      </c>
      <c r="G17" s="2152"/>
      <c r="H17" s="2145" t="s">
        <v>897</v>
      </c>
      <c r="I17" s="2114" t="s">
        <v>1188</v>
      </c>
      <c r="J17" s="2169">
        <f ca="1">ROUND(IF(AND(项目基本情况!B11="自然人",项目基本情况!B10="北京市"),J6*M17/(1+'数据-取费表'!C42),J18+J19+J20),0)</f>
        <v>0</v>
      </c>
      <c r="K17" s="2147" t="s">
        <v>1189</v>
      </c>
      <c r="L17" s="2170" t="s">
        <v>1190</v>
      </c>
      <c r="M17" s="2171" t="str">
        <f ca="1">IF(项目基本情况!B11="企业","",IF('数据-取费表'!B10="住宅",IF(M6*M7*M8/12/(1+'数据-取费表'!F30)&gt;100000,4%,2.5%),IF(M6*M7*M8/12/(1+'数据-取费表'!F30)&gt;100000,12%,7%)))</f>
        <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2081" customFormat="1" ht="18" customHeight="1" spans="1:37">
      <c r="A18" s="2145" t="s">
        <v>1191</v>
      </c>
      <c r="B18" s="2114" t="s">
        <v>1115</v>
      </c>
      <c r="C18" s="1047">
        <f ca="1">ROUND(C14*F18,0)</f>
        <v>0</v>
      </c>
      <c r="D18" s="2114" t="s">
        <v>1179</v>
      </c>
      <c r="E18" s="2114" t="s">
        <v>1180</v>
      </c>
      <c r="F18" s="2154">
        <f>'数据-取费表'!B36</f>
        <v>0.02</v>
      </c>
      <c r="G18" s="2152"/>
      <c r="H18" s="2145" t="s">
        <v>920</v>
      </c>
      <c r="I18" s="2114" t="s">
        <v>1192</v>
      </c>
      <c r="J18" s="1047">
        <f ca="1">ROUND(J6*M18/(1+'数据-取费表'!C42),0)</f>
        <v>0</v>
      </c>
      <c r="K18" s="2170" t="s">
        <v>1193</v>
      </c>
      <c r="L18" s="2114" t="s">
        <v>1180</v>
      </c>
      <c r="M18" s="2154">
        <f>'数据-取费表'!B41</f>
        <v>0.056</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ht="18" customHeight="1" spans="1:13">
      <c r="A19" s="2145" t="s">
        <v>897</v>
      </c>
      <c r="B19" s="2114" t="s">
        <v>1194</v>
      </c>
      <c r="C19" s="1047">
        <f ca="1">SUM(C14:C18)</f>
        <v>0</v>
      </c>
      <c r="D19" s="2156" t="s">
        <v>1195</v>
      </c>
      <c r="E19" s="1049"/>
      <c r="F19" s="2155"/>
      <c r="G19" s="798"/>
      <c r="H19" s="2145" t="s">
        <v>924</v>
      </c>
      <c r="I19" s="2114" t="s">
        <v>1196</v>
      </c>
      <c r="J19" s="1047">
        <f ca="1">IF(K19="按租金收入计税",ROUND(J6*M19/(1+'数据-取费表'!C42),0),ROUND(C29*M19*0.7,0))</f>
        <v>0</v>
      </c>
      <c r="K19" s="2173" t="s">
        <v>1197</v>
      </c>
      <c r="L19" s="2114" t="s">
        <v>1180</v>
      </c>
      <c r="M19" s="2154">
        <f>IF(K19="按租金收入计税",'数据-取费表'!B51,'数据-取费表'!B50)</f>
        <v>0.12</v>
      </c>
    </row>
    <row r="20" s="2081" customFormat="1" ht="18" customHeight="1" spans="1:37">
      <c r="A20" s="2145" t="s">
        <v>901</v>
      </c>
      <c r="B20" s="2114" t="s">
        <v>1198</v>
      </c>
      <c r="C20" s="1047">
        <f ca="1">ROUND(C19*F20,0)</f>
        <v>0</v>
      </c>
      <c r="D20" s="2157" t="s">
        <v>1199</v>
      </c>
      <c r="E20" s="2114" t="s">
        <v>1180</v>
      </c>
      <c r="F20" s="2154">
        <f>'数据-取费表'!B37</f>
        <v>0.02</v>
      </c>
      <c r="G20" s="2152"/>
      <c r="H20" s="2145" t="s">
        <v>927</v>
      </c>
      <c r="I20" s="2113" t="s">
        <v>1200</v>
      </c>
      <c r="J20" s="2175">
        <f ca="1">ROUND(M20*M21,0)</f>
        <v>0</v>
      </c>
      <c r="K20" s="2176" t="s">
        <v>1201</v>
      </c>
      <c r="L20" s="2114" t="s">
        <v>1202</v>
      </c>
      <c r="M20" s="2160">
        <f>'数据-取费表'!B52</f>
        <v>1.5</v>
      </c>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row>
    <row r="21" s="2081" customFormat="1" ht="18" customHeight="1" spans="1:37">
      <c r="A21" s="2145" t="s">
        <v>946</v>
      </c>
      <c r="B21" s="2114" t="s">
        <v>1203</v>
      </c>
      <c r="C21" s="1047" t="s">
        <v>124</v>
      </c>
      <c r="D21" s="2157" t="s">
        <v>1204</v>
      </c>
      <c r="E21" s="2114" t="s">
        <v>1205</v>
      </c>
      <c r="F21" s="2154">
        <f>'数据-取费表'!B38</f>
        <v>0.02</v>
      </c>
      <c r="G21" s="2152"/>
      <c r="H21" s="2158"/>
      <c r="I21" s="2276"/>
      <c r="J21" s="2179"/>
      <c r="K21" s="2180"/>
      <c r="L21" s="2114" t="s">
        <v>1206</v>
      </c>
      <c r="M21" s="2115">
        <f ca="1">INDIRECT("'数据-取费表'!r"&amp;$G$1)</f>
        <v>0</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ht="18" customHeight="1" spans="1:13">
      <c r="A22" s="2145" t="s">
        <v>949</v>
      </c>
      <c r="B22" s="2114" t="s">
        <v>1207</v>
      </c>
      <c r="C22" s="1047"/>
      <c r="D22" s="2156" t="str">
        <f>IF(F23&lt;=1,"单利计息。","复利计息。")&amp;"建造成本、管理费用、销售费用产生的利息。"</f>
        <v>复利计息。建造成本、管理费用、销售费用产生的利息。</v>
      </c>
      <c r="E22" s="1049"/>
      <c r="F22" s="2155"/>
      <c r="G22" s="798"/>
      <c r="H22" s="2145" t="s">
        <v>901</v>
      </c>
      <c r="I22" s="2114" t="s">
        <v>1208</v>
      </c>
      <c r="J22" s="1047">
        <f ca="1">ROUND(J14*M22,0)</f>
        <v>0</v>
      </c>
      <c r="K22" s="2170" t="s">
        <v>1209</v>
      </c>
      <c r="L22" s="2114" t="s">
        <v>1180</v>
      </c>
      <c r="M22" s="2182">
        <f ca="1">INDIRECT("'数据-取费表'!Ak"&amp;$G$1)</f>
        <v>0</v>
      </c>
    </row>
    <row r="23" s="2081" customFormat="1" ht="18" customHeight="1" spans="1:37">
      <c r="A23" s="2145" t="s">
        <v>920</v>
      </c>
      <c r="B23" s="2114" t="s">
        <v>1210</v>
      </c>
      <c r="C23" s="1047">
        <f ca="1">IF('数据-取费表'!B22&lt;=1,ROUND(C19*F24*F23/2,0)+ROUND(C20*F24*F23/2,0),ROUND(C19*(POWER((1+F24),F23/2)-1),0)+ROUND(C20*(POWER((1+F24),F23/2)-1),0))</f>
        <v>0</v>
      </c>
      <c r="D23" s="2159" t="str">
        <f>IF(F23&lt;=1,"(建造成本+管理费用)×利率×(建设周期÷2)","(建造成本+管理费用)×((1+利率)^(建设周期÷2)-1)")</f>
        <v>(建造成本+管理费用)×((1+利率)^(建设周期÷2)-1)</v>
      </c>
      <c r="E23" s="2114" t="s">
        <v>1211</v>
      </c>
      <c r="F23" s="2160">
        <f>'数据-取费表'!B20</f>
        <v>2</v>
      </c>
      <c r="G23" s="2152"/>
      <c r="H23" s="2145" t="s">
        <v>946</v>
      </c>
      <c r="I23" s="2114" t="s">
        <v>1212</v>
      </c>
      <c r="J23" s="1047">
        <f ca="1">ROUND(J13*M23,0)</f>
        <v>0</v>
      </c>
      <c r="K23" s="2170" t="s">
        <v>1213</v>
      </c>
      <c r="L23" s="2114" t="s">
        <v>1180</v>
      </c>
      <c r="M23" s="2183">
        <f ca="1">INDIRECT("'数据-取费表'!Al"&amp;$G$1)</f>
        <v>0</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2081" customFormat="1" ht="18" customHeight="1" spans="1:37">
      <c r="A24" s="2145" t="s">
        <v>924</v>
      </c>
      <c r="B24" s="2114" t="s">
        <v>1214</v>
      </c>
      <c r="C24" s="1047">
        <f ca="1">ROUND(IF('数据-取费表'!B22&lt;=1,F21*F24*F23/2,F21*(POWER((1+F24),F23/2)-1)),4)</f>
        <v>0.0007</v>
      </c>
      <c r="D24" s="2159" t="str">
        <f>IF(F23&lt;=1,"销售费用×利率×(建设周期÷2)","销售费用×((1+利率)^(建设周期÷2)-1)")</f>
        <v>销售费用×((1+利率)^(建设周期÷2)-1)</v>
      </c>
      <c r="E24" s="2114" t="s">
        <v>1215</v>
      </c>
      <c r="F24" s="2161">
        <f ca="1">'数据-取费表'!B40</f>
        <v>0.0335</v>
      </c>
      <c r="G24" s="2152"/>
      <c r="H24" s="2153" t="s">
        <v>949</v>
      </c>
      <c r="I24" s="2138" t="s">
        <v>1198</v>
      </c>
      <c r="J24" s="2162">
        <f ca="1">ROUND(J5*M24,0)</f>
        <v>0</v>
      </c>
      <c r="K24" s="2163" t="s">
        <v>1216</v>
      </c>
      <c r="L24" s="2138" t="s">
        <v>1180</v>
      </c>
      <c r="M24" s="2139">
        <f ca="1">INDIRECT("'数据-取费表'!Am"&amp;$G$1)</f>
        <v>0</v>
      </c>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row>
    <row r="25" ht="18" customHeight="1" spans="1:13">
      <c r="A25" s="2145" t="s">
        <v>953</v>
      </c>
      <c r="B25" s="2114" t="s">
        <v>1217</v>
      </c>
      <c r="C25" s="1047"/>
      <c r="D25" s="2156" t="s">
        <v>1218</v>
      </c>
      <c r="E25" s="1049"/>
      <c r="F25" s="2155"/>
      <c r="G25" s="798"/>
      <c r="H25" s="2140" t="s">
        <v>1219</v>
      </c>
      <c r="I25" s="2184" t="s">
        <v>1220</v>
      </c>
      <c r="J25" s="2142">
        <f ca="1">J5-J16</f>
        <v>0</v>
      </c>
      <c r="K25" s="2185" t="s">
        <v>1221</v>
      </c>
      <c r="L25" s="2186"/>
      <c r="M25" s="2187"/>
    </row>
    <row r="26" ht="18" customHeight="1" spans="1:13">
      <c r="A26" s="2145" t="s">
        <v>920</v>
      </c>
      <c r="B26" s="2114" t="s">
        <v>1222</v>
      </c>
      <c r="C26" s="1047">
        <f ca="1">ROUND((C19+C20)*F26,0)</f>
        <v>0</v>
      </c>
      <c r="D26" s="2157" t="s">
        <v>1223</v>
      </c>
      <c r="E26" s="2127" t="s">
        <v>1224</v>
      </c>
      <c r="F26" s="2124">
        <f ca="1">INDIRECT("'数据-取费表'!q"&amp;$G$1)</f>
        <v>0</v>
      </c>
      <c r="G26" s="798"/>
      <c r="H26" s="2104" t="s">
        <v>1225</v>
      </c>
      <c r="I26" s="2105" t="s">
        <v>1226</v>
      </c>
      <c r="J26" s="2188">
        <f ca="1">IF(J5&lt;&gt;0,ROUND(J25*(1-((1+M28)/(1+M26))^M27)/(M26-M28),0),0)</f>
        <v>0</v>
      </c>
      <c r="K26" s="2176" t="s">
        <v>1227</v>
      </c>
      <c r="L26" s="2114" t="s">
        <v>1228</v>
      </c>
      <c r="M26" s="2124">
        <f ca="1">INDIRECT("'数据-取费表'!I"&amp;$G$1)</f>
        <v>0</v>
      </c>
    </row>
    <row r="27" ht="18" customHeight="1" spans="1:13">
      <c r="A27" s="2145" t="s">
        <v>924</v>
      </c>
      <c r="B27" s="2114" t="s">
        <v>1229</v>
      </c>
      <c r="C27" s="1047">
        <f ca="1">ROUND(F21*F26,4)</f>
        <v>0</v>
      </c>
      <c r="D27" s="2157" t="s">
        <v>1230</v>
      </c>
      <c r="E27" s="2150"/>
      <c r="F27" s="2151"/>
      <c r="G27" s="798"/>
      <c r="H27" s="2121"/>
      <c r="I27" s="2190"/>
      <c r="J27" s="2122"/>
      <c r="K27" s="2191" t="s">
        <v>1231</v>
      </c>
      <c r="L27" s="2114" t="s">
        <v>1232</v>
      </c>
      <c r="M27" s="2192">
        <f ca="1">INDIRECT("'数据-取费表'!ag"&amp;$G$1)</f>
        <v>0</v>
      </c>
    </row>
    <row r="28" s="2081" customFormat="1" ht="18" customHeight="1" spans="1:37">
      <c r="A28" s="2145" t="s">
        <v>954</v>
      </c>
      <c r="B28" s="2114" t="s">
        <v>1233</v>
      </c>
      <c r="C28" s="1047">
        <f>ROUND(F28/(1+'数据-取费表'!C42),4)</f>
        <v>0.0533</v>
      </c>
      <c r="D28" s="2157" t="s">
        <v>1234</v>
      </c>
      <c r="E28" s="2114" t="s">
        <v>1180</v>
      </c>
      <c r="F28" s="2154">
        <f>'数据-取费表'!B41</f>
        <v>0.056</v>
      </c>
      <c r="G28" s="2152"/>
      <c r="H28" s="2129"/>
      <c r="I28" s="2194"/>
      <c r="J28" s="2142"/>
      <c r="K28" s="2180"/>
      <c r="L28" s="2114" t="s">
        <v>1235</v>
      </c>
      <c r="M28" s="2124">
        <f ca="1">INDIRECT("'数据-取费表'!aa"&amp;$G$1)</f>
        <v>0</v>
      </c>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row>
    <row r="29" s="2081" customFormat="1" ht="18" customHeight="1" spans="1:37">
      <c r="A29" s="2153" t="s">
        <v>1140</v>
      </c>
      <c r="B29" s="2138" t="s">
        <v>1236</v>
      </c>
      <c r="C29" s="2162">
        <f ca="1">ROUND((C19+C20+C23+C26)/(1-F21-C24-C27-C28),0)</f>
        <v>0</v>
      </c>
      <c r="D29" s="2163"/>
      <c r="E29" s="2138"/>
      <c r="F29" s="2164"/>
      <c r="G29" s="2152"/>
      <c r="H29" s="2165" t="s">
        <v>1237</v>
      </c>
      <c r="I29" s="2195" t="s">
        <v>1238</v>
      </c>
      <c r="J29" s="2196">
        <f ca="1">ROUND(J26/(1+F40)^F41,0)</f>
        <v>0</v>
      </c>
      <c r="K29" s="2197" t="s">
        <v>1239</v>
      </c>
      <c r="L29" s="2198"/>
      <c r="M29" s="2199">
        <f ca="1">INDIRECT("'数据-取费表'!k"&amp;$G$1)</f>
        <v>0</v>
      </c>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row>
    <row r="30" ht="18" customHeight="1" spans="1:13">
      <c r="A30" s="2140" t="s">
        <v>1181</v>
      </c>
      <c r="B30" s="2141" t="s">
        <v>1182</v>
      </c>
      <c r="C30" s="2142">
        <f ca="1">ROUND(C31+C36+C37+C38,0)</f>
        <v>0</v>
      </c>
      <c r="D30" s="2166" t="s">
        <v>1183</v>
      </c>
      <c r="E30" s="2167"/>
      <c r="F30" s="2109"/>
      <c r="G30" s="798"/>
      <c r="H30" s="2168"/>
      <c r="I30" s="2277"/>
      <c r="J30" s="2278"/>
      <c r="K30" s="2279"/>
      <c r="L30" s="2280"/>
      <c r="M30" s="2281"/>
    </row>
    <row r="31" ht="18" customHeight="1" spans="1:13">
      <c r="A31" s="2145" t="s">
        <v>897</v>
      </c>
      <c r="B31" s="2114" t="s">
        <v>1188</v>
      </c>
      <c r="C31" s="2169">
        <f ca="1">ROUND(IF(AND(项目基本情况!B11="自然人",项目基本情况!B10="北京市"),C6*F31/(1+'数据-取费表'!C42),C32+C33+C34),0)</f>
        <v>0</v>
      </c>
      <c r="D31" s="2147" t="s">
        <v>1189</v>
      </c>
      <c r="E31" s="2170" t="s">
        <v>1190</v>
      </c>
      <c r="F31" s="2171" t="str">
        <f ca="1">IF(项目基本情况!B11="企业","——",IF(M47="住宅",IF(F6*F7*F8/12/(1+'数据-取费表'!F30)&gt;100000,4%,2.5%),IF(F6*F7*F8/12/(1+'数据-取费表'!F30)&gt;100000,12%,7%)))</f>
        <v>——</v>
      </c>
      <c r="G31" s="798"/>
      <c r="H31" s="2172" t="s">
        <v>1240</v>
      </c>
      <c r="I31" s="2277"/>
      <c r="J31" s="2278"/>
      <c r="K31" s="2279"/>
      <c r="L31" s="2280"/>
      <c r="M31" s="2281"/>
    </row>
    <row r="32" ht="18" customHeight="1" spans="1:13">
      <c r="A32" s="2145" t="s">
        <v>920</v>
      </c>
      <c r="B32" s="2114" t="s">
        <v>1192</v>
      </c>
      <c r="C32" s="1047">
        <f ca="1">IF(项目基本情况!B11="自然人","——",ROUND(C6*F32/(1+'数据-取费表'!C42),0))</f>
        <v>0</v>
      </c>
      <c r="D32" s="2170" t="s">
        <v>1193</v>
      </c>
      <c r="E32" s="2114" t="s">
        <v>1180</v>
      </c>
      <c r="F32" s="2161">
        <f>'数据-取费表'!B41</f>
        <v>0.056</v>
      </c>
      <c r="G32" s="798"/>
      <c r="H32" s="2168"/>
      <c r="I32" s="2277"/>
      <c r="J32" s="2278"/>
      <c r="K32" s="2279"/>
      <c r="L32" s="2280"/>
      <c r="M32" s="2281"/>
    </row>
    <row r="33" ht="18" customHeight="1" spans="1:13">
      <c r="A33" s="2145" t="s">
        <v>924</v>
      </c>
      <c r="B33" s="2114" t="s">
        <v>1196</v>
      </c>
      <c r="C33" s="1047">
        <f ca="1">IF(项目基本情况!B11="自然人","——",IF(D33="按租金收入计税",ROUND(C6*F33/(1+'数据-取费表'!C42),0),IF(D33="按房产原值计税",ROUND(C29*F33*0.7,0),INDIRECT("'数据-取费表'!Aj"&amp;$G$1))))</f>
        <v>0</v>
      </c>
      <c r="D33" s="2173" t="s">
        <v>1197</v>
      </c>
      <c r="E33" s="2114" t="s">
        <v>1180</v>
      </c>
      <c r="F33" s="2154">
        <f>IF(D33="按票据","——",IF(D33="按租金收入计税",'数据-取费表'!B51,'数据-取费表'!B50))</f>
        <v>0.12</v>
      </c>
      <c r="G33" s="798"/>
      <c r="H33" s="2174"/>
      <c r="I33" s="2277"/>
      <c r="J33" s="2278"/>
      <c r="K33" s="2282"/>
      <c r="L33" s="2174"/>
      <c r="M33" s="2174"/>
    </row>
    <row r="34" ht="18" customHeight="1" spans="1:13">
      <c r="A34" s="2110" t="s">
        <v>927</v>
      </c>
      <c r="B34" s="2113" t="s">
        <v>1200</v>
      </c>
      <c r="C34" s="2175">
        <f ca="1">IF(项目基本情况!B11="自然人","——",ROUND(F34*F35,0))</f>
        <v>0</v>
      </c>
      <c r="D34" s="2176" t="s">
        <v>1201</v>
      </c>
      <c r="E34" s="2114" t="s">
        <v>1202</v>
      </c>
      <c r="F34" s="2160">
        <f>'数据-取费表'!B52</f>
        <v>1.5</v>
      </c>
      <c r="G34" s="798"/>
      <c r="H34" s="2168"/>
      <c r="I34" s="2277"/>
      <c r="J34" s="2278"/>
      <c r="K34" s="2283"/>
      <c r="L34" s="2284"/>
      <c r="M34" s="2284"/>
    </row>
    <row r="35" ht="18" customHeight="1" spans="1:13">
      <c r="A35" s="2177"/>
      <c r="B35" s="2178"/>
      <c r="C35" s="2179"/>
      <c r="D35" s="2180"/>
      <c r="E35" s="2114" t="s">
        <v>1206</v>
      </c>
      <c r="F35" s="2115">
        <f ca="1">INDIRECT("'数据-取费表'!r"&amp;$G$1)</f>
        <v>0</v>
      </c>
      <c r="G35" s="798"/>
      <c r="H35" s="2168"/>
      <c r="I35" s="2277"/>
      <c r="J35" s="2278"/>
      <c r="K35" s="2282"/>
      <c r="L35" s="2174"/>
      <c r="M35" s="2174"/>
    </row>
    <row r="36" ht="18" customHeight="1" spans="1:13">
      <c r="A36" s="2181" t="s">
        <v>901</v>
      </c>
      <c r="B36" s="2114" t="s">
        <v>1208</v>
      </c>
      <c r="C36" s="1047">
        <f ca="1">ROUND(C29*F36,0)</f>
        <v>0</v>
      </c>
      <c r="D36" s="2170" t="s">
        <v>1241</v>
      </c>
      <c r="E36" s="2114" t="s">
        <v>1180</v>
      </c>
      <c r="F36" s="2182">
        <f ca="1">INDIRECT("'数据-取费表'!Ak"&amp;$G$1)</f>
        <v>0</v>
      </c>
      <c r="G36" s="798"/>
      <c r="H36" s="2174"/>
      <c r="I36" s="2277"/>
      <c r="J36" s="2278"/>
      <c r="K36" s="2285"/>
      <c r="L36" s="2174"/>
      <c r="M36" s="2174"/>
    </row>
    <row r="37" ht="18" customHeight="1" spans="1:13">
      <c r="A37" s="2145" t="s">
        <v>946</v>
      </c>
      <c r="B37" s="2114" t="s">
        <v>1212</v>
      </c>
      <c r="C37" s="1047">
        <f ca="1">ROUND(C13*F37,0)</f>
        <v>0</v>
      </c>
      <c r="D37" s="2170" t="s">
        <v>1213</v>
      </c>
      <c r="E37" s="2114" t="s">
        <v>1180</v>
      </c>
      <c r="F37" s="2183">
        <f ca="1">INDIRECT("'数据-取费表'!Al"&amp;$G$1)</f>
        <v>0</v>
      </c>
      <c r="G37" s="798"/>
      <c r="H37" s="2174"/>
      <c r="I37" s="2277"/>
      <c r="J37" s="2278"/>
      <c r="K37" s="2285"/>
      <c r="L37" s="2174"/>
      <c r="M37" s="2174"/>
    </row>
    <row r="38" ht="18" customHeight="1" spans="1:13">
      <c r="A38" s="2153" t="s">
        <v>949</v>
      </c>
      <c r="B38" s="2138" t="s">
        <v>1198</v>
      </c>
      <c r="C38" s="2162">
        <f ca="1">ROUND(C5*F38,0)</f>
        <v>0</v>
      </c>
      <c r="D38" s="2163" t="s">
        <v>1216</v>
      </c>
      <c r="E38" s="2138" t="s">
        <v>1180</v>
      </c>
      <c r="F38" s="2139">
        <f ca="1">INDIRECT("'数据-取费表'!Am"&amp;$G$1)</f>
        <v>0</v>
      </c>
      <c r="G38" s="798"/>
      <c r="H38" s="2174"/>
      <c r="I38" s="2277"/>
      <c r="J38" s="2278"/>
      <c r="K38" s="2286"/>
      <c r="L38" s="2174"/>
      <c r="M38" s="2174"/>
    </row>
    <row r="39" ht="24.6" customHeight="1" spans="1:13">
      <c r="A39" s="2140" t="s">
        <v>1219</v>
      </c>
      <c r="B39" s="2184" t="s">
        <v>1220</v>
      </c>
      <c r="C39" s="2142">
        <f ca="1">C5-C30</f>
        <v>0</v>
      </c>
      <c r="D39" s="2185" t="s">
        <v>1221</v>
      </c>
      <c r="E39" s="2186"/>
      <c r="F39" s="2187"/>
      <c r="G39" s="798"/>
      <c r="H39" s="2174"/>
      <c r="I39" s="2277"/>
      <c r="J39" s="2278"/>
      <c r="K39" s="2286"/>
      <c r="L39" s="2174"/>
      <c r="M39" s="2174"/>
    </row>
    <row r="40" ht="18" customHeight="1" spans="1:13">
      <c r="A40" s="2104" t="s">
        <v>1225</v>
      </c>
      <c r="B40" s="2105" t="s">
        <v>1242</v>
      </c>
      <c r="C40" s="2188" t="e">
        <f ca="1">ROUND(C39*(1-((1+F42)/(1+F40))^F41)/(F40-F42),0)</f>
        <v>#DIV/0!</v>
      </c>
      <c r="D40" s="2176" t="s">
        <v>1227</v>
      </c>
      <c r="E40" s="2114" t="s">
        <v>1228</v>
      </c>
      <c r="F40" s="2124">
        <f ca="1">INDIRECT("'数据-取费表'!I"&amp;$G$1)</f>
        <v>0</v>
      </c>
      <c r="G40" s="798"/>
      <c r="H40" s="2189"/>
      <c r="I40" s="2277"/>
      <c r="J40" s="2278"/>
      <c r="K40" s="2286"/>
      <c r="L40" s="2189"/>
      <c r="M40" s="2189"/>
    </row>
    <row r="41" ht="18" customHeight="1" spans="1:13">
      <c r="A41" s="2121"/>
      <c r="B41" s="2190"/>
      <c r="C41" s="2122"/>
      <c r="D41" s="2191" t="s">
        <v>1231</v>
      </c>
      <c r="E41" s="2114" t="s">
        <v>1232</v>
      </c>
      <c r="F41" s="2192">
        <f ca="1">IF(INDIRECT("'数据-取费表'!af"&amp;$G$1)=0,INDIRECT("'数据-取费表'!ae"&amp;$G$1),INDIRECT("'数据-取费表'!af"&amp;$G$1))</f>
        <v>0</v>
      </c>
      <c r="G41" s="798"/>
      <c r="H41" s="2193"/>
      <c r="I41" s="2277"/>
      <c r="J41" s="2278"/>
      <c r="K41" s="2285"/>
      <c r="L41" s="2193"/>
      <c r="M41" s="2193"/>
    </row>
    <row r="42" ht="18" customHeight="1" spans="1:13">
      <c r="A42" s="2129"/>
      <c r="B42" s="2194"/>
      <c r="C42" s="2142"/>
      <c r="D42" s="2180"/>
      <c r="E42" s="2114" t="s">
        <v>1235</v>
      </c>
      <c r="F42" s="2124">
        <f ca="1">INDIRECT("'数据-取费表'!v"&amp;$G$1)</f>
        <v>0</v>
      </c>
      <c r="G42" s="798"/>
      <c r="H42" s="2193"/>
      <c r="I42" s="2277"/>
      <c r="J42" s="2278"/>
      <c r="K42" s="2285"/>
      <c r="L42" s="2193"/>
      <c r="M42" s="2193"/>
    </row>
    <row r="43" ht="18" customHeight="1" spans="1:13">
      <c r="A43" s="2165" t="s">
        <v>1237</v>
      </c>
      <c r="B43" s="2195" t="s">
        <v>1243</v>
      </c>
      <c r="C43" s="2196" t="e">
        <f ca="1">ROUND(C40/F43,0)</f>
        <v>#DIV/0!</v>
      </c>
      <c r="D43" s="2197" t="s">
        <v>1244</v>
      </c>
      <c r="E43" s="2198" t="s">
        <v>1245</v>
      </c>
      <c r="F43" s="2199">
        <f ca="1">INDIRECT("'数据-取费表'!k"&amp;$G$1)</f>
        <v>0</v>
      </c>
      <c r="G43" s="798"/>
      <c r="H43" s="2193"/>
      <c r="I43" s="2193"/>
      <c r="J43" s="2193"/>
      <c r="K43" s="2285"/>
      <c r="L43" s="2193"/>
      <c r="M43" s="2193"/>
    </row>
    <row r="44" s="798" customFormat="1" ht="18" customHeight="1" spans="1:11">
      <c r="A44" s="2200"/>
      <c r="B44" s="2200"/>
      <c r="C44" s="2201"/>
      <c r="D44" s="2200"/>
      <c r="E44" s="2200"/>
      <c r="F44" s="2200"/>
      <c r="K44" s="2287"/>
    </row>
    <row r="45" s="798" customFormat="1" ht="18" customHeight="1" spans="1:18">
      <c r="A45" s="2202" t="s">
        <v>1342</v>
      </c>
      <c r="B45" s="2200"/>
      <c r="C45" s="2203" t="e">
        <f ca="1">ROUND((C68-C40)/10000,4)</f>
        <v>#DIV/0!</v>
      </c>
      <c r="D45" s="2204" t="s">
        <v>1343</v>
      </c>
      <c r="E45" s="2200"/>
      <c r="F45" s="2200"/>
      <c r="O45" s="2288" t="s">
        <v>1246</v>
      </c>
      <c r="P45" s="2189"/>
      <c r="Q45" s="2189"/>
      <c r="R45" s="2189"/>
    </row>
    <row r="46" s="798" customFormat="1" ht="13.5" spans="1:18">
      <c r="A46" s="2205" t="s">
        <v>1247</v>
      </c>
      <c r="C46" s="2206" t="e">
        <f ca="1">ROUND(C45,0)</f>
        <v>#DIV/0!</v>
      </c>
      <c r="D46" s="2207" t="str">
        <f>C2</f>
        <v>万元</v>
      </c>
      <c r="I46" s="2289" t="s">
        <v>1248</v>
      </c>
      <c r="J46" s="2290"/>
      <c r="K46" s="2291"/>
      <c r="L46" s="2292" t="e">
        <f ca="1">IF(M47="住宅",0,IF(L48&gt;J51,L60,J60))</f>
        <v>#DIV/0!</v>
      </c>
      <c r="O46" s="2293" t="s">
        <v>1249</v>
      </c>
      <c r="P46" s="2294" t="s">
        <v>1250</v>
      </c>
      <c r="Q46" s="2341" t="s">
        <v>1251</v>
      </c>
      <c r="R46" s="2341" t="s">
        <v>1252</v>
      </c>
    </row>
    <row r="47" s="798" customFormat="1" ht="13.5" spans="1:18">
      <c r="A47" s="2208" t="s">
        <v>1152</v>
      </c>
      <c r="B47" s="2209" t="s">
        <v>1153</v>
      </c>
      <c r="C47" s="2209" t="s">
        <v>1154</v>
      </c>
      <c r="D47" s="2209" t="s">
        <v>1155</v>
      </c>
      <c r="E47" s="2210" t="s">
        <v>1156</v>
      </c>
      <c r="F47" s="1040"/>
      <c r="G47" s="2211"/>
      <c r="I47" s="2295" t="s">
        <v>1253</v>
      </c>
      <c r="J47" s="2296"/>
      <c r="K47" s="2297" t="s">
        <v>1255</v>
      </c>
      <c r="L47" s="2298">
        <f ca="1">INDIRECT("'数据-取费表'!d"&amp;$G$1)</f>
        <v>0</v>
      </c>
      <c r="M47" s="2299" t="str">
        <f>IF(ISNUMBER(FIND("住宅",C1)),"住宅","非住宅")</f>
        <v>非住宅</v>
      </c>
      <c r="O47" s="2300" t="s">
        <v>1003</v>
      </c>
      <c r="P47" s="2301" t="s">
        <v>1256</v>
      </c>
      <c r="Q47" s="2342" t="e">
        <f ca="1">C40+J29</f>
        <v>#DIV/0!</v>
      </c>
      <c r="R47" s="2342" t="s">
        <v>1257</v>
      </c>
    </row>
    <row r="48" s="798" customFormat="1" ht="26.25" spans="1:18">
      <c r="A48" s="2212" t="s">
        <v>1258</v>
      </c>
      <c r="B48" s="2105" t="s">
        <v>1157</v>
      </c>
      <c r="C48" s="1048">
        <f ca="1">C49+C53+C55</f>
        <v>0</v>
      </c>
      <c r="D48" s="2213"/>
      <c r="E48" s="2214"/>
      <c r="F48" s="2215"/>
      <c r="G48" s="2211"/>
      <c r="H48" s="2216"/>
      <c r="I48" s="2302" t="s">
        <v>1259</v>
      </c>
      <c r="J48" s="2303"/>
      <c r="K48" s="2304" t="s">
        <v>1261</v>
      </c>
      <c r="L48" s="2305">
        <f ca="1">INDIRECT("'数据-取费表'!f"&amp;$G$1)</f>
        <v>0</v>
      </c>
      <c r="O48" s="2300" t="s">
        <v>1007</v>
      </c>
      <c r="P48" s="2301" t="s">
        <v>1262</v>
      </c>
      <c r="Q48" s="2342" t="e">
        <f ca="1">J60</f>
        <v>#DIV/0!</v>
      </c>
      <c r="R48" s="2342" t="s">
        <v>1263</v>
      </c>
    </row>
    <row r="49" s="798" customFormat="1" ht="13.5" spans="1:18">
      <c r="A49" s="2217" t="s">
        <v>1264</v>
      </c>
      <c r="B49" s="2218" t="s">
        <v>1265</v>
      </c>
      <c r="C49" s="2219">
        <f ca="1">ROUND(F49*F51*F50*(1-F52),0)</f>
        <v>0</v>
      </c>
      <c r="D49" s="2220" t="s">
        <v>1344</v>
      </c>
      <c r="E49" s="2221" t="s">
        <v>1266</v>
      </c>
      <c r="F49" s="2222"/>
      <c r="G49" s="2223"/>
      <c r="H49" s="2216"/>
      <c r="I49" s="2302" t="s">
        <v>1267</v>
      </c>
      <c r="J49" s="2306"/>
      <c r="K49" s="2304" t="s">
        <v>1268</v>
      </c>
      <c r="L49" s="2307"/>
      <c r="O49" s="2308" t="s">
        <v>1269</v>
      </c>
      <c r="P49" s="2301" t="s">
        <v>1270</v>
      </c>
      <c r="Q49" s="2342">
        <f ca="1">C29</f>
        <v>0</v>
      </c>
      <c r="R49" s="2342" t="s">
        <v>1257</v>
      </c>
    </row>
    <row r="50" s="798" customFormat="1" ht="13.5" spans="1:18">
      <c r="A50" s="2224"/>
      <c r="B50" s="2225"/>
      <c r="C50" s="2226"/>
      <c r="D50" s="2227"/>
      <c r="E50" s="2228" t="s">
        <v>1163</v>
      </c>
      <c r="F50" s="2229">
        <f ca="1">F7</f>
        <v>0</v>
      </c>
      <c r="H50" s="2216"/>
      <c r="I50" s="2302" t="s">
        <v>1271</v>
      </c>
      <c r="J50" s="2309">
        <f>SUMPRODUCT((I63:I65=J47)*(J62:L62=J48)*(J63:L65))</f>
        <v>0</v>
      </c>
      <c r="K50" s="2304" t="s">
        <v>1272</v>
      </c>
      <c r="L50" s="2307"/>
      <c r="M50" s="2310"/>
      <c r="O50" s="2308" t="s">
        <v>1273</v>
      </c>
      <c r="P50" s="2301" t="s">
        <v>1274</v>
      </c>
      <c r="Q50" s="2343" t="e">
        <f ca="1">J58</f>
        <v>#DIV/0!</v>
      </c>
      <c r="R50" s="2342"/>
    </row>
    <row r="51" s="798" customFormat="1" ht="13.5" spans="1:18">
      <c r="A51" s="2230"/>
      <c r="B51" s="2225"/>
      <c r="C51" s="2226"/>
      <c r="D51" s="2227"/>
      <c r="E51" s="2231" t="s">
        <v>1164</v>
      </c>
      <c r="F51" s="2115">
        <f ca="1">F8</f>
        <v>0</v>
      </c>
      <c r="I51" s="2311" t="s">
        <v>1275</v>
      </c>
      <c r="J51" s="2312">
        <f>IF(J49="",J50,J49+J50-YEAR('数据-取费表'!B2))</f>
        <v>0</v>
      </c>
      <c r="K51" s="2313" t="s">
        <v>1276</v>
      </c>
      <c r="L51" s="2314">
        <f ca="1">ROUND(-PV(INDIRECT("'数据-取费表'!h"&amp;$G$1),J51,(C39-C13*C76),0),0)</f>
        <v>0</v>
      </c>
      <c r="M51" s="2315"/>
      <c r="O51" s="2308" t="s">
        <v>1277</v>
      </c>
      <c r="P51" s="2301" t="s">
        <v>1278</v>
      </c>
      <c r="Q51" s="2343">
        <f>J52</f>
        <v>0</v>
      </c>
      <c r="R51" s="2342"/>
    </row>
    <row r="52" s="798" customFormat="1" ht="13.5" spans="1:18">
      <c r="A52" s="2230"/>
      <c r="B52" s="2225"/>
      <c r="C52" s="2226"/>
      <c r="D52" s="2227"/>
      <c r="E52" s="2231" t="s">
        <v>1165</v>
      </c>
      <c r="F52" s="2232"/>
      <c r="I52" s="2316" t="s">
        <v>1279</v>
      </c>
      <c r="J52" s="2317"/>
      <c r="K52" s="2316" t="s">
        <v>1280</v>
      </c>
      <c r="L52" s="2317"/>
      <c r="O52" s="2308" t="s">
        <v>1281</v>
      </c>
      <c r="P52" s="2301" t="s">
        <v>1282</v>
      </c>
      <c r="Q52" s="2342">
        <f ca="1">J53</f>
        <v>0</v>
      </c>
      <c r="R52" s="2342" t="s">
        <v>1283</v>
      </c>
    </row>
    <row r="53" s="798" customFormat="1" ht="30.75" customHeight="1" spans="1:18">
      <c r="A53" s="2233" t="s">
        <v>1284</v>
      </c>
      <c r="B53" s="2157" t="s">
        <v>1166</v>
      </c>
      <c r="C53" s="1046">
        <f ca="1">ROUND(IF(F53="押一",C49/12*F11,IF(F53="押二",C49/12*2*F11,IF(F53="押三",C49/12*3*F11,C54*F11))),0)</f>
        <v>0</v>
      </c>
      <c r="D53" s="2126" t="s">
        <v>1345</v>
      </c>
      <c r="E53" s="2127" t="s">
        <v>1168</v>
      </c>
      <c r="F53" s="2128"/>
      <c r="I53" s="2318" t="s">
        <v>1285</v>
      </c>
      <c r="J53" s="2319">
        <f ca="1">IF(M47="住宅",IF(D1="——",MAX(J51,L48),MAX(J51,L48-'数据-取费表'!B24)),IF(D1="——",MIN(J51,L48),MIN(J51,L48-'数据-取费表'!B24)))</f>
        <v>0</v>
      </c>
      <c r="K53" s="2320" t="s">
        <v>1286</v>
      </c>
      <c r="L53" s="2321"/>
      <c r="O53" s="2300" t="s">
        <v>1108</v>
      </c>
      <c r="P53" s="2301" t="s">
        <v>1287</v>
      </c>
      <c r="Q53" s="2342" t="e">
        <f ca="1">Q47+Q48</f>
        <v>#DIV/0!</v>
      </c>
      <c r="R53" s="2342" t="s">
        <v>1288</v>
      </c>
    </row>
    <row r="54" s="798" customFormat="1" ht="13.5" spans="1:18">
      <c r="A54" s="2217"/>
      <c r="B54" s="2234" t="s">
        <v>1341</v>
      </c>
      <c r="C54" s="2131"/>
      <c r="D54" s="2126"/>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3"/>
      <c r="K54" s="2323"/>
      <c r="L54" s="2323"/>
      <c r="M54" s="2223"/>
      <c r="O54" s="2288" t="s">
        <v>1289</v>
      </c>
      <c r="P54" s="2324"/>
      <c r="Q54" s="2324"/>
      <c r="R54" s="2324"/>
    </row>
    <row r="55" s="798" customFormat="1" ht="13.5" spans="1:18">
      <c r="A55" s="2134" t="s">
        <v>946</v>
      </c>
      <c r="B55" s="2135" t="s">
        <v>1172</v>
      </c>
      <c r="C55" s="2136"/>
      <c r="D55" s="2126"/>
      <c r="E55" s="2235"/>
      <c r="F55" s="2236"/>
      <c r="I55" s="2325" t="s">
        <v>1290</v>
      </c>
      <c r="J55" s="2326" t="e">
        <f ca="1">ROUND(IF(J47="钢混",J57/J50,1-(1-2%)*(J50-J57)/J50),3)</f>
        <v>#DIV/0!</v>
      </c>
      <c r="K55" s="2327" t="s">
        <v>1291</v>
      </c>
      <c r="L55" s="2328"/>
      <c r="O55" s="2293" t="s">
        <v>1249</v>
      </c>
      <c r="P55" s="2294" t="s">
        <v>1250</v>
      </c>
      <c r="Q55" s="2341" t="s">
        <v>1251</v>
      </c>
      <c r="R55" s="2341" t="s">
        <v>1252</v>
      </c>
    </row>
    <row r="56" s="798" customFormat="1" ht="36" customHeight="1" spans="1:18">
      <c r="A56" s="2237">
        <v>2</v>
      </c>
      <c r="B56" s="2238" t="s">
        <v>1173</v>
      </c>
      <c r="C56" s="429">
        <f ca="1">C13</f>
        <v>0</v>
      </c>
      <c r="D56" s="2239"/>
      <c r="E56" s="2240"/>
      <c r="F56" s="2236"/>
      <c r="I56" s="2329" t="s">
        <v>1292</v>
      </c>
      <c r="J56" s="2330"/>
      <c r="K56" s="2302" t="s">
        <v>1294</v>
      </c>
      <c r="L56" s="2305">
        <f ca="1">IF(L48&lt;J51,"——",L48-J51)</f>
        <v>0</v>
      </c>
      <c r="O56" s="2300" t="s">
        <v>1003</v>
      </c>
      <c r="P56" s="2301" t="s">
        <v>1256</v>
      </c>
      <c r="Q56" s="2342" t="e">
        <f ca="1">C40+J29</f>
        <v>#DIV/0!</v>
      </c>
      <c r="R56" s="2342" t="s">
        <v>1257</v>
      </c>
    </row>
    <row r="57" s="798" customFormat="1" ht="24.75" spans="1:18">
      <c r="A57" s="2241"/>
      <c r="B57" s="2242" t="s">
        <v>1236</v>
      </c>
      <c r="C57" s="439">
        <f ca="1">C29</f>
        <v>0</v>
      </c>
      <c r="D57" s="2243"/>
      <c r="E57" s="2244"/>
      <c r="F57" s="2245"/>
      <c r="I57" s="2331" t="s">
        <v>1295</v>
      </c>
      <c r="J57" s="2332">
        <f ca="1">IF(OR(M47="住宅",J51&lt;L48,J56="是"),"——",J51-L48)</f>
        <v>0</v>
      </c>
      <c r="K57" s="2302" t="s">
        <v>1346</v>
      </c>
      <c r="L57" s="2305">
        <f ca="1">IF(L48&lt;J51,"——",IF(L55="比较法",L49,IF(L55="基准地价",L50,L51)))</f>
        <v>0</v>
      </c>
      <c r="O57" s="2300" t="s">
        <v>1007</v>
      </c>
      <c r="P57" s="2301" t="s">
        <v>1297</v>
      </c>
      <c r="Q57" s="2342" t="e">
        <f ca="1">L60</f>
        <v>#DIV/0!</v>
      </c>
      <c r="R57" s="2342" t="s">
        <v>1298</v>
      </c>
    </row>
    <row r="58" s="798" customFormat="1" ht="24.75" spans="1:18">
      <c r="A58" s="2246" t="s">
        <v>1181</v>
      </c>
      <c r="B58" s="2238" t="s">
        <v>1182</v>
      </c>
      <c r="C58" s="1046">
        <f ca="1">ROUND(C59+C64+C65+C66,0)</f>
        <v>0</v>
      </c>
      <c r="D58" s="2247" t="s">
        <v>1183</v>
      </c>
      <c r="E58" s="2248"/>
      <c r="F58" s="2215"/>
      <c r="I58" s="2331" t="s">
        <v>1299</v>
      </c>
      <c r="J58" s="2333" t="e">
        <f ca="1">IF(J55&lt;0.4,0.4,J55)</f>
        <v>#DIV/0!</v>
      </c>
      <c r="K58" s="2313" t="s">
        <v>1347</v>
      </c>
      <c r="L58" s="2305" t="e">
        <f ca="1">ROUND(POWER(1+L52,L47-L48)*(POWER(1+L52,L48)-1)/(POWER(1+L52,L47)-1),4)</f>
        <v>#DIV/0!</v>
      </c>
      <c r="O58" s="2308" t="s">
        <v>1269</v>
      </c>
      <c r="P58" s="2301" t="s">
        <v>1301</v>
      </c>
      <c r="Q58" s="2342">
        <f>IF(L55="比较法",L49,IF(L55="基准地价",L50,0))</f>
        <v>0</v>
      </c>
      <c r="R58" s="2342" t="s">
        <v>1257</v>
      </c>
    </row>
    <row r="59" s="798" customFormat="1" ht="24.75" spans="1:18">
      <c r="A59" s="2145" t="s">
        <v>897</v>
      </c>
      <c r="B59" s="2242" t="s">
        <v>1188</v>
      </c>
      <c r="C59" s="2169">
        <f ca="1">ROUND(IF(AND(项目基本情况!B11="自然人",项目基本情况!B10="北京市"),C49*F59/(1+'数据-取费表'!C42),C60+C61+C62),0)</f>
        <v>0</v>
      </c>
      <c r="D59" s="2249" t="s">
        <v>1189</v>
      </c>
      <c r="E59" s="2250" t="s">
        <v>1190</v>
      </c>
      <c r="F59" s="2171" t="str">
        <f ca="1">IF(项目基本情况!B11="企业","——",IF('数据-取费表'!B10="住宅",IF(F49*F50*F51/12/(1+'数据-取费表'!F30)&gt;100000,4%,2.5%),IF(F49*F50*F51/12/(1+'数据-取费表'!F30)&gt;100000,12%,7%)))</f>
        <v>——</v>
      </c>
      <c r="I59" s="2331" t="s">
        <v>1302</v>
      </c>
      <c r="J59" s="2332" t="e">
        <f ca="1">IF(OR(M47="住宅",J51&lt;L48,J56="是"),"——",ROUND(C29*J58,0))</f>
        <v>#DIV/0!</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08" t="s">
        <v>1273</v>
      </c>
      <c r="P59" s="2301" t="s">
        <v>1303</v>
      </c>
      <c r="Q59" s="2343">
        <f>L52</f>
        <v>0</v>
      </c>
      <c r="R59" s="2342"/>
    </row>
    <row r="60" s="798" customFormat="1" ht="17.25" spans="1:18">
      <c r="A60" s="2145" t="s">
        <v>920</v>
      </c>
      <c r="B60" s="2242" t="s">
        <v>1192</v>
      </c>
      <c r="C60" s="1047">
        <f ca="1">IF(项目基本情况!B11="自然人","——",ROUND(C48*F60/(1+'数据-取费表'!C42),0))</f>
        <v>0</v>
      </c>
      <c r="D60" s="2250" t="s">
        <v>1193</v>
      </c>
      <c r="E60" s="2242" t="s">
        <v>1180</v>
      </c>
      <c r="F60" s="2161">
        <f t="shared" ref="F60:F66" si="0">F32</f>
        <v>0.056</v>
      </c>
      <c r="I60" s="2334" t="s">
        <v>1304</v>
      </c>
      <c r="J60" s="2335" t="e">
        <f ca="1">IF(OR(M47="住宅",J51&lt;L48,J56="是"),"0",ROUND(J59/(1+J52)^J53,0))</f>
        <v>#DIV/0!</v>
      </c>
      <c r="K60" s="2336" t="s">
        <v>1305</v>
      </c>
      <c r="L60" s="2335" t="e">
        <f ca="1">IF(OR(M47="住宅",L48&lt;J51),0,ROUND(L57*(L58/L59-1),0))</f>
        <v>#DIV/0!</v>
      </c>
      <c r="O60" s="2308" t="s">
        <v>1277</v>
      </c>
      <c r="P60" s="2301" t="s">
        <v>1306</v>
      </c>
      <c r="Q60" s="2342" t="e">
        <f ca="1">L58</f>
        <v>#DIV/0!</v>
      </c>
      <c r="R60" s="2342" t="s">
        <v>1307</v>
      </c>
    </row>
    <row r="61" s="798" customFormat="1" ht="13.5" spans="1:18">
      <c r="A61" s="2145" t="s">
        <v>924</v>
      </c>
      <c r="B61" s="2242" t="s">
        <v>1196</v>
      </c>
      <c r="C61" s="1047">
        <f ca="1">IF(项目基本情况!B11="自然人","——",IF(D61="按租金收入计税",ROUND(C49*F61/(1+'数据-取费表'!C42),0),IF(D61="按房产原值计税",ROUND(C57*F61*0.7,0),INDIRECT("'数据-取费表'!Aj"&amp;$G$1))))</f>
        <v>0</v>
      </c>
      <c r="D61" s="2173" t="s">
        <v>1197</v>
      </c>
      <c r="E61" s="2242" t="s">
        <v>1180</v>
      </c>
      <c r="F61" s="2154">
        <f t="shared" si="0"/>
        <v>0.12</v>
      </c>
      <c r="I61" s="2189"/>
      <c r="J61" s="2189"/>
      <c r="K61" s="2189"/>
      <c r="L61" s="2189"/>
      <c r="O61" s="2308" t="s">
        <v>1281</v>
      </c>
      <c r="P61" s="2301" t="str">
        <f>K59</f>
        <v>建筑物剩余耐用年限下的土地年期修正系数Kn</v>
      </c>
      <c r="Q61" s="2342" t="e">
        <f ca="1">L59</f>
        <v>#DIV/0!</v>
      </c>
      <c r="R61" s="2342" t="s">
        <v>1308</v>
      </c>
    </row>
    <row r="62" s="798" customFormat="1" ht="13.5" spans="1:18">
      <c r="A62" s="2145" t="s">
        <v>927</v>
      </c>
      <c r="B62" s="2251" t="s">
        <v>1200</v>
      </c>
      <c r="C62" s="2175">
        <f ca="1">IF(项目基本情况!B11="自然人","——",ROUND(F62*F63,0))</f>
        <v>0</v>
      </c>
      <c r="D62" s="2252" t="s">
        <v>1201</v>
      </c>
      <c r="E62" s="2242" t="s">
        <v>1202</v>
      </c>
      <c r="F62" s="2160">
        <f t="shared" si="0"/>
        <v>1.5</v>
      </c>
      <c r="I62" s="2337" t="s">
        <v>1309</v>
      </c>
      <c r="J62" s="2338" t="s">
        <v>1310</v>
      </c>
      <c r="K62" s="2338" t="s">
        <v>1311</v>
      </c>
      <c r="L62" s="2338" t="s">
        <v>1312</v>
      </c>
      <c r="M62" s="2339" t="s">
        <v>1313</v>
      </c>
      <c r="O62" s="2300" t="s">
        <v>1108</v>
      </c>
      <c r="P62" s="2301" t="s">
        <v>1287</v>
      </c>
      <c r="Q62" s="2342" t="e">
        <f ca="1">Q56+Q57</f>
        <v>#DIV/0!</v>
      </c>
      <c r="R62" s="2342" t="s">
        <v>1288</v>
      </c>
    </row>
    <row r="63" s="798" customFormat="1" ht="13.5" spans="1:18">
      <c r="A63" s="2158"/>
      <c r="B63" s="2253"/>
      <c r="C63" s="2179"/>
      <c r="D63" s="2254"/>
      <c r="E63" s="2242" t="s">
        <v>1206</v>
      </c>
      <c r="F63" s="2115">
        <f ca="1" t="shared" si="0"/>
        <v>0</v>
      </c>
      <c r="I63" s="2337" t="s">
        <v>1314</v>
      </c>
      <c r="J63" s="2338">
        <v>70</v>
      </c>
      <c r="K63" s="2338">
        <v>50</v>
      </c>
      <c r="L63" s="2338">
        <v>80</v>
      </c>
      <c r="M63" s="2340">
        <v>0.02</v>
      </c>
      <c r="O63" s="2288" t="s">
        <v>1315</v>
      </c>
      <c r="P63" s="2324"/>
      <c r="Q63" s="2324"/>
      <c r="R63" s="2324"/>
    </row>
    <row r="64" s="798" customFormat="1" ht="13.5" spans="1:18">
      <c r="A64" s="2145" t="s">
        <v>901</v>
      </c>
      <c r="B64" s="2242" t="s">
        <v>1208</v>
      </c>
      <c r="C64" s="1047">
        <f ca="1">ROUND(C57*F64,0)</f>
        <v>0</v>
      </c>
      <c r="D64" s="2250" t="s">
        <v>1241</v>
      </c>
      <c r="E64" s="2242" t="s">
        <v>1180</v>
      </c>
      <c r="F64" s="2182">
        <f ca="1" t="shared" si="0"/>
        <v>0</v>
      </c>
      <c r="I64" s="2337" t="s">
        <v>1316</v>
      </c>
      <c r="J64" s="2338">
        <v>50</v>
      </c>
      <c r="K64" s="2338">
        <v>35</v>
      </c>
      <c r="L64" s="2338">
        <v>60</v>
      </c>
      <c r="M64" s="2339">
        <v>0</v>
      </c>
      <c r="O64" s="2293" t="s">
        <v>1249</v>
      </c>
      <c r="P64" s="2294" t="s">
        <v>1250</v>
      </c>
      <c r="Q64" s="2341" t="s">
        <v>1251</v>
      </c>
      <c r="R64" s="2341" t="s">
        <v>1252</v>
      </c>
    </row>
    <row r="65" s="798" customFormat="1" ht="13.5" spans="1:18">
      <c r="A65" s="2145" t="s">
        <v>946</v>
      </c>
      <c r="B65" s="2242" t="s">
        <v>1212</v>
      </c>
      <c r="C65" s="1047">
        <f ca="1">ROUND(C56*F65,0)</f>
        <v>0</v>
      </c>
      <c r="D65" s="2250" t="s">
        <v>1213</v>
      </c>
      <c r="E65" s="2242" t="s">
        <v>1180</v>
      </c>
      <c r="F65" s="2183">
        <f ca="1" t="shared" si="0"/>
        <v>0</v>
      </c>
      <c r="I65" s="2337" t="s">
        <v>1317</v>
      </c>
      <c r="J65" s="2338">
        <v>40</v>
      </c>
      <c r="K65" s="2338">
        <v>30</v>
      </c>
      <c r="L65" s="2338">
        <v>50</v>
      </c>
      <c r="M65" s="2340">
        <v>0.02</v>
      </c>
      <c r="O65" s="2300" t="s">
        <v>1003</v>
      </c>
      <c r="P65" s="2301" t="s">
        <v>1256</v>
      </c>
      <c r="Q65" s="2342" t="e">
        <f ca="1">C40+J29</f>
        <v>#DIV/0!</v>
      </c>
      <c r="R65" s="2342" t="s">
        <v>1257</v>
      </c>
    </row>
    <row r="66" s="798" customFormat="1" ht="17.25" spans="1:18">
      <c r="A66" s="2145" t="s">
        <v>949</v>
      </c>
      <c r="B66" s="2242" t="s">
        <v>1198</v>
      </c>
      <c r="C66" s="1047">
        <f ca="1">ROUND(C48*F66,0)</f>
        <v>0</v>
      </c>
      <c r="D66" s="2250" t="s">
        <v>1216</v>
      </c>
      <c r="E66" s="2242" t="s">
        <v>1180</v>
      </c>
      <c r="F66" s="2124">
        <f ca="1" t="shared" si="0"/>
        <v>0</v>
      </c>
      <c r="O66" s="2300" t="s">
        <v>1007</v>
      </c>
      <c r="P66" s="2301" t="s">
        <v>1297</v>
      </c>
      <c r="Q66" s="2342" t="e">
        <f ca="1">L60</f>
        <v>#DIV/0!</v>
      </c>
      <c r="R66" s="2342" t="s">
        <v>1298</v>
      </c>
    </row>
    <row r="67" s="798" customFormat="1" ht="17.25" spans="1:18">
      <c r="A67" s="2237" t="s">
        <v>1219</v>
      </c>
      <c r="B67" s="2344" t="s">
        <v>1220</v>
      </c>
      <c r="C67" s="1046">
        <f ca="1">C48-C58</f>
        <v>0</v>
      </c>
      <c r="D67" s="2249" t="s">
        <v>1221</v>
      </c>
      <c r="E67" s="2345"/>
      <c r="F67" s="2346"/>
      <c r="O67" s="2308" t="s">
        <v>1269</v>
      </c>
      <c r="P67" s="2301" t="s">
        <v>1301</v>
      </c>
      <c r="Q67" s="2366">
        <f ca="1">L51</f>
        <v>0</v>
      </c>
      <c r="R67" s="2342" t="s">
        <v>1318</v>
      </c>
    </row>
    <row r="68" s="798" customFormat="1" ht="17.25" spans="1:18">
      <c r="A68" s="2347" t="s">
        <v>1225</v>
      </c>
      <c r="B68" s="2348" t="s">
        <v>1242</v>
      </c>
      <c r="C68" s="2188" t="e">
        <f ca="1">ROUND(C67*(1-((1+F70)/(1+F68))^F69)/(F68-F70),0)</f>
        <v>#DIV/0!</v>
      </c>
      <c r="D68" s="2252" t="s">
        <v>1227</v>
      </c>
      <c r="E68" s="2242" t="s">
        <v>1228</v>
      </c>
      <c r="F68" s="2124">
        <f ca="1">F40</f>
        <v>0</v>
      </c>
      <c r="O68" s="2308" t="s">
        <v>1273</v>
      </c>
      <c r="P68" s="2365" t="s">
        <v>1319</v>
      </c>
      <c r="Q68" s="2342">
        <f ca="1">ROUND(Q69-Q70*Q71,0)</f>
        <v>0</v>
      </c>
      <c r="R68" s="2342" t="s">
        <v>1320</v>
      </c>
    </row>
    <row r="69" s="798" customFormat="1" ht="13.5" spans="1:18">
      <c r="A69" s="2349"/>
      <c r="B69" s="2350"/>
      <c r="C69" s="2122"/>
      <c r="D69" s="2351" t="s">
        <v>1231</v>
      </c>
      <c r="E69" s="2242" t="s">
        <v>1232</v>
      </c>
      <c r="F69" s="2192">
        <f ca="1">F41</f>
        <v>0</v>
      </c>
      <c r="O69" s="2308" t="s">
        <v>1321</v>
      </c>
      <c r="P69" s="2365" t="s">
        <v>1322</v>
      </c>
      <c r="Q69" s="2342">
        <f ca="1">C39</f>
        <v>0</v>
      </c>
      <c r="R69" s="2342" t="s">
        <v>1257</v>
      </c>
    </row>
    <row r="70" s="798" customFormat="1" ht="13.5" spans="1:18">
      <c r="A70" s="2352"/>
      <c r="B70" s="2353"/>
      <c r="C70" s="2142"/>
      <c r="D70" s="2254"/>
      <c r="E70" s="2242" t="s">
        <v>1235</v>
      </c>
      <c r="F70" s="2232"/>
      <c r="O70" s="2308" t="s">
        <v>1323</v>
      </c>
      <c r="P70" s="2365" t="s">
        <v>1324</v>
      </c>
      <c r="Q70" s="2342">
        <f ca="1">C13</f>
        <v>0</v>
      </c>
      <c r="R70" s="2342" t="s">
        <v>1257</v>
      </c>
    </row>
    <row r="71" s="798" customFormat="1" ht="13.5" spans="1:18">
      <c r="A71" s="2354" t="s">
        <v>1237</v>
      </c>
      <c r="B71" s="2355" t="s">
        <v>1243</v>
      </c>
      <c r="C71" s="2196" t="e">
        <f ca="1">ROUND(C68/F71,0)</f>
        <v>#DIV/0!</v>
      </c>
      <c r="D71" s="2356" t="s">
        <v>1244</v>
      </c>
      <c r="E71" s="2357" t="s">
        <v>1245</v>
      </c>
      <c r="F71" s="2199">
        <f ca="1">F43</f>
        <v>0</v>
      </c>
      <c r="O71" s="2308" t="s">
        <v>1325</v>
      </c>
      <c r="P71" s="2365" t="s">
        <v>1326</v>
      </c>
      <c r="Q71" s="2343">
        <f ca="1">C76</f>
        <v>0</v>
      </c>
      <c r="R71" s="2342"/>
    </row>
    <row r="72" s="798" customFormat="1" ht="13.5" spans="2:18">
      <c r="B72" s="1081"/>
      <c r="C72" s="1081"/>
      <c r="O72" s="2308" t="s">
        <v>1277</v>
      </c>
      <c r="P72" s="2301" t="s">
        <v>1303</v>
      </c>
      <c r="Q72" s="2343">
        <f>L52</f>
        <v>0</v>
      </c>
      <c r="R72" s="2342"/>
    </row>
    <row r="73" ht="17.25" spans="1:18">
      <c r="A73" s="798"/>
      <c r="B73" s="1081"/>
      <c r="C73" s="1081"/>
      <c r="D73" s="798"/>
      <c r="E73" s="798"/>
      <c r="F73" s="798"/>
      <c r="O73" s="2308" t="s">
        <v>1281</v>
      </c>
      <c r="P73" s="2301" t="s">
        <v>1306</v>
      </c>
      <c r="Q73" s="2342" t="e">
        <f ca="1">L58</f>
        <v>#DIV/0!</v>
      </c>
      <c r="R73" s="2342" t="s">
        <v>1307</v>
      </c>
    </row>
    <row r="74" ht="13.5" spans="1:18">
      <c r="A74" s="798"/>
      <c r="B74" s="474" t="s">
        <v>1327</v>
      </c>
      <c r="C74" s="2358"/>
      <c r="D74" s="798"/>
      <c r="E74" s="798"/>
      <c r="F74" s="798"/>
      <c r="O74" s="2308" t="s">
        <v>1328</v>
      </c>
      <c r="P74" s="2301" t="str">
        <f>K59</f>
        <v>建筑物剩余耐用年限下的土地年期修正系数Kn</v>
      </c>
      <c r="Q74" s="2342" t="e">
        <f ca="1">L59</f>
        <v>#DIV/0!</v>
      </c>
      <c r="R74" s="2342" t="s">
        <v>1308</v>
      </c>
    </row>
    <row r="75" ht="13.5" spans="1:18">
      <c r="A75" s="798"/>
      <c r="B75" s="2359" t="s">
        <v>1329</v>
      </c>
      <c r="C75" s="2360">
        <f ca="1">ROUND(C13*C76,0)</f>
        <v>0</v>
      </c>
      <c r="D75" s="798"/>
      <c r="E75" s="798"/>
      <c r="F75" s="798"/>
      <c r="K75" s="2287"/>
      <c r="L75" s="798"/>
      <c r="O75" s="2300" t="s">
        <v>1108</v>
      </c>
      <c r="P75" s="2301" t="s">
        <v>1287</v>
      </c>
      <c r="Q75" s="2342" t="e">
        <f ca="1">Q65+Q66</f>
        <v>#DIV/0!</v>
      </c>
      <c r="R75" s="2342" t="s">
        <v>1288</v>
      </c>
    </row>
    <row r="76" spans="2:12">
      <c r="B76" s="574" t="s">
        <v>1330</v>
      </c>
      <c r="C76" s="2361">
        <f ca="1">INDIRECT("'数据-取费表'!j"&amp;$G$1)</f>
        <v>0</v>
      </c>
      <c r="I76" s="798"/>
      <c r="J76" s="798"/>
      <c r="K76" s="2287"/>
      <c r="L76" s="798"/>
    </row>
    <row r="77" spans="2:12">
      <c r="B77" s="2362" t="s">
        <v>1331</v>
      </c>
      <c r="C77" s="2363"/>
      <c r="I77" s="798"/>
      <c r="J77" s="798"/>
      <c r="K77" s="2287"/>
      <c r="L77" s="798"/>
    </row>
    <row r="78" spans="2:3">
      <c r="B78" s="472" t="s">
        <v>1332</v>
      </c>
      <c r="C78" s="2364"/>
    </row>
    <row r="79" spans="2:3">
      <c r="B79" s="2359" t="s">
        <v>1333</v>
      </c>
      <c r="C79" s="475" t="e">
        <f ca="1">1-C80</f>
        <v>#DIV/0!</v>
      </c>
    </row>
    <row r="80" spans="2:3">
      <c r="B80" s="2359" t="s">
        <v>1334</v>
      </c>
      <c r="C80" s="475" t="e">
        <f ca="1">ROUND(C75/C39,3)</f>
        <v>#DIV/0!</v>
      </c>
    </row>
    <row r="81" spans="2:3">
      <c r="B81" s="472" t="s">
        <v>1335</v>
      </c>
      <c r="C81" s="439"/>
    </row>
    <row r="82" spans="2:3">
      <c r="B82" s="474" t="s">
        <v>1084</v>
      </c>
      <c r="C82" s="476" t="e">
        <f ca="1">1-C83</f>
        <v>#DIV/0!</v>
      </c>
    </row>
    <row r="83" spans="2:3">
      <c r="B83" s="474" t="s">
        <v>1085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J47" sqref="J47:J49"/>
    </sheetView>
  </sheetViews>
  <sheetFormatPr defaultColWidth="9" defaultRowHeight="13.15" customHeight="1"/>
  <cols>
    <col min="1" max="1" width="9.5" style="1891" customWidth="1"/>
    <col min="2" max="2" width="8.875" style="1891"/>
    <col min="3" max="5" width="12.875" style="1891" customWidth="1"/>
    <col min="6" max="6" width="47.5" style="1891" customWidth="1"/>
    <col min="7" max="7" width="13" style="1892" customWidth="1"/>
    <col min="8" max="8" width="8.875" style="1893"/>
    <col min="9" max="9" width="8.875" style="1894"/>
    <col min="10" max="10" width="5.75" style="1895" customWidth="1"/>
    <col min="11" max="11" width="11.75" style="1895" customWidth="1"/>
    <col min="12" max="13" width="10.75" style="1895" customWidth="1"/>
    <col min="14" max="14" width="10" style="1895" customWidth="1"/>
    <col min="15" max="16" width="10.5" style="1895" customWidth="1"/>
    <col min="17" max="17" width="10" style="1895" customWidth="1"/>
    <col min="18" max="18" width="10.125" style="1895" customWidth="1"/>
    <col min="19" max="19" width="10" style="1895" customWidth="1"/>
    <col min="20" max="20" width="26.125" style="1895" customWidth="1"/>
    <col min="21" max="21" width="8.875" style="1895"/>
    <col min="22" max="22" width="8.875" style="1894"/>
    <col min="23" max="256" width="8.875" style="1891"/>
    <col min="257" max="257" width="9.5" style="1891" customWidth="1"/>
    <col min="258" max="258" width="8.875" style="1891"/>
    <col min="259" max="261" width="12.875" style="1891" customWidth="1"/>
    <col min="262" max="262" width="47.5" style="1891" customWidth="1"/>
    <col min="263" max="263" width="13" style="1891" customWidth="1"/>
    <col min="264" max="265" width="8.875" style="1891"/>
    <col min="266" max="266" width="5.75" style="1891" customWidth="1"/>
    <col min="267" max="267" width="11.75" style="1891" customWidth="1"/>
    <col min="268" max="269" width="10.75" style="1891" customWidth="1"/>
    <col min="270" max="270" width="10" style="1891" customWidth="1"/>
    <col min="271" max="272" width="10.5" style="1891" customWidth="1"/>
    <col min="273" max="273" width="10" style="1891" customWidth="1"/>
    <col min="274" max="274" width="10.125" style="1891" customWidth="1"/>
    <col min="275" max="275" width="10" style="1891" customWidth="1"/>
    <col min="276" max="276" width="26.125" style="1891" customWidth="1"/>
    <col min="277" max="512" width="8.875" style="1891"/>
    <col min="513" max="513" width="9.5" style="1891" customWidth="1"/>
    <col min="514" max="514" width="8.875" style="1891"/>
    <col min="515" max="517" width="12.875" style="1891" customWidth="1"/>
    <col min="518" max="518" width="47.5" style="1891" customWidth="1"/>
    <col min="519" max="519" width="13" style="1891" customWidth="1"/>
    <col min="520" max="521" width="8.875" style="1891"/>
    <col min="522" max="522" width="5.75" style="1891" customWidth="1"/>
    <col min="523" max="523" width="11.75" style="1891" customWidth="1"/>
    <col min="524" max="525" width="10.75" style="1891" customWidth="1"/>
    <col min="526" max="526" width="10" style="1891" customWidth="1"/>
    <col min="527" max="528" width="10.5" style="1891" customWidth="1"/>
    <col min="529" max="529" width="10" style="1891" customWidth="1"/>
    <col min="530" max="530" width="10.125" style="1891" customWidth="1"/>
    <col min="531" max="531" width="10" style="1891" customWidth="1"/>
    <col min="532" max="532" width="26.125" style="1891" customWidth="1"/>
    <col min="533" max="768" width="8.875" style="1891"/>
    <col min="769" max="769" width="9.5" style="1891" customWidth="1"/>
    <col min="770" max="770" width="8.875" style="1891"/>
    <col min="771" max="773" width="12.875" style="1891" customWidth="1"/>
    <col min="774" max="774" width="47.5" style="1891" customWidth="1"/>
    <col min="775" max="775" width="13" style="1891" customWidth="1"/>
    <col min="776" max="777" width="8.875" style="1891"/>
    <col min="778" max="778" width="5.75" style="1891" customWidth="1"/>
    <col min="779" max="779" width="11.75" style="1891" customWidth="1"/>
    <col min="780" max="781" width="10.75" style="1891" customWidth="1"/>
    <col min="782" max="782" width="10" style="1891" customWidth="1"/>
    <col min="783" max="784" width="10.5" style="1891" customWidth="1"/>
    <col min="785" max="785" width="10" style="1891" customWidth="1"/>
    <col min="786" max="786" width="10.125" style="1891" customWidth="1"/>
    <col min="787" max="787" width="10" style="1891" customWidth="1"/>
    <col min="788" max="788" width="26.125" style="1891" customWidth="1"/>
    <col min="789" max="1024" width="8.875" style="1891"/>
    <col min="1025" max="1025" width="9.5" style="1891" customWidth="1"/>
    <col min="1026" max="1026" width="8.875" style="1891"/>
    <col min="1027" max="1029" width="12.875" style="1891" customWidth="1"/>
    <col min="1030" max="1030" width="47.5" style="1891" customWidth="1"/>
    <col min="1031" max="1031" width="13" style="1891" customWidth="1"/>
    <col min="1032" max="1033" width="8.875" style="1891"/>
    <col min="1034" max="1034" width="5.75" style="1891" customWidth="1"/>
    <col min="1035" max="1035" width="11.75" style="1891" customWidth="1"/>
    <col min="1036" max="1037" width="10.75" style="1891" customWidth="1"/>
    <col min="1038" max="1038" width="10" style="1891" customWidth="1"/>
    <col min="1039" max="1040" width="10.5" style="1891" customWidth="1"/>
    <col min="1041" max="1041" width="10" style="1891" customWidth="1"/>
    <col min="1042" max="1042" width="10.125" style="1891" customWidth="1"/>
    <col min="1043" max="1043" width="10" style="1891" customWidth="1"/>
    <col min="1044" max="1044" width="26.125" style="1891" customWidth="1"/>
    <col min="1045" max="1280" width="8.875" style="1891"/>
    <col min="1281" max="1281" width="9.5" style="1891" customWidth="1"/>
    <col min="1282" max="1282" width="8.875" style="1891"/>
    <col min="1283" max="1285" width="12.875" style="1891" customWidth="1"/>
    <col min="1286" max="1286" width="47.5" style="1891" customWidth="1"/>
    <col min="1287" max="1287" width="13" style="1891" customWidth="1"/>
    <col min="1288" max="1289" width="8.875" style="1891"/>
    <col min="1290" max="1290" width="5.75" style="1891" customWidth="1"/>
    <col min="1291" max="1291" width="11.75" style="1891" customWidth="1"/>
    <col min="1292" max="1293" width="10.75" style="1891" customWidth="1"/>
    <col min="1294" max="1294" width="10" style="1891" customWidth="1"/>
    <col min="1295" max="1296" width="10.5" style="1891" customWidth="1"/>
    <col min="1297" max="1297" width="10" style="1891" customWidth="1"/>
    <col min="1298" max="1298" width="10.125" style="1891" customWidth="1"/>
    <col min="1299" max="1299" width="10" style="1891" customWidth="1"/>
    <col min="1300" max="1300" width="26.125" style="1891" customWidth="1"/>
    <col min="1301" max="1536" width="8.875" style="1891"/>
    <col min="1537" max="1537" width="9.5" style="1891" customWidth="1"/>
    <col min="1538" max="1538" width="8.875" style="1891"/>
    <col min="1539" max="1541" width="12.875" style="1891" customWidth="1"/>
    <col min="1542" max="1542" width="47.5" style="1891" customWidth="1"/>
    <col min="1543" max="1543" width="13" style="1891" customWidth="1"/>
    <col min="1544" max="1545" width="8.875" style="1891"/>
    <col min="1546" max="1546" width="5.75" style="1891" customWidth="1"/>
    <col min="1547" max="1547" width="11.75" style="1891" customWidth="1"/>
    <col min="1548" max="1549" width="10.75" style="1891" customWidth="1"/>
    <col min="1550" max="1550" width="10" style="1891" customWidth="1"/>
    <col min="1551" max="1552" width="10.5" style="1891" customWidth="1"/>
    <col min="1553" max="1553" width="10" style="1891" customWidth="1"/>
    <col min="1554" max="1554" width="10.125" style="1891" customWidth="1"/>
    <col min="1555" max="1555" width="10" style="1891" customWidth="1"/>
    <col min="1556" max="1556" width="26.125" style="1891" customWidth="1"/>
    <col min="1557" max="1792" width="8.875" style="1891"/>
    <col min="1793" max="1793" width="9.5" style="1891" customWidth="1"/>
    <col min="1794" max="1794" width="8.875" style="1891"/>
    <col min="1795" max="1797" width="12.875" style="1891" customWidth="1"/>
    <col min="1798" max="1798" width="47.5" style="1891" customWidth="1"/>
    <col min="1799" max="1799" width="13" style="1891" customWidth="1"/>
    <col min="1800" max="1801" width="8.875" style="1891"/>
    <col min="1802" max="1802" width="5.75" style="1891" customWidth="1"/>
    <col min="1803" max="1803" width="11.75" style="1891" customWidth="1"/>
    <col min="1804" max="1805" width="10.75" style="1891" customWidth="1"/>
    <col min="1806" max="1806" width="10" style="1891" customWidth="1"/>
    <col min="1807" max="1808" width="10.5" style="1891" customWidth="1"/>
    <col min="1809" max="1809" width="10" style="1891" customWidth="1"/>
    <col min="1810" max="1810" width="10.125" style="1891" customWidth="1"/>
    <col min="1811" max="1811" width="10" style="1891" customWidth="1"/>
    <col min="1812" max="1812" width="26.125" style="1891" customWidth="1"/>
    <col min="1813" max="2048" width="8.875" style="1891"/>
    <col min="2049" max="2049" width="9.5" style="1891" customWidth="1"/>
    <col min="2050" max="2050" width="8.875" style="1891"/>
    <col min="2051" max="2053" width="12.875" style="1891" customWidth="1"/>
    <col min="2054" max="2054" width="47.5" style="1891" customWidth="1"/>
    <col min="2055" max="2055" width="13" style="1891" customWidth="1"/>
    <col min="2056" max="2057" width="8.875" style="1891"/>
    <col min="2058" max="2058" width="5.75" style="1891" customWidth="1"/>
    <col min="2059" max="2059" width="11.75" style="1891" customWidth="1"/>
    <col min="2060" max="2061" width="10.75" style="1891" customWidth="1"/>
    <col min="2062" max="2062" width="10" style="1891" customWidth="1"/>
    <col min="2063" max="2064" width="10.5" style="1891" customWidth="1"/>
    <col min="2065" max="2065" width="10" style="1891" customWidth="1"/>
    <col min="2066" max="2066" width="10.125" style="1891" customWidth="1"/>
    <col min="2067" max="2067" width="10" style="1891" customWidth="1"/>
    <col min="2068" max="2068" width="26.125" style="1891" customWidth="1"/>
    <col min="2069" max="2304" width="8.875" style="1891"/>
    <col min="2305" max="2305" width="9.5" style="1891" customWidth="1"/>
    <col min="2306" max="2306" width="8.875" style="1891"/>
    <col min="2307" max="2309" width="12.875" style="1891" customWidth="1"/>
    <col min="2310" max="2310" width="47.5" style="1891" customWidth="1"/>
    <col min="2311" max="2311" width="13" style="1891" customWidth="1"/>
    <col min="2312" max="2313" width="8.875" style="1891"/>
    <col min="2314" max="2314" width="5.75" style="1891" customWidth="1"/>
    <col min="2315" max="2315" width="11.75" style="1891" customWidth="1"/>
    <col min="2316" max="2317" width="10.75" style="1891" customWidth="1"/>
    <col min="2318" max="2318" width="10" style="1891" customWidth="1"/>
    <col min="2319" max="2320" width="10.5" style="1891" customWidth="1"/>
    <col min="2321" max="2321" width="10" style="1891" customWidth="1"/>
    <col min="2322" max="2322" width="10.125" style="1891" customWidth="1"/>
    <col min="2323" max="2323" width="10" style="1891" customWidth="1"/>
    <col min="2324" max="2324" width="26.125" style="1891" customWidth="1"/>
    <col min="2325" max="2560" width="8.875" style="1891"/>
    <col min="2561" max="2561" width="9.5" style="1891" customWidth="1"/>
    <col min="2562" max="2562" width="8.875" style="1891"/>
    <col min="2563" max="2565" width="12.875" style="1891" customWidth="1"/>
    <col min="2566" max="2566" width="47.5" style="1891" customWidth="1"/>
    <col min="2567" max="2567" width="13" style="1891" customWidth="1"/>
    <col min="2568" max="2569" width="8.875" style="1891"/>
    <col min="2570" max="2570" width="5.75" style="1891" customWidth="1"/>
    <col min="2571" max="2571" width="11.75" style="1891" customWidth="1"/>
    <col min="2572" max="2573" width="10.75" style="1891" customWidth="1"/>
    <col min="2574" max="2574" width="10" style="1891" customWidth="1"/>
    <col min="2575" max="2576" width="10.5" style="1891" customWidth="1"/>
    <col min="2577" max="2577" width="10" style="1891" customWidth="1"/>
    <col min="2578" max="2578" width="10.125" style="1891" customWidth="1"/>
    <col min="2579" max="2579" width="10" style="1891" customWidth="1"/>
    <col min="2580" max="2580" width="26.125" style="1891" customWidth="1"/>
    <col min="2581" max="2816" width="8.875" style="1891"/>
    <col min="2817" max="2817" width="9.5" style="1891" customWidth="1"/>
    <col min="2818" max="2818" width="8.875" style="1891"/>
    <col min="2819" max="2821" width="12.875" style="1891" customWidth="1"/>
    <col min="2822" max="2822" width="47.5" style="1891" customWidth="1"/>
    <col min="2823" max="2823" width="13" style="1891" customWidth="1"/>
    <col min="2824" max="2825" width="8.875" style="1891"/>
    <col min="2826" max="2826" width="5.75" style="1891" customWidth="1"/>
    <col min="2827" max="2827" width="11.75" style="1891" customWidth="1"/>
    <col min="2828" max="2829" width="10.75" style="1891" customWidth="1"/>
    <col min="2830" max="2830" width="10" style="1891" customWidth="1"/>
    <col min="2831" max="2832" width="10.5" style="1891" customWidth="1"/>
    <col min="2833" max="2833" width="10" style="1891" customWidth="1"/>
    <col min="2834" max="2834" width="10.125" style="1891" customWidth="1"/>
    <col min="2835" max="2835" width="10" style="1891" customWidth="1"/>
    <col min="2836" max="2836" width="26.125" style="1891" customWidth="1"/>
    <col min="2837" max="3072" width="8.875" style="1891"/>
    <col min="3073" max="3073" width="9.5" style="1891" customWidth="1"/>
    <col min="3074" max="3074" width="8.875" style="1891"/>
    <col min="3075" max="3077" width="12.875" style="1891" customWidth="1"/>
    <col min="3078" max="3078" width="47.5" style="1891" customWidth="1"/>
    <col min="3079" max="3079" width="13" style="1891" customWidth="1"/>
    <col min="3080" max="3081" width="8.875" style="1891"/>
    <col min="3082" max="3082" width="5.75" style="1891" customWidth="1"/>
    <col min="3083" max="3083" width="11.75" style="1891" customWidth="1"/>
    <col min="3084" max="3085" width="10.75" style="1891" customWidth="1"/>
    <col min="3086" max="3086" width="10" style="1891" customWidth="1"/>
    <col min="3087" max="3088" width="10.5" style="1891" customWidth="1"/>
    <col min="3089" max="3089" width="10" style="1891" customWidth="1"/>
    <col min="3090" max="3090" width="10.125" style="1891" customWidth="1"/>
    <col min="3091" max="3091" width="10" style="1891" customWidth="1"/>
    <col min="3092" max="3092" width="26.125" style="1891" customWidth="1"/>
    <col min="3093" max="3328" width="8.875" style="1891"/>
    <col min="3329" max="3329" width="9.5" style="1891" customWidth="1"/>
    <col min="3330" max="3330" width="8.875" style="1891"/>
    <col min="3331" max="3333" width="12.875" style="1891" customWidth="1"/>
    <col min="3334" max="3334" width="47.5" style="1891" customWidth="1"/>
    <col min="3335" max="3335" width="13" style="1891" customWidth="1"/>
    <col min="3336" max="3337" width="8.875" style="1891"/>
    <col min="3338" max="3338" width="5.75" style="1891" customWidth="1"/>
    <col min="3339" max="3339" width="11.75" style="1891" customWidth="1"/>
    <col min="3340" max="3341" width="10.75" style="1891" customWidth="1"/>
    <col min="3342" max="3342" width="10" style="1891" customWidth="1"/>
    <col min="3343" max="3344" width="10.5" style="1891" customWidth="1"/>
    <col min="3345" max="3345" width="10" style="1891" customWidth="1"/>
    <col min="3346" max="3346" width="10.125" style="1891" customWidth="1"/>
    <col min="3347" max="3347" width="10" style="1891" customWidth="1"/>
    <col min="3348" max="3348" width="26.125" style="1891" customWidth="1"/>
    <col min="3349" max="3584" width="8.875" style="1891"/>
    <col min="3585" max="3585" width="9.5" style="1891" customWidth="1"/>
    <col min="3586" max="3586" width="8.875" style="1891"/>
    <col min="3587" max="3589" width="12.875" style="1891" customWidth="1"/>
    <col min="3590" max="3590" width="47.5" style="1891" customWidth="1"/>
    <col min="3591" max="3591" width="13" style="1891" customWidth="1"/>
    <col min="3592" max="3593" width="8.875" style="1891"/>
    <col min="3594" max="3594" width="5.75" style="1891" customWidth="1"/>
    <col min="3595" max="3595" width="11.75" style="1891" customWidth="1"/>
    <col min="3596" max="3597" width="10.75" style="1891" customWidth="1"/>
    <col min="3598" max="3598" width="10" style="1891" customWidth="1"/>
    <col min="3599" max="3600" width="10.5" style="1891" customWidth="1"/>
    <col min="3601" max="3601" width="10" style="1891" customWidth="1"/>
    <col min="3602" max="3602" width="10.125" style="1891" customWidth="1"/>
    <col min="3603" max="3603" width="10" style="1891" customWidth="1"/>
    <col min="3604" max="3604" width="26.125" style="1891" customWidth="1"/>
    <col min="3605" max="3840" width="8.875" style="1891"/>
    <col min="3841" max="3841" width="9.5" style="1891" customWidth="1"/>
    <col min="3842" max="3842" width="8.875" style="1891"/>
    <col min="3843" max="3845" width="12.875" style="1891" customWidth="1"/>
    <col min="3846" max="3846" width="47.5" style="1891" customWidth="1"/>
    <col min="3847" max="3847" width="13" style="1891" customWidth="1"/>
    <col min="3848" max="3849" width="8.875" style="1891"/>
    <col min="3850" max="3850" width="5.75" style="1891" customWidth="1"/>
    <col min="3851" max="3851" width="11.75" style="1891" customWidth="1"/>
    <col min="3852" max="3853" width="10.75" style="1891" customWidth="1"/>
    <col min="3854" max="3854" width="10" style="1891" customWidth="1"/>
    <col min="3855" max="3856" width="10.5" style="1891" customWidth="1"/>
    <col min="3857" max="3857" width="10" style="1891" customWidth="1"/>
    <col min="3858" max="3858" width="10.125" style="1891" customWidth="1"/>
    <col min="3859" max="3859" width="10" style="1891" customWidth="1"/>
    <col min="3860" max="3860" width="26.125" style="1891" customWidth="1"/>
    <col min="3861" max="4096" width="8.875" style="1891"/>
    <col min="4097" max="4097" width="9.5" style="1891" customWidth="1"/>
    <col min="4098" max="4098" width="8.875" style="1891"/>
    <col min="4099" max="4101" width="12.875" style="1891" customWidth="1"/>
    <col min="4102" max="4102" width="47.5" style="1891" customWidth="1"/>
    <col min="4103" max="4103" width="13" style="1891" customWidth="1"/>
    <col min="4104" max="4105" width="8.875" style="1891"/>
    <col min="4106" max="4106" width="5.75" style="1891" customWidth="1"/>
    <col min="4107" max="4107" width="11.75" style="1891" customWidth="1"/>
    <col min="4108" max="4109" width="10.75" style="1891" customWidth="1"/>
    <col min="4110" max="4110" width="10" style="1891" customWidth="1"/>
    <col min="4111" max="4112" width="10.5" style="1891" customWidth="1"/>
    <col min="4113" max="4113" width="10" style="1891" customWidth="1"/>
    <col min="4114" max="4114" width="10.125" style="1891" customWidth="1"/>
    <col min="4115" max="4115" width="10" style="1891" customWidth="1"/>
    <col min="4116" max="4116" width="26.125" style="1891" customWidth="1"/>
    <col min="4117" max="4352" width="8.875" style="1891"/>
    <col min="4353" max="4353" width="9.5" style="1891" customWidth="1"/>
    <col min="4354" max="4354" width="8.875" style="1891"/>
    <col min="4355" max="4357" width="12.875" style="1891" customWidth="1"/>
    <col min="4358" max="4358" width="47.5" style="1891" customWidth="1"/>
    <col min="4359" max="4359" width="13" style="1891" customWidth="1"/>
    <col min="4360" max="4361" width="8.875" style="1891"/>
    <col min="4362" max="4362" width="5.75" style="1891" customWidth="1"/>
    <col min="4363" max="4363" width="11.75" style="1891" customWidth="1"/>
    <col min="4364" max="4365" width="10.75" style="1891" customWidth="1"/>
    <col min="4366" max="4366" width="10" style="1891" customWidth="1"/>
    <col min="4367" max="4368" width="10.5" style="1891" customWidth="1"/>
    <col min="4369" max="4369" width="10" style="1891" customWidth="1"/>
    <col min="4370" max="4370" width="10.125" style="1891" customWidth="1"/>
    <col min="4371" max="4371" width="10" style="1891" customWidth="1"/>
    <col min="4372" max="4372" width="26.125" style="1891" customWidth="1"/>
    <col min="4373" max="4608" width="8.875" style="1891"/>
    <col min="4609" max="4609" width="9.5" style="1891" customWidth="1"/>
    <col min="4610" max="4610" width="8.875" style="1891"/>
    <col min="4611" max="4613" width="12.875" style="1891" customWidth="1"/>
    <col min="4614" max="4614" width="47.5" style="1891" customWidth="1"/>
    <col min="4615" max="4615" width="13" style="1891" customWidth="1"/>
    <col min="4616" max="4617" width="8.875" style="1891"/>
    <col min="4618" max="4618" width="5.75" style="1891" customWidth="1"/>
    <col min="4619" max="4619" width="11.75" style="1891" customWidth="1"/>
    <col min="4620" max="4621" width="10.75" style="1891" customWidth="1"/>
    <col min="4622" max="4622" width="10" style="1891" customWidth="1"/>
    <col min="4623" max="4624" width="10.5" style="1891" customWidth="1"/>
    <col min="4625" max="4625" width="10" style="1891" customWidth="1"/>
    <col min="4626" max="4626" width="10.125" style="1891" customWidth="1"/>
    <col min="4627" max="4627" width="10" style="1891" customWidth="1"/>
    <col min="4628" max="4628" width="26.125" style="1891" customWidth="1"/>
    <col min="4629" max="4864" width="8.875" style="1891"/>
    <col min="4865" max="4865" width="9.5" style="1891" customWidth="1"/>
    <col min="4866" max="4866" width="8.875" style="1891"/>
    <col min="4867" max="4869" width="12.875" style="1891" customWidth="1"/>
    <col min="4870" max="4870" width="47.5" style="1891" customWidth="1"/>
    <col min="4871" max="4871" width="13" style="1891" customWidth="1"/>
    <col min="4872" max="4873" width="8.875" style="1891"/>
    <col min="4874" max="4874" width="5.75" style="1891" customWidth="1"/>
    <col min="4875" max="4875" width="11.75" style="1891" customWidth="1"/>
    <col min="4876" max="4877" width="10.75" style="1891" customWidth="1"/>
    <col min="4878" max="4878" width="10" style="1891" customWidth="1"/>
    <col min="4879" max="4880" width="10.5" style="1891" customWidth="1"/>
    <col min="4881" max="4881" width="10" style="1891" customWidth="1"/>
    <col min="4882" max="4882" width="10.125" style="1891" customWidth="1"/>
    <col min="4883" max="4883" width="10" style="1891" customWidth="1"/>
    <col min="4884" max="4884" width="26.125" style="1891" customWidth="1"/>
    <col min="4885" max="5120" width="8.875" style="1891"/>
    <col min="5121" max="5121" width="9.5" style="1891" customWidth="1"/>
    <col min="5122" max="5122" width="8.875" style="1891"/>
    <col min="5123" max="5125" width="12.875" style="1891" customWidth="1"/>
    <col min="5126" max="5126" width="47.5" style="1891" customWidth="1"/>
    <col min="5127" max="5127" width="13" style="1891" customWidth="1"/>
    <col min="5128" max="5129" width="8.875" style="1891"/>
    <col min="5130" max="5130" width="5.75" style="1891" customWidth="1"/>
    <col min="5131" max="5131" width="11.75" style="1891" customWidth="1"/>
    <col min="5132" max="5133" width="10.75" style="1891" customWidth="1"/>
    <col min="5134" max="5134" width="10" style="1891" customWidth="1"/>
    <col min="5135" max="5136" width="10.5" style="1891" customWidth="1"/>
    <col min="5137" max="5137" width="10" style="1891" customWidth="1"/>
    <col min="5138" max="5138" width="10.125" style="1891" customWidth="1"/>
    <col min="5139" max="5139" width="10" style="1891" customWidth="1"/>
    <col min="5140" max="5140" width="26.125" style="1891" customWidth="1"/>
    <col min="5141" max="5376" width="8.875" style="1891"/>
    <col min="5377" max="5377" width="9.5" style="1891" customWidth="1"/>
    <col min="5378" max="5378" width="8.875" style="1891"/>
    <col min="5379" max="5381" width="12.875" style="1891" customWidth="1"/>
    <col min="5382" max="5382" width="47.5" style="1891" customWidth="1"/>
    <col min="5383" max="5383" width="13" style="1891" customWidth="1"/>
    <col min="5384" max="5385" width="8.875" style="1891"/>
    <col min="5386" max="5386" width="5.75" style="1891" customWidth="1"/>
    <col min="5387" max="5387" width="11.75" style="1891" customWidth="1"/>
    <col min="5388" max="5389" width="10.75" style="1891" customWidth="1"/>
    <col min="5390" max="5390" width="10" style="1891" customWidth="1"/>
    <col min="5391" max="5392" width="10.5" style="1891" customWidth="1"/>
    <col min="5393" max="5393" width="10" style="1891" customWidth="1"/>
    <col min="5394" max="5394" width="10.125" style="1891" customWidth="1"/>
    <col min="5395" max="5395" width="10" style="1891" customWidth="1"/>
    <col min="5396" max="5396" width="26.125" style="1891" customWidth="1"/>
    <col min="5397" max="5632" width="8.875" style="1891"/>
    <col min="5633" max="5633" width="9.5" style="1891" customWidth="1"/>
    <col min="5634" max="5634" width="8.875" style="1891"/>
    <col min="5635" max="5637" width="12.875" style="1891" customWidth="1"/>
    <col min="5638" max="5638" width="47.5" style="1891" customWidth="1"/>
    <col min="5639" max="5639" width="13" style="1891" customWidth="1"/>
    <col min="5640" max="5641" width="8.875" style="1891"/>
    <col min="5642" max="5642" width="5.75" style="1891" customWidth="1"/>
    <col min="5643" max="5643" width="11.75" style="1891" customWidth="1"/>
    <col min="5644" max="5645" width="10.75" style="1891" customWidth="1"/>
    <col min="5646" max="5646" width="10" style="1891" customWidth="1"/>
    <col min="5647" max="5648" width="10.5" style="1891" customWidth="1"/>
    <col min="5649" max="5649" width="10" style="1891" customWidth="1"/>
    <col min="5650" max="5650" width="10.125" style="1891" customWidth="1"/>
    <col min="5651" max="5651" width="10" style="1891" customWidth="1"/>
    <col min="5652" max="5652" width="26.125" style="1891" customWidth="1"/>
    <col min="5653" max="5888" width="8.875" style="1891"/>
    <col min="5889" max="5889" width="9.5" style="1891" customWidth="1"/>
    <col min="5890" max="5890" width="8.875" style="1891"/>
    <col min="5891" max="5893" width="12.875" style="1891" customWidth="1"/>
    <col min="5894" max="5894" width="47.5" style="1891" customWidth="1"/>
    <col min="5895" max="5895" width="13" style="1891" customWidth="1"/>
    <col min="5896" max="5897" width="8.875" style="1891"/>
    <col min="5898" max="5898" width="5.75" style="1891" customWidth="1"/>
    <col min="5899" max="5899" width="11.75" style="1891" customWidth="1"/>
    <col min="5900" max="5901" width="10.75" style="1891" customWidth="1"/>
    <col min="5902" max="5902" width="10" style="1891" customWidth="1"/>
    <col min="5903" max="5904" width="10.5" style="1891" customWidth="1"/>
    <col min="5905" max="5905" width="10" style="1891" customWidth="1"/>
    <col min="5906" max="5906" width="10.125" style="1891" customWidth="1"/>
    <col min="5907" max="5907" width="10" style="1891" customWidth="1"/>
    <col min="5908" max="5908" width="26.125" style="1891" customWidth="1"/>
    <col min="5909" max="6144" width="8.875" style="1891"/>
    <col min="6145" max="6145" width="9.5" style="1891" customWidth="1"/>
    <col min="6146" max="6146" width="8.875" style="1891"/>
    <col min="6147" max="6149" width="12.875" style="1891" customWidth="1"/>
    <col min="6150" max="6150" width="47.5" style="1891" customWidth="1"/>
    <col min="6151" max="6151" width="13" style="1891" customWidth="1"/>
    <col min="6152" max="6153" width="8.875" style="1891"/>
    <col min="6154" max="6154" width="5.75" style="1891" customWidth="1"/>
    <col min="6155" max="6155" width="11.75" style="1891" customWidth="1"/>
    <col min="6156" max="6157" width="10.75" style="1891" customWidth="1"/>
    <col min="6158" max="6158" width="10" style="1891" customWidth="1"/>
    <col min="6159" max="6160" width="10.5" style="1891" customWidth="1"/>
    <col min="6161" max="6161" width="10" style="1891" customWidth="1"/>
    <col min="6162" max="6162" width="10.125" style="1891" customWidth="1"/>
    <col min="6163" max="6163" width="10" style="1891" customWidth="1"/>
    <col min="6164" max="6164" width="26.125" style="1891" customWidth="1"/>
    <col min="6165" max="6400" width="8.875" style="1891"/>
    <col min="6401" max="6401" width="9.5" style="1891" customWidth="1"/>
    <col min="6402" max="6402" width="8.875" style="1891"/>
    <col min="6403" max="6405" width="12.875" style="1891" customWidth="1"/>
    <col min="6406" max="6406" width="47.5" style="1891" customWidth="1"/>
    <col min="6407" max="6407" width="13" style="1891" customWidth="1"/>
    <col min="6408" max="6409" width="8.875" style="1891"/>
    <col min="6410" max="6410" width="5.75" style="1891" customWidth="1"/>
    <col min="6411" max="6411" width="11.75" style="1891" customWidth="1"/>
    <col min="6412" max="6413" width="10.75" style="1891" customWidth="1"/>
    <col min="6414" max="6414" width="10" style="1891" customWidth="1"/>
    <col min="6415" max="6416" width="10.5" style="1891" customWidth="1"/>
    <col min="6417" max="6417" width="10" style="1891" customWidth="1"/>
    <col min="6418" max="6418" width="10.125" style="1891" customWidth="1"/>
    <col min="6419" max="6419" width="10" style="1891" customWidth="1"/>
    <col min="6420" max="6420" width="26.125" style="1891" customWidth="1"/>
    <col min="6421" max="6656" width="8.875" style="1891"/>
    <col min="6657" max="6657" width="9.5" style="1891" customWidth="1"/>
    <col min="6658" max="6658" width="8.875" style="1891"/>
    <col min="6659" max="6661" width="12.875" style="1891" customWidth="1"/>
    <col min="6662" max="6662" width="47.5" style="1891" customWidth="1"/>
    <col min="6663" max="6663" width="13" style="1891" customWidth="1"/>
    <col min="6664" max="6665" width="8.875" style="1891"/>
    <col min="6666" max="6666" width="5.75" style="1891" customWidth="1"/>
    <col min="6667" max="6667" width="11.75" style="1891" customWidth="1"/>
    <col min="6668" max="6669" width="10.75" style="1891" customWidth="1"/>
    <col min="6670" max="6670" width="10" style="1891" customWidth="1"/>
    <col min="6671" max="6672" width="10.5" style="1891" customWidth="1"/>
    <col min="6673" max="6673" width="10" style="1891" customWidth="1"/>
    <col min="6674" max="6674" width="10.125" style="1891" customWidth="1"/>
    <col min="6675" max="6675" width="10" style="1891" customWidth="1"/>
    <col min="6676" max="6676" width="26.125" style="1891" customWidth="1"/>
    <col min="6677" max="6912" width="8.875" style="1891"/>
    <col min="6913" max="6913" width="9.5" style="1891" customWidth="1"/>
    <col min="6914" max="6914" width="8.875" style="1891"/>
    <col min="6915" max="6917" width="12.875" style="1891" customWidth="1"/>
    <col min="6918" max="6918" width="47.5" style="1891" customWidth="1"/>
    <col min="6919" max="6919" width="13" style="1891" customWidth="1"/>
    <col min="6920" max="6921" width="8.875" style="1891"/>
    <col min="6922" max="6922" width="5.75" style="1891" customWidth="1"/>
    <col min="6923" max="6923" width="11.75" style="1891" customWidth="1"/>
    <col min="6924" max="6925" width="10.75" style="1891" customWidth="1"/>
    <col min="6926" max="6926" width="10" style="1891" customWidth="1"/>
    <col min="6927" max="6928" width="10.5" style="1891" customWidth="1"/>
    <col min="6929" max="6929" width="10" style="1891" customWidth="1"/>
    <col min="6930" max="6930" width="10.125" style="1891" customWidth="1"/>
    <col min="6931" max="6931" width="10" style="1891" customWidth="1"/>
    <col min="6932" max="6932" width="26.125" style="1891" customWidth="1"/>
    <col min="6933" max="7168" width="8.875" style="1891"/>
    <col min="7169" max="7169" width="9.5" style="1891" customWidth="1"/>
    <col min="7170" max="7170" width="8.875" style="1891"/>
    <col min="7171" max="7173" width="12.875" style="1891" customWidth="1"/>
    <col min="7174" max="7174" width="47.5" style="1891" customWidth="1"/>
    <col min="7175" max="7175" width="13" style="1891" customWidth="1"/>
    <col min="7176" max="7177" width="8.875" style="1891"/>
    <col min="7178" max="7178" width="5.75" style="1891" customWidth="1"/>
    <col min="7179" max="7179" width="11.75" style="1891" customWidth="1"/>
    <col min="7180" max="7181" width="10.75" style="1891" customWidth="1"/>
    <col min="7182" max="7182" width="10" style="1891" customWidth="1"/>
    <col min="7183" max="7184" width="10.5" style="1891" customWidth="1"/>
    <col min="7185" max="7185" width="10" style="1891" customWidth="1"/>
    <col min="7186" max="7186" width="10.125" style="1891" customWidth="1"/>
    <col min="7187" max="7187" width="10" style="1891" customWidth="1"/>
    <col min="7188" max="7188" width="26.125" style="1891" customWidth="1"/>
    <col min="7189" max="7424" width="8.875" style="1891"/>
    <col min="7425" max="7425" width="9.5" style="1891" customWidth="1"/>
    <col min="7426" max="7426" width="8.875" style="1891"/>
    <col min="7427" max="7429" width="12.875" style="1891" customWidth="1"/>
    <col min="7430" max="7430" width="47.5" style="1891" customWidth="1"/>
    <col min="7431" max="7431" width="13" style="1891" customWidth="1"/>
    <col min="7432" max="7433" width="8.875" style="1891"/>
    <col min="7434" max="7434" width="5.75" style="1891" customWidth="1"/>
    <col min="7435" max="7435" width="11.75" style="1891" customWidth="1"/>
    <col min="7436" max="7437" width="10.75" style="1891" customWidth="1"/>
    <col min="7438" max="7438" width="10" style="1891" customWidth="1"/>
    <col min="7439" max="7440" width="10.5" style="1891" customWidth="1"/>
    <col min="7441" max="7441" width="10" style="1891" customWidth="1"/>
    <col min="7442" max="7442" width="10.125" style="1891" customWidth="1"/>
    <col min="7443" max="7443" width="10" style="1891" customWidth="1"/>
    <col min="7444" max="7444" width="26.125" style="1891" customWidth="1"/>
    <col min="7445" max="7680" width="8.875" style="1891"/>
    <col min="7681" max="7681" width="9.5" style="1891" customWidth="1"/>
    <col min="7682" max="7682" width="8.875" style="1891"/>
    <col min="7683" max="7685" width="12.875" style="1891" customWidth="1"/>
    <col min="7686" max="7686" width="47.5" style="1891" customWidth="1"/>
    <col min="7687" max="7687" width="13" style="1891" customWidth="1"/>
    <col min="7688" max="7689" width="8.875" style="1891"/>
    <col min="7690" max="7690" width="5.75" style="1891" customWidth="1"/>
    <col min="7691" max="7691" width="11.75" style="1891" customWidth="1"/>
    <col min="7692" max="7693" width="10.75" style="1891" customWidth="1"/>
    <col min="7694" max="7694" width="10" style="1891" customWidth="1"/>
    <col min="7695" max="7696" width="10.5" style="1891" customWidth="1"/>
    <col min="7697" max="7697" width="10" style="1891" customWidth="1"/>
    <col min="7698" max="7698" width="10.125" style="1891" customWidth="1"/>
    <col min="7699" max="7699" width="10" style="1891" customWidth="1"/>
    <col min="7700" max="7700" width="26.125" style="1891" customWidth="1"/>
    <col min="7701" max="7936" width="8.875" style="1891"/>
    <col min="7937" max="7937" width="9.5" style="1891" customWidth="1"/>
    <col min="7938" max="7938" width="8.875" style="1891"/>
    <col min="7939" max="7941" width="12.875" style="1891" customWidth="1"/>
    <col min="7942" max="7942" width="47.5" style="1891" customWidth="1"/>
    <col min="7943" max="7943" width="13" style="1891" customWidth="1"/>
    <col min="7944" max="7945" width="8.875" style="1891"/>
    <col min="7946" max="7946" width="5.75" style="1891" customWidth="1"/>
    <col min="7947" max="7947" width="11.75" style="1891" customWidth="1"/>
    <col min="7948" max="7949" width="10.75" style="1891" customWidth="1"/>
    <col min="7950" max="7950" width="10" style="1891" customWidth="1"/>
    <col min="7951" max="7952" width="10.5" style="1891" customWidth="1"/>
    <col min="7953" max="7953" width="10" style="1891" customWidth="1"/>
    <col min="7954" max="7954" width="10.125" style="1891" customWidth="1"/>
    <col min="7955" max="7955" width="10" style="1891" customWidth="1"/>
    <col min="7956" max="7956" width="26.125" style="1891" customWidth="1"/>
    <col min="7957" max="8192" width="8.875" style="1891"/>
    <col min="8193" max="8193" width="9.5" style="1891" customWidth="1"/>
    <col min="8194" max="8194" width="8.875" style="1891"/>
    <col min="8195" max="8197" width="12.875" style="1891" customWidth="1"/>
    <col min="8198" max="8198" width="47.5" style="1891" customWidth="1"/>
    <col min="8199" max="8199" width="13" style="1891" customWidth="1"/>
    <col min="8200" max="8201" width="8.875" style="1891"/>
    <col min="8202" max="8202" width="5.75" style="1891" customWidth="1"/>
    <col min="8203" max="8203" width="11.75" style="1891" customWidth="1"/>
    <col min="8204" max="8205" width="10.75" style="1891" customWidth="1"/>
    <col min="8206" max="8206" width="10" style="1891" customWidth="1"/>
    <col min="8207" max="8208" width="10.5" style="1891" customWidth="1"/>
    <col min="8209" max="8209" width="10" style="1891" customWidth="1"/>
    <col min="8210" max="8210" width="10.125" style="1891" customWidth="1"/>
    <col min="8211" max="8211" width="10" style="1891" customWidth="1"/>
    <col min="8212" max="8212" width="26.125" style="1891" customWidth="1"/>
    <col min="8213" max="8448" width="8.875" style="1891"/>
    <col min="8449" max="8449" width="9.5" style="1891" customWidth="1"/>
    <col min="8450" max="8450" width="8.875" style="1891"/>
    <col min="8451" max="8453" width="12.875" style="1891" customWidth="1"/>
    <col min="8454" max="8454" width="47.5" style="1891" customWidth="1"/>
    <col min="8455" max="8455" width="13" style="1891" customWidth="1"/>
    <col min="8456" max="8457" width="8.875" style="1891"/>
    <col min="8458" max="8458" width="5.75" style="1891" customWidth="1"/>
    <col min="8459" max="8459" width="11.75" style="1891" customWidth="1"/>
    <col min="8460" max="8461" width="10.75" style="1891" customWidth="1"/>
    <col min="8462" max="8462" width="10" style="1891" customWidth="1"/>
    <col min="8463" max="8464" width="10.5" style="1891" customWidth="1"/>
    <col min="8465" max="8465" width="10" style="1891" customWidth="1"/>
    <col min="8466" max="8466" width="10.125" style="1891" customWidth="1"/>
    <col min="8467" max="8467" width="10" style="1891" customWidth="1"/>
    <col min="8468" max="8468" width="26.125" style="1891" customWidth="1"/>
    <col min="8469" max="8704" width="8.875" style="1891"/>
    <col min="8705" max="8705" width="9.5" style="1891" customWidth="1"/>
    <col min="8706" max="8706" width="8.875" style="1891"/>
    <col min="8707" max="8709" width="12.875" style="1891" customWidth="1"/>
    <col min="8710" max="8710" width="47.5" style="1891" customWidth="1"/>
    <col min="8711" max="8711" width="13" style="1891" customWidth="1"/>
    <col min="8712" max="8713" width="8.875" style="1891"/>
    <col min="8714" max="8714" width="5.75" style="1891" customWidth="1"/>
    <col min="8715" max="8715" width="11.75" style="1891" customWidth="1"/>
    <col min="8716" max="8717" width="10.75" style="1891" customWidth="1"/>
    <col min="8718" max="8718" width="10" style="1891" customWidth="1"/>
    <col min="8719" max="8720" width="10.5" style="1891" customWidth="1"/>
    <col min="8721" max="8721" width="10" style="1891" customWidth="1"/>
    <col min="8722" max="8722" width="10.125" style="1891" customWidth="1"/>
    <col min="8723" max="8723" width="10" style="1891" customWidth="1"/>
    <col min="8724" max="8724" width="26.125" style="1891" customWidth="1"/>
    <col min="8725" max="8960" width="8.875" style="1891"/>
    <col min="8961" max="8961" width="9.5" style="1891" customWidth="1"/>
    <col min="8962" max="8962" width="8.875" style="1891"/>
    <col min="8963" max="8965" width="12.875" style="1891" customWidth="1"/>
    <col min="8966" max="8966" width="47.5" style="1891" customWidth="1"/>
    <col min="8967" max="8967" width="13" style="1891" customWidth="1"/>
    <col min="8968" max="8969" width="8.875" style="1891"/>
    <col min="8970" max="8970" width="5.75" style="1891" customWidth="1"/>
    <col min="8971" max="8971" width="11.75" style="1891" customWidth="1"/>
    <col min="8972" max="8973" width="10.75" style="1891" customWidth="1"/>
    <col min="8974" max="8974" width="10" style="1891" customWidth="1"/>
    <col min="8975" max="8976" width="10.5" style="1891" customWidth="1"/>
    <col min="8977" max="8977" width="10" style="1891" customWidth="1"/>
    <col min="8978" max="8978" width="10.125" style="1891" customWidth="1"/>
    <col min="8979" max="8979" width="10" style="1891" customWidth="1"/>
    <col min="8980" max="8980" width="26.125" style="1891" customWidth="1"/>
    <col min="8981" max="9216" width="8.875" style="1891"/>
    <col min="9217" max="9217" width="9.5" style="1891" customWidth="1"/>
    <col min="9218" max="9218" width="8.875" style="1891"/>
    <col min="9219" max="9221" width="12.875" style="1891" customWidth="1"/>
    <col min="9222" max="9222" width="47.5" style="1891" customWidth="1"/>
    <col min="9223" max="9223" width="13" style="1891" customWidth="1"/>
    <col min="9224" max="9225" width="8.875" style="1891"/>
    <col min="9226" max="9226" width="5.75" style="1891" customWidth="1"/>
    <col min="9227" max="9227" width="11.75" style="1891" customWidth="1"/>
    <col min="9228" max="9229" width="10.75" style="1891" customWidth="1"/>
    <col min="9230" max="9230" width="10" style="1891" customWidth="1"/>
    <col min="9231" max="9232" width="10.5" style="1891" customWidth="1"/>
    <col min="9233" max="9233" width="10" style="1891" customWidth="1"/>
    <col min="9234" max="9234" width="10.125" style="1891" customWidth="1"/>
    <col min="9235" max="9235" width="10" style="1891" customWidth="1"/>
    <col min="9236" max="9236" width="26.125" style="1891" customWidth="1"/>
    <col min="9237" max="9472" width="8.875" style="1891"/>
    <col min="9473" max="9473" width="9.5" style="1891" customWidth="1"/>
    <col min="9474" max="9474" width="8.875" style="1891"/>
    <col min="9475" max="9477" width="12.875" style="1891" customWidth="1"/>
    <col min="9478" max="9478" width="47.5" style="1891" customWidth="1"/>
    <col min="9479" max="9479" width="13" style="1891" customWidth="1"/>
    <col min="9480" max="9481" width="8.875" style="1891"/>
    <col min="9482" max="9482" width="5.75" style="1891" customWidth="1"/>
    <col min="9483" max="9483" width="11.75" style="1891" customWidth="1"/>
    <col min="9484" max="9485" width="10.75" style="1891" customWidth="1"/>
    <col min="9486" max="9486" width="10" style="1891" customWidth="1"/>
    <col min="9487" max="9488" width="10.5" style="1891" customWidth="1"/>
    <col min="9489" max="9489" width="10" style="1891" customWidth="1"/>
    <col min="9490" max="9490" width="10.125" style="1891" customWidth="1"/>
    <col min="9491" max="9491" width="10" style="1891" customWidth="1"/>
    <col min="9492" max="9492" width="26.125" style="1891" customWidth="1"/>
    <col min="9493" max="9728" width="8.875" style="1891"/>
    <col min="9729" max="9729" width="9.5" style="1891" customWidth="1"/>
    <col min="9730" max="9730" width="8.875" style="1891"/>
    <col min="9731" max="9733" width="12.875" style="1891" customWidth="1"/>
    <col min="9734" max="9734" width="47.5" style="1891" customWidth="1"/>
    <col min="9735" max="9735" width="13" style="1891" customWidth="1"/>
    <col min="9736" max="9737" width="8.875" style="1891"/>
    <col min="9738" max="9738" width="5.75" style="1891" customWidth="1"/>
    <col min="9739" max="9739" width="11.75" style="1891" customWidth="1"/>
    <col min="9740" max="9741" width="10.75" style="1891" customWidth="1"/>
    <col min="9742" max="9742" width="10" style="1891" customWidth="1"/>
    <col min="9743" max="9744" width="10.5" style="1891" customWidth="1"/>
    <col min="9745" max="9745" width="10" style="1891" customWidth="1"/>
    <col min="9746" max="9746" width="10.125" style="1891" customWidth="1"/>
    <col min="9747" max="9747" width="10" style="1891" customWidth="1"/>
    <col min="9748" max="9748" width="26.125" style="1891" customWidth="1"/>
    <col min="9749" max="9984" width="8.875" style="1891"/>
    <col min="9985" max="9985" width="9.5" style="1891" customWidth="1"/>
    <col min="9986" max="9986" width="8.875" style="1891"/>
    <col min="9987" max="9989" width="12.875" style="1891" customWidth="1"/>
    <col min="9990" max="9990" width="47.5" style="1891" customWidth="1"/>
    <col min="9991" max="9991" width="13" style="1891" customWidth="1"/>
    <col min="9992" max="9993" width="8.875" style="1891"/>
    <col min="9994" max="9994" width="5.75" style="1891" customWidth="1"/>
    <col min="9995" max="9995" width="11.75" style="1891" customWidth="1"/>
    <col min="9996" max="9997" width="10.75" style="1891" customWidth="1"/>
    <col min="9998" max="9998" width="10" style="1891" customWidth="1"/>
    <col min="9999" max="10000" width="10.5" style="1891" customWidth="1"/>
    <col min="10001" max="10001" width="10" style="1891" customWidth="1"/>
    <col min="10002" max="10002" width="10.125" style="1891" customWidth="1"/>
    <col min="10003" max="10003" width="10" style="1891" customWidth="1"/>
    <col min="10004" max="10004" width="26.125" style="1891" customWidth="1"/>
    <col min="10005" max="10240" width="8.875" style="1891"/>
    <col min="10241" max="10241" width="9.5" style="1891" customWidth="1"/>
    <col min="10242" max="10242" width="8.875" style="1891"/>
    <col min="10243" max="10245" width="12.875" style="1891" customWidth="1"/>
    <col min="10246" max="10246" width="47.5" style="1891" customWidth="1"/>
    <col min="10247" max="10247" width="13" style="1891" customWidth="1"/>
    <col min="10248" max="10249" width="8.875" style="1891"/>
    <col min="10250" max="10250" width="5.75" style="1891" customWidth="1"/>
    <col min="10251" max="10251" width="11.75" style="1891" customWidth="1"/>
    <col min="10252" max="10253" width="10.75" style="1891" customWidth="1"/>
    <col min="10254" max="10254" width="10" style="1891" customWidth="1"/>
    <col min="10255" max="10256" width="10.5" style="1891" customWidth="1"/>
    <col min="10257" max="10257" width="10" style="1891" customWidth="1"/>
    <col min="10258" max="10258" width="10.125" style="1891" customWidth="1"/>
    <col min="10259" max="10259" width="10" style="1891" customWidth="1"/>
    <col min="10260" max="10260" width="26.125" style="1891" customWidth="1"/>
    <col min="10261" max="10496" width="8.875" style="1891"/>
    <col min="10497" max="10497" width="9.5" style="1891" customWidth="1"/>
    <col min="10498" max="10498" width="8.875" style="1891"/>
    <col min="10499" max="10501" width="12.875" style="1891" customWidth="1"/>
    <col min="10502" max="10502" width="47.5" style="1891" customWidth="1"/>
    <col min="10503" max="10503" width="13" style="1891" customWidth="1"/>
    <col min="10504" max="10505" width="8.875" style="1891"/>
    <col min="10506" max="10506" width="5.75" style="1891" customWidth="1"/>
    <col min="10507" max="10507" width="11.75" style="1891" customWidth="1"/>
    <col min="10508" max="10509" width="10.75" style="1891" customWidth="1"/>
    <col min="10510" max="10510" width="10" style="1891" customWidth="1"/>
    <col min="10511" max="10512" width="10.5" style="1891" customWidth="1"/>
    <col min="10513" max="10513" width="10" style="1891" customWidth="1"/>
    <col min="10514" max="10514" width="10.125" style="1891" customWidth="1"/>
    <col min="10515" max="10515" width="10" style="1891" customWidth="1"/>
    <col min="10516" max="10516" width="26.125" style="1891" customWidth="1"/>
    <col min="10517" max="10752" width="8.875" style="1891"/>
    <col min="10753" max="10753" width="9.5" style="1891" customWidth="1"/>
    <col min="10754" max="10754" width="8.875" style="1891"/>
    <col min="10755" max="10757" width="12.875" style="1891" customWidth="1"/>
    <col min="10758" max="10758" width="47.5" style="1891" customWidth="1"/>
    <col min="10759" max="10759" width="13" style="1891" customWidth="1"/>
    <col min="10760" max="10761" width="8.875" style="1891"/>
    <col min="10762" max="10762" width="5.75" style="1891" customWidth="1"/>
    <col min="10763" max="10763" width="11.75" style="1891" customWidth="1"/>
    <col min="10764" max="10765" width="10.75" style="1891" customWidth="1"/>
    <col min="10766" max="10766" width="10" style="1891" customWidth="1"/>
    <col min="10767" max="10768" width="10.5" style="1891" customWidth="1"/>
    <col min="10769" max="10769" width="10" style="1891" customWidth="1"/>
    <col min="10770" max="10770" width="10.125" style="1891" customWidth="1"/>
    <col min="10771" max="10771" width="10" style="1891" customWidth="1"/>
    <col min="10772" max="10772" width="26.125" style="1891" customWidth="1"/>
    <col min="10773" max="11008" width="8.875" style="1891"/>
    <col min="11009" max="11009" width="9.5" style="1891" customWidth="1"/>
    <col min="11010" max="11010" width="8.875" style="1891"/>
    <col min="11011" max="11013" width="12.875" style="1891" customWidth="1"/>
    <col min="11014" max="11014" width="47.5" style="1891" customWidth="1"/>
    <col min="11015" max="11015" width="13" style="1891" customWidth="1"/>
    <col min="11016" max="11017" width="8.875" style="1891"/>
    <col min="11018" max="11018" width="5.75" style="1891" customWidth="1"/>
    <col min="11019" max="11019" width="11.75" style="1891" customWidth="1"/>
    <col min="11020" max="11021" width="10.75" style="1891" customWidth="1"/>
    <col min="11022" max="11022" width="10" style="1891" customWidth="1"/>
    <col min="11023" max="11024" width="10.5" style="1891" customWidth="1"/>
    <col min="11025" max="11025" width="10" style="1891" customWidth="1"/>
    <col min="11026" max="11026" width="10.125" style="1891" customWidth="1"/>
    <col min="11027" max="11027" width="10" style="1891" customWidth="1"/>
    <col min="11028" max="11028" width="26.125" style="1891" customWidth="1"/>
    <col min="11029" max="11264" width="8.875" style="1891"/>
    <col min="11265" max="11265" width="9.5" style="1891" customWidth="1"/>
    <col min="11266" max="11266" width="8.875" style="1891"/>
    <col min="11267" max="11269" width="12.875" style="1891" customWidth="1"/>
    <col min="11270" max="11270" width="47.5" style="1891" customWidth="1"/>
    <col min="11271" max="11271" width="13" style="1891" customWidth="1"/>
    <col min="11272" max="11273" width="8.875" style="1891"/>
    <col min="11274" max="11274" width="5.75" style="1891" customWidth="1"/>
    <col min="11275" max="11275" width="11.75" style="1891" customWidth="1"/>
    <col min="11276" max="11277" width="10.75" style="1891" customWidth="1"/>
    <col min="11278" max="11278" width="10" style="1891" customWidth="1"/>
    <col min="11279" max="11280" width="10.5" style="1891" customWidth="1"/>
    <col min="11281" max="11281" width="10" style="1891" customWidth="1"/>
    <col min="11282" max="11282" width="10.125" style="1891" customWidth="1"/>
    <col min="11283" max="11283" width="10" style="1891" customWidth="1"/>
    <col min="11284" max="11284" width="26.125" style="1891" customWidth="1"/>
    <col min="11285" max="11520" width="8.875" style="1891"/>
    <col min="11521" max="11521" width="9.5" style="1891" customWidth="1"/>
    <col min="11522" max="11522" width="8.875" style="1891"/>
    <col min="11523" max="11525" width="12.875" style="1891" customWidth="1"/>
    <col min="11526" max="11526" width="47.5" style="1891" customWidth="1"/>
    <col min="11527" max="11527" width="13" style="1891" customWidth="1"/>
    <col min="11528" max="11529" width="8.875" style="1891"/>
    <col min="11530" max="11530" width="5.75" style="1891" customWidth="1"/>
    <col min="11531" max="11531" width="11.75" style="1891" customWidth="1"/>
    <col min="11532" max="11533" width="10.75" style="1891" customWidth="1"/>
    <col min="11534" max="11534" width="10" style="1891" customWidth="1"/>
    <col min="11535" max="11536" width="10.5" style="1891" customWidth="1"/>
    <col min="11537" max="11537" width="10" style="1891" customWidth="1"/>
    <col min="11538" max="11538" width="10.125" style="1891" customWidth="1"/>
    <col min="11539" max="11539" width="10" style="1891" customWidth="1"/>
    <col min="11540" max="11540" width="26.125" style="1891" customWidth="1"/>
    <col min="11541" max="11776" width="8.875" style="1891"/>
    <col min="11777" max="11777" width="9.5" style="1891" customWidth="1"/>
    <col min="11778" max="11778" width="8.875" style="1891"/>
    <col min="11779" max="11781" width="12.875" style="1891" customWidth="1"/>
    <col min="11782" max="11782" width="47.5" style="1891" customWidth="1"/>
    <col min="11783" max="11783" width="13" style="1891" customWidth="1"/>
    <col min="11784" max="11785" width="8.875" style="1891"/>
    <col min="11786" max="11786" width="5.75" style="1891" customWidth="1"/>
    <col min="11787" max="11787" width="11.75" style="1891" customWidth="1"/>
    <col min="11788" max="11789" width="10.75" style="1891" customWidth="1"/>
    <col min="11790" max="11790" width="10" style="1891" customWidth="1"/>
    <col min="11791" max="11792" width="10.5" style="1891" customWidth="1"/>
    <col min="11793" max="11793" width="10" style="1891" customWidth="1"/>
    <col min="11794" max="11794" width="10.125" style="1891" customWidth="1"/>
    <col min="11795" max="11795" width="10" style="1891" customWidth="1"/>
    <col min="11796" max="11796" width="26.125" style="1891" customWidth="1"/>
    <col min="11797" max="12032" width="8.875" style="1891"/>
    <col min="12033" max="12033" width="9.5" style="1891" customWidth="1"/>
    <col min="12034" max="12034" width="8.875" style="1891"/>
    <col min="12035" max="12037" width="12.875" style="1891" customWidth="1"/>
    <col min="12038" max="12038" width="47.5" style="1891" customWidth="1"/>
    <col min="12039" max="12039" width="13" style="1891" customWidth="1"/>
    <col min="12040" max="12041" width="8.875" style="1891"/>
    <col min="12042" max="12042" width="5.75" style="1891" customWidth="1"/>
    <col min="12043" max="12043" width="11.75" style="1891" customWidth="1"/>
    <col min="12044" max="12045" width="10.75" style="1891" customWidth="1"/>
    <col min="12046" max="12046" width="10" style="1891" customWidth="1"/>
    <col min="12047" max="12048" width="10.5" style="1891" customWidth="1"/>
    <col min="12049" max="12049" width="10" style="1891" customWidth="1"/>
    <col min="12050" max="12050" width="10.125" style="1891" customWidth="1"/>
    <col min="12051" max="12051" width="10" style="1891" customWidth="1"/>
    <col min="12052" max="12052" width="26.125" style="1891" customWidth="1"/>
    <col min="12053" max="12288" width="8.875" style="1891"/>
    <col min="12289" max="12289" width="9.5" style="1891" customWidth="1"/>
    <col min="12290" max="12290" width="8.875" style="1891"/>
    <col min="12291" max="12293" width="12.875" style="1891" customWidth="1"/>
    <col min="12294" max="12294" width="47.5" style="1891" customWidth="1"/>
    <col min="12295" max="12295" width="13" style="1891" customWidth="1"/>
    <col min="12296" max="12297" width="8.875" style="1891"/>
    <col min="12298" max="12298" width="5.75" style="1891" customWidth="1"/>
    <col min="12299" max="12299" width="11.75" style="1891" customWidth="1"/>
    <col min="12300" max="12301" width="10.75" style="1891" customWidth="1"/>
    <col min="12302" max="12302" width="10" style="1891" customWidth="1"/>
    <col min="12303" max="12304" width="10.5" style="1891" customWidth="1"/>
    <col min="12305" max="12305" width="10" style="1891" customWidth="1"/>
    <col min="12306" max="12306" width="10.125" style="1891" customWidth="1"/>
    <col min="12307" max="12307" width="10" style="1891" customWidth="1"/>
    <col min="12308" max="12308" width="26.125" style="1891" customWidth="1"/>
    <col min="12309" max="12544" width="8.875" style="1891"/>
    <col min="12545" max="12545" width="9.5" style="1891" customWidth="1"/>
    <col min="12546" max="12546" width="8.875" style="1891"/>
    <col min="12547" max="12549" width="12.875" style="1891" customWidth="1"/>
    <col min="12550" max="12550" width="47.5" style="1891" customWidth="1"/>
    <col min="12551" max="12551" width="13" style="1891" customWidth="1"/>
    <col min="12552" max="12553" width="8.875" style="1891"/>
    <col min="12554" max="12554" width="5.75" style="1891" customWidth="1"/>
    <col min="12555" max="12555" width="11.75" style="1891" customWidth="1"/>
    <col min="12556" max="12557" width="10.75" style="1891" customWidth="1"/>
    <col min="12558" max="12558" width="10" style="1891" customWidth="1"/>
    <col min="12559" max="12560" width="10.5" style="1891" customWidth="1"/>
    <col min="12561" max="12561" width="10" style="1891" customWidth="1"/>
    <col min="12562" max="12562" width="10.125" style="1891" customWidth="1"/>
    <col min="12563" max="12563" width="10" style="1891" customWidth="1"/>
    <col min="12564" max="12564" width="26.125" style="1891" customWidth="1"/>
    <col min="12565" max="12800" width="8.875" style="1891"/>
    <col min="12801" max="12801" width="9.5" style="1891" customWidth="1"/>
    <col min="12802" max="12802" width="8.875" style="1891"/>
    <col min="12803" max="12805" width="12.875" style="1891" customWidth="1"/>
    <col min="12806" max="12806" width="47.5" style="1891" customWidth="1"/>
    <col min="12807" max="12807" width="13" style="1891" customWidth="1"/>
    <col min="12808" max="12809" width="8.875" style="1891"/>
    <col min="12810" max="12810" width="5.75" style="1891" customWidth="1"/>
    <col min="12811" max="12811" width="11.75" style="1891" customWidth="1"/>
    <col min="12812" max="12813" width="10.75" style="1891" customWidth="1"/>
    <col min="12814" max="12814" width="10" style="1891" customWidth="1"/>
    <col min="12815" max="12816" width="10.5" style="1891" customWidth="1"/>
    <col min="12817" max="12817" width="10" style="1891" customWidth="1"/>
    <col min="12818" max="12818" width="10.125" style="1891" customWidth="1"/>
    <col min="12819" max="12819" width="10" style="1891" customWidth="1"/>
    <col min="12820" max="12820" width="26.125" style="1891" customWidth="1"/>
    <col min="12821" max="13056" width="8.875" style="1891"/>
    <col min="13057" max="13057" width="9.5" style="1891" customWidth="1"/>
    <col min="13058" max="13058" width="8.875" style="1891"/>
    <col min="13059" max="13061" width="12.875" style="1891" customWidth="1"/>
    <col min="13062" max="13062" width="47.5" style="1891" customWidth="1"/>
    <col min="13063" max="13063" width="13" style="1891" customWidth="1"/>
    <col min="13064" max="13065" width="8.875" style="1891"/>
    <col min="13066" max="13066" width="5.75" style="1891" customWidth="1"/>
    <col min="13067" max="13067" width="11.75" style="1891" customWidth="1"/>
    <col min="13068" max="13069" width="10.75" style="1891" customWidth="1"/>
    <col min="13070" max="13070" width="10" style="1891" customWidth="1"/>
    <col min="13071" max="13072" width="10.5" style="1891" customWidth="1"/>
    <col min="13073" max="13073" width="10" style="1891" customWidth="1"/>
    <col min="13074" max="13074" width="10.125" style="1891" customWidth="1"/>
    <col min="13075" max="13075" width="10" style="1891" customWidth="1"/>
    <col min="13076" max="13076" width="26.125" style="1891" customWidth="1"/>
    <col min="13077" max="13312" width="8.875" style="1891"/>
    <col min="13313" max="13313" width="9.5" style="1891" customWidth="1"/>
    <col min="13314" max="13314" width="8.875" style="1891"/>
    <col min="13315" max="13317" width="12.875" style="1891" customWidth="1"/>
    <col min="13318" max="13318" width="47.5" style="1891" customWidth="1"/>
    <col min="13319" max="13319" width="13" style="1891" customWidth="1"/>
    <col min="13320" max="13321" width="8.875" style="1891"/>
    <col min="13322" max="13322" width="5.75" style="1891" customWidth="1"/>
    <col min="13323" max="13323" width="11.75" style="1891" customWidth="1"/>
    <col min="13324" max="13325" width="10.75" style="1891" customWidth="1"/>
    <col min="13326" max="13326" width="10" style="1891" customWidth="1"/>
    <col min="13327" max="13328" width="10.5" style="1891" customWidth="1"/>
    <col min="13329" max="13329" width="10" style="1891" customWidth="1"/>
    <col min="13330" max="13330" width="10.125" style="1891" customWidth="1"/>
    <col min="13331" max="13331" width="10" style="1891" customWidth="1"/>
    <col min="13332" max="13332" width="26.125" style="1891" customWidth="1"/>
    <col min="13333" max="13568" width="8.875" style="1891"/>
    <col min="13569" max="13569" width="9.5" style="1891" customWidth="1"/>
    <col min="13570" max="13570" width="8.875" style="1891"/>
    <col min="13571" max="13573" width="12.875" style="1891" customWidth="1"/>
    <col min="13574" max="13574" width="47.5" style="1891" customWidth="1"/>
    <col min="13575" max="13575" width="13" style="1891" customWidth="1"/>
    <col min="13576" max="13577" width="8.875" style="1891"/>
    <col min="13578" max="13578" width="5.75" style="1891" customWidth="1"/>
    <col min="13579" max="13579" width="11.75" style="1891" customWidth="1"/>
    <col min="13580" max="13581" width="10.75" style="1891" customWidth="1"/>
    <col min="13582" max="13582" width="10" style="1891" customWidth="1"/>
    <col min="13583" max="13584" width="10.5" style="1891" customWidth="1"/>
    <col min="13585" max="13585" width="10" style="1891" customWidth="1"/>
    <col min="13586" max="13586" width="10.125" style="1891" customWidth="1"/>
    <col min="13587" max="13587" width="10" style="1891" customWidth="1"/>
    <col min="13588" max="13588" width="26.125" style="1891" customWidth="1"/>
    <col min="13589" max="13824" width="8.875" style="1891"/>
    <col min="13825" max="13825" width="9.5" style="1891" customWidth="1"/>
    <col min="13826" max="13826" width="8.875" style="1891"/>
    <col min="13827" max="13829" width="12.875" style="1891" customWidth="1"/>
    <col min="13830" max="13830" width="47.5" style="1891" customWidth="1"/>
    <col min="13831" max="13831" width="13" style="1891" customWidth="1"/>
    <col min="13832" max="13833" width="8.875" style="1891"/>
    <col min="13834" max="13834" width="5.75" style="1891" customWidth="1"/>
    <col min="13835" max="13835" width="11.75" style="1891" customWidth="1"/>
    <col min="13836" max="13837" width="10.75" style="1891" customWidth="1"/>
    <col min="13838" max="13838" width="10" style="1891" customWidth="1"/>
    <col min="13839" max="13840" width="10.5" style="1891" customWidth="1"/>
    <col min="13841" max="13841" width="10" style="1891" customWidth="1"/>
    <col min="13842" max="13842" width="10.125" style="1891" customWidth="1"/>
    <col min="13843" max="13843" width="10" style="1891" customWidth="1"/>
    <col min="13844" max="13844" width="26.125" style="1891" customWidth="1"/>
    <col min="13845" max="14080" width="8.875" style="1891"/>
    <col min="14081" max="14081" width="9.5" style="1891" customWidth="1"/>
    <col min="14082" max="14082" width="8.875" style="1891"/>
    <col min="14083" max="14085" width="12.875" style="1891" customWidth="1"/>
    <col min="14086" max="14086" width="47.5" style="1891" customWidth="1"/>
    <col min="14087" max="14087" width="13" style="1891" customWidth="1"/>
    <col min="14088" max="14089" width="8.875" style="1891"/>
    <col min="14090" max="14090" width="5.75" style="1891" customWidth="1"/>
    <col min="14091" max="14091" width="11.75" style="1891" customWidth="1"/>
    <col min="14092" max="14093" width="10.75" style="1891" customWidth="1"/>
    <col min="14094" max="14094" width="10" style="1891" customWidth="1"/>
    <col min="14095" max="14096" width="10.5" style="1891" customWidth="1"/>
    <col min="14097" max="14097" width="10" style="1891" customWidth="1"/>
    <col min="14098" max="14098" width="10.125" style="1891" customWidth="1"/>
    <col min="14099" max="14099" width="10" style="1891" customWidth="1"/>
    <col min="14100" max="14100" width="26.125" style="1891" customWidth="1"/>
    <col min="14101" max="14336" width="8.875" style="1891"/>
    <col min="14337" max="14337" width="9.5" style="1891" customWidth="1"/>
    <col min="14338" max="14338" width="8.875" style="1891"/>
    <col min="14339" max="14341" width="12.875" style="1891" customWidth="1"/>
    <col min="14342" max="14342" width="47.5" style="1891" customWidth="1"/>
    <col min="14343" max="14343" width="13" style="1891" customWidth="1"/>
    <col min="14344" max="14345" width="8.875" style="1891"/>
    <col min="14346" max="14346" width="5.75" style="1891" customWidth="1"/>
    <col min="14347" max="14347" width="11.75" style="1891" customWidth="1"/>
    <col min="14348" max="14349" width="10.75" style="1891" customWidth="1"/>
    <col min="14350" max="14350" width="10" style="1891" customWidth="1"/>
    <col min="14351" max="14352" width="10.5" style="1891" customWidth="1"/>
    <col min="14353" max="14353" width="10" style="1891" customWidth="1"/>
    <col min="14354" max="14354" width="10.125" style="1891" customWidth="1"/>
    <col min="14355" max="14355" width="10" style="1891" customWidth="1"/>
    <col min="14356" max="14356" width="26.125" style="1891" customWidth="1"/>
    <col min="14357" max="14592" width="8.875" style="1891"/>
    <col min="14593" max="14593" width="9.5" style="1891" customWidth="1"/>
    <col min="14594" max="14594" width="8.875" style="1891"/>
    <col min="14595" max="14597" width="12.875" style="1891" customWidth="1"/>
    <col min="14598" max="14598" width="47.5" style="1891" customWidth="1"/>
    <col min="14599" max="14599" width="13" style="1891" customWidth="1"/>
    <col min="14600" max="14601" width="8.875" style="1891"/>
    <col min="14602" max="14602" width="5.75" style="1891" customWidth="1"/>
    <col min="14603" max="14603" width="11.75" style="1891" customWidth="1"/>
    <col min="14604" max="14605" width="10.75" style="1891" customWidth="1"/>
    <col min="14606" max="14606" width="10" style="1891" customWidth="1"/>
    <col min="14607" max="14608" width="10.5" style="1891" customWidth="1"/>
    <col min="14609" max="14609" width="10" style="1891" customWidth="1"/>
    <col min="14610" max="14610" width="10.125" style="1891" customWidth="1"/>
    <col min="14611" max="14611" width="10" style="1891" customWidth="1"/>
    <col min="14612" max="14612" width="26.125" style="1891" customWidth="1"/>
    <col min="14613" max="14848" width="8.875" style="1891"/>
    <col min="14849" max="14849" width="9.5" style="1891" customWidth="1"/>
    <col min="14850" max="14850" width="8.875" style="1891"/>
    <col min="14851" max="14853" width="12.875" style="1891" customWidth="1"/>
    <col min="14854" max="14854" width="47.5" style="1891" customWidth="1"/>
    <col min="14855" max="14855" width="13" style="1891" customWidth="1"/>
    <col min="14856" max="14857" width="8.875" style="1891"/>
    <col min="14858" max="14858" width="5.75" style="1891" customWidth="1"/>
    <col min="14859" max="14859" width="11.75" style="1891" customWidth="1"/>
    <col min="14860" max="14861" width="10.75" style="1891" customWidth="1"/>
    <col min="14862" max="14862" width="10" style="1891" customWidth="1"/>
    <col min="14863" max="14864" width="10.5" style="1891" customWidth="1"/>
    <col min="14865" max="14865" width="10" style="1891" customWidth="1"/>
    <col min="14866" max="14866" width="10.125" style="1891" customWidth="1"/>
    <col min="14867" max="14867" width="10" style="1891" customWidth="1"/>
    <col min="14868" max="14868" width="26.125" style="1891" customWidth="1"/>
    <col min="14869" max="15104" width="8.875" style="1891"/>
    <col min="15105" max="15105" width="9.5" style="1891" customWidth="1"/>
    <col min="15106" max="15106" width="8.875" style="1891"/>
    <col min="15107" max="15109" width="12.875" style="1891" customWidth="1"/>
    <col min="15110" max="15110" width="47.5" style="1891" customWidth="1"/>
    <col min="15111" max="15111" width="13" style="1891" customWidth="1"/>
    <col min="15112" max="15113" width="8.875" style="1891"/>
    <col min="15114" max="15114" width="5.75" style="1891" customWidth="1"/>
    <col min="15115" max="15115" width="11.75" style="1891" customWidth="1"/>
    <col min="15116" max="15117" width="10.75" style="1891" customWidth="1"/>
    <col min="15118" max="15118" width="10" style="1891" customWidth="1"/>
    <col min="15119" max="15120" width="10.5" style="1891" customWidth="1"/>
    <col min="15121" max="15121" width="10" style="1891" customWidth="1"/>
    <col min="15122" max="15122" width="10.125" style="1891" customWidth="1"/>
    <col min="15123" max="15123" width="10" style="1891" customWidth="1"/>
    <col min="15124" max="15124" width="26.125" style="1891" customWidth="1"/>
    <col min="15125" max="15360" width="8.875" style="1891"/>
    <col min="15361" max="15361" width="9.5" style="1891" customWidth="1"/>
    <col min="15362" max="15362" width="8.875" style="1891"/>
    <col min="15363" max="15365" width="12.875" style="1891" customWidth="1"/>
    <col min="15366" max="15366" width="47.5" style="1891" customWidth="1"/>
    <col min="15367" max="15367" width="13" style="1891" customWidth="1"/>
    <col min="15368" max="15369" width="8.875" style="1891"/>
    <col min="15370" max="15370" width="5.75" style="1891" customWidth="1"/>
    <col min="15371" max="15371" width="11.75" style="1891" customWidth="1"/>
    <col min="15372" max="15373" width="10.75" style="1891" customWidth="1"/>
    <col min="15374" max="15374" width="10" style="1891" customWidth="1"/>
    <col min="15375" max="15376" width="10.5" style="1891" customWidth="1"/>
    <col min="15377" max="15377" width="10" style="1891" customWidth="1"/>
    <col min="15378" max="15378" width="10.125" style="1891" customWidth="1"/>
    <col min="15379" max="15379" width="10" style="1891" customWidth="1"/>
    <col min="15380" max="15380" width="26.125" style="1891" customWidth="1"/>
    <col min="15381" max="15616" width="8.875" style="1891"/>
    <col min="15617" max="15617" width="9.5" style="1891" customWidth="1"/>
    <col min="15618" max="15618" width="8.875" style="1891"/>
    <col min="15619" max="15621" width="12.875" style="1891" customWidth="1"/>
    <col min="15622" max="15622" width="47.5" style="1891" customWidth="1"/>
    <col min="15623" max="15623" width="13" style="1891" customWidth="1"/>
    <col min="15624" max="15625" width="8.875" style="1891"/>
    <col min="15626" max="15626" width="5.75" style="1891" customWidth="1"/>
    <col min="15627" max="15627" width="11.75" style="1891" customWidth="1"/>
    <col min="15628" max="15629" width="10.75" style="1891" customWidth="1"/>
    <col min="15630" max="15630" width="10" style="1891" customWidth="1"/>
    <col min="15631" max="15632" width="10.5" style="1891" customWidth="1"/>
    <col min="15633" max="15633" width="10" style="1891" customWidth="1"/>
    <col min="15634" max="15634" width="10.125" style="1891" customWidth="1"/>
    <col min="15635" max="15635" width="10" style="1891" customWidth="1"/>
    <col min="15636" max="15636" width="26.125" style="1891" customWidth="1"/>
    <col min="15637" max="15872" width="8.875" style="1891"/>
    <col min="15873" max="15873" width="9.5" style="1891" customWidth="1"/>
    <col min="15874" max="15874" width="8.875" style="1891"/>
    <col min="15875" max="15877" width="12.875" style="1891" customWidth="1"/>
    <col min="15878" max="15878" width="47.5" style="1891" customWidth="1"/>
    <col min="15879" max="15879" width="13" style="1891" customWidth="1"/>
    <col min="15880" max="15881" width="8.875" style="1891"/>
    <col min="15882" max="15882" width="5.75" style="1891" customWidth="1"/>
    <col min="15883" max="15883" width="11.75" style="1891" customWidth="1"/>
    <col min="15884" max="15885" width="10.75" style="1891" customWidth="1"/>
    <col min="15886" max="15886" width="10" style="1891" customWidth="1"/>
    <col min="15887" max="15888" width="10.5" style="1891" customWidth="1"/>
    <col min="15889" max="15889" width="10" style="1891" customWidth="1"/>
    <col min="15890" max="15890" width="10.125" style="1891" customWidth="1"/>
    <col min="15891" max="15891" width="10" style="1891" customWidth="1"/>
    <col min="15892" max="15892" width="26.125" style="1891" customWidth="1"/>
    <col min="15893" max="16128" width="8.875" style="1891"/>
    <col min="16129" max="16129" width="9.5" style="1891" customWidth="1"/>
    <col min="16130" max="16130" width="8.875" style="1891"/>
    <col min="16131" max="16133" width="12.875" style="1891" customWidth="1"/>
    <col min="16134" max="16134" width="47.5" style="1891" customWidth="1"/>
    <col min="16135" max="16135" width="13" style="1891" customWidth="1"/>
    <col min="16136" max="16137" width="8.875" style="1891"/>
    <col min="16138" max="16138" width="5.75" style="1891" customWidth="1"/>
    <col min="16139" max="16139" width="11.75" style="1891" customWidth="1"/>
    <col min="16140" max="16141" width="10.75" style="1891" customWidth="1"/>
    <col min="16142" max="16142" width="10" style="1891" customWidth="1"/>
    <col min="16143" max="16144" width="10.5" style="1891" customWidth="1"/>
    <col min="16145" max="16145" width="10" style="1891" customWidth="1"/>
    <col min="16146" max="16146" width="10.125" style="1891" customWidth="1"/>
    <col min="16147" max="16147" width="10" style="1891" customWidth="1"/>
    <col min="16148" max="16148" width="26.125" style="1891" customWidth="1"/>
    <col min="16149" max="16384" width="8.875" style="1891"/>
  </cols>
  <sheetData>
    <row r="1" ht="21" customHeight="1" spans="1:21">
      <c r="A1" s="1896" t="s">
        <v>1348</v>
      </c>
      <c r="B1" s="1897"/>
      <c r="C1" s="1898"/>
      <c r="D1" s="1898"/>
      <c r="E1" s="1899"/>
      <c r="F1" s="1900"/>
      <c r="G1" s="1901"/>
      <c r="J1" s="2008" t="s">
        <v>1349</v>
      </c>
      <c r="K1" s="2009"/>
      <c r="L1" s="2009"/>
      <c r="M1" s="2009"/>
      <c r="N1" s="2009"/>
      <c r="O1" s="2009"/>
      <c r="P1" s="2009"/>
      <c r="Q1" s="2009"/>
      <c r="R1" s="2057"/>
      <c r="S1" s="2058"/>
      <c r="T1" s="2058"/>
      <c r="U1" s="2058"/>
    </row>
    <row r="2" s="1889" customFormat="1" customHeight="1" spans="1:22">
      <c r="A2" s="1902" t="s">
        <v>1147</v>
      </c>
      <c r="B2" s="1903" t="e">
        <f>IF(D2="——",C40,C40+E2)</f>
        <v>#DIV/0!</v>
      </c>
      <c r="C2" s="1898" t="s">
        <v>1148</v>
      </c>
      <c r="D2" s="1904" t="s">
        <v>1350</v>
      </c>
      <c r="E2" s="1905"/>
      <c r="F2" s="1906"/>
      <c r="G2" s="1907"/>
      <c r="H2" s="1908"/>
      <c r="I2" s="2010"/>
      <c r="J2" s="2011" t="s">
        <v>1351</v>
      </c>
      <c r="K2" s="2012"/>
      <c r="L2" s="2013" t="s">
        <v>1352</v>
      </c>
      <c r="M2" s="2013" t="s">
        <v>1353</v>
      </c>
      <c r="N2" s="2013" t="s">
        <v>1354</v>
      </c>
      <c r="O2" s="2013" t="s">
        <v>1355</v>
      </c>
      <c r="P2" s="2013" t="s">
        <v>1356</v>
      </c>
      <c r="Q2" s="2059" t="s">
        <v>1357</v>
      </c>
      <c r="R2" s="2060" t="s">
        <v>1358</v>
      </c>
      <c r="S2" s="2058"/>
      <c r="T2" s="2058"/>
      <c r="U2" s="2058"/>
      <c r="V2" s="2010"/>
    </row>
    <row r="3" s="1889" customFormat="1" customHeight="1" spans="1:22">
      <c r="A3" s="1909" t="s">
        <v>1149</v>
      </c>
      <c r="B3" s="1910" t="e">
        <f>ROUND(B2*10000/B4,0)</f>
        <v>#DIV/0!</v>
      </c>
      <c r="C3" s="1898" t="s">
        <v>1150</v>
      </c>
      <c r="D3" s="1898"/>
      <c r="E3" s="1911"/>
      <c r="F3" s="1906"/>
      <c r="G3" s="1907"/>
      <c r="H3" s="1908"/>
      <c r="I3" s="2010"/>
      <c r="J3" s="2014" t="s">
        <v>1359</v>
      </c>
      <c r="K3" s="2015"/>
      <c r="L3" s="2016"/>
      <c r="M3" s="2016"/>
      <c r="N3" s="2016"/>
      <c r="O3" s="2016"/>
      <c r="P3" s="2016"/>
      <c r="Q3" s="2061"/>
      <c r="R3" s="2062">
        <f>SUM(L3:Q3)</f>
        <v>0</v>
      </c>
      <c r="S3" s="2058"/>
      <c r="T3" s="2058"/>
      <c r="U3" s="2058"/>
      <c r="V3" s="2010"/>
    </row>
    <row r="4" s="1889" customFormat="1" customHeight="1" spans="1:22">
      <c r="A4" s="1912" t="s">
        <v>1360</v>
      </c>
      <c r="B4" s="1913"/>
      <c r="C4" s="1898"/>
      <c r="D4" s="1898"/>
      <c r="E4" s="1911"/>
      <c r="F4" s="1906"/>
      <c r="G4" s="1907"/>
      <c r="H4" s="1908"/>
      <c r="I4" s="2010"/>
      <c r="J4" s="2014" t="s">
        <v>1361</v>
      </c>
      <c r="K4" s="2015"/>
      <c r="L4" s="2017"/>
      <c r="M4" s="2017"/>
      <c r="N4" s="2017"/>
      <c r="O4" s="2017"/>
      <c r="P4" s="2017"/>
      <c r="Q4" s="2063"/>
      <c r="R4" s="2064">
        <f>SUM(L4:Q4)</f>
        <v>0</v>
      </c>
      <c r="S4" s="2058"/>
      <c r="T4" s="2058"/>
      <c r="U4" s="2058"/>
      <c r="V4" s="2010"/>
    </row>
    <row r="5" s="1889" customFormat="1" customHeight="1" spans="1:22">
      <c r="A5" s="1914" t="s">
        <v>1362</v>
      </c>
      <c r="B5" s="1915"/>
      <c r="C5" s="1898"/>
      <c r="D5" s="1916"/>
      <c r="E5" s="1906"/>
      <c r="F5" s="1906"/>
      <c r="G5" s="1907"/>
      <c r="H5" s="1908"/>
      <c r="I5" s="2010"/>
      <c r="J5" s="2018" t="s">
        <v>1363</v>
      </c>
      <c r="K5" s="2019"/>
      <c r="L5" s="2019"/>
      <c r="M5" s="2020"/>
      <c r="N5" s="2020"/>
      <c r="O5" s="2020"/>
      <c r="P5" s="2020"/>
      <c r="Q5" s="2020"/>
      <c r="R5" s="2060">
        <f>SUM(R14,R19,R24,R25,R27,R28)</f>
        <v>0</v>
      </c>
      <c r="S5" s="2058"/>
      <c r="T5" s="2058" t="s">
        <v>1364</v>
      </c>
      <c r="U5" s="2058" t="e">
        <f>ROUND(R5*10000/365/R3,1)</f>
        <v>#DIV/0!</v>
      </c>
      <c r="V5" s="2010"/>
    </row>
    <row r="6" s="1889" customFormat="1" customHeight="1" spans="1:22">
      <c r="A6" s="1917" t="s">
        <v>1365</v>
      </c>
      <c r="B6" s="1918"/>
      <c r="C6" s="1919"/>
      <c r="D6" s="1920"/>
      <c r="E6" s="1921"/>
      <c r="F6" s="1922"/>
      <c r="G6" s="1923"/>
      <c r="H6" s="1908"/>
      <c r="I6" s="2010"/>
      <c r="J6" s="2021">
        <v>1</v>
      </c>
      <c r="K6" s="2022" t="s">
        <v>1366</v>
      </c>
      <c r="L6" s="2023" t="s">
        <v>1367</v>
      </c>
      <c r="M6" s="2024" t="s">
        <v>1368</v>
      </c>
      <c r="N6" s="2024" t="s">
        <v>1369</v>
      </c>
      <c r="O6" s="2024" t="s">
        <v>1370</v>
      </c>
      <c r="P6" s="2024" t="s">
        <v>1371</v>
      </c>
      <c r="Q6" s="2024" t="s">
        <v>1372</v>
      </c>
      <c r="R6" s="2062" t="s">
        <v>1373</v>
      </c>
      <c r="S6" s="2058"/>
      <c r="T6" s="2058" t="s">
        <v>1374</v>
      </c>
      <c r="U6" s="2058"/>
      <c r="V6" s="2010"/>
    </row>
    <row r="7" s="1889" customFormat="1" customHeight="1" spans="1:22">
      <c r="A7" s="1924" t="s">
        <v>1375</v>
      </c>
      <c r="B7" s="1925"/>
      <c r="C7" s="1926"/>
      <c r="D7" s="1927">
        <f>SUM(D9,D10,D11,D17,0)</f>
        <v>0</v>
      </c>
      <c r="E7" s="1928" t="e">
        <f>E9+E10+E11+E17</f>
        <v>#DIV/0!</v>
      </c>
      <c r="F7" s="1929"/>
      <c r="G7" s="1930"/>
      <c r="H7" s="1908"/>
      <c r="I7" s="2010"/>
      <c r="J7" s="2021"/>
      <c r="K7" s="2025"/>
      <c r="L7" s="2026" t="s">
        <v>1376</v>
      </c>
      <c r="M7" s="2027"/>
      <c r="N7" s="1913"/>
      <c r="O7" s="2028"/>
      <c r="P7" s="2028"/>
      <c r="Q7" s="1949">
        <v>365</v>
      </c>
      <c r="R7" s="2065">
        <f>ROUND(M7*N7*O7*P7*Q7/10000,0)</f>
        <v>0</v>
      </c>
      <c r="S7" s="2058"/>
      <c r="T7" s="2058" t="s">
        <v>1377</v>
      </c>
      <c r="U7" s="2058"/>
      <c r="V7" s="2010"/>
    </row>
    <row r="8" s="1889" customFormat="1" customHeight="1" spans="1:22">
      <c r="A8" s="1931" t="s">
        <v>1378</v>
      </c>
      <c r="B8" s="1932" t="s">
        <v>1379</v>
      </c>
      <c r="C8" s="1933"/>
      <c r="D8" s="1934" t="s">
        <v>1380</v>
      </c>
      <c r="E8" s="1935" t="s">
        <v>1381</v>
      </c>
      <c r="F8" s="1936" t="s">
        <v>1382</v>
      </c>
      <c r="G8" s="1937"/>
      <c r="H8" s="1908"/>
      <c r="I8" s="2010"/>
      <c r="J8" s="2021"/>
      <c r="K8" s="2025"/>
      <c r="L8" s="2026" t="s">
        <v>1383</v>
      </c>
      <c r="M8" s="2027"/>
      <c r="N8" s="1913"/>
      <c r="O8" s="2028"/>
      <c r="P8" s="2028"/>
      <c r="Q8" s="1949">
        <v>365</v>
      </c>
      <c r="R8" s="2065">
        <f t="shared" ref="R8:R13" si="0">ROUND(M8*N8*O8*P8*Q8/10000,0)</f>
        <v>0</v>
      </c>
      <c r="S8" s="2058"/>
      <c r="T8" s="2058" t="s">
        <v>1384</v>
      </c>
      <c r="U8" s="2058"/>
      <c r="V8" s="2010"/>
    </row>
    <row r="9" s="1889" customFormat="1" customHeight="1" spans="1:22">
      <c r="A9" s="1931">
        <v>1</v>
      </c>
      <c r="B9" s="1932" t="s">
        <v>1385</v>
      </c>
      <c r="C9" s="1933"/>
      <c r="D9" s="1934">
        <f>ROUND(D6*E9,0)</f>
        <v>0</v>
      </c>
      <c r="E9" s="1938"/>
      <c r="F9" s="1939" t="s">
        <v>1386</v>
      </c>
      <c r="G9" s="1923"/>
      <c r="H9" s="1908"/>
      <c r="I9" s="2010"/>
      <c r="J9" s="2021"/>
      <c r="K9" s="2025"/>
      <c r="L9" s="2026" t="s">
        <v>1387</v>
      </c>
      <c r="M9" s="2027"/>
      <c r="N9" s="1913"/>
      <c r="O9" s="2028"/>
      <c r="P9" s="2028"/>
      <c r="Q9" s="1949">
        <v>365</v>
      </c>
      <c r="R9" s="2065">
        <f t="shared" si="0"/>
        <v>0</v>
      </c>
      <c r="S9" s="2058"/>
      <c r="T9" s="2058"/>
      <c r="U9" s="2058"/>
      <c r="V9" s="2010"/>
    </row>
    <row r="10" s="1889" customFormat="1" customHeight="1" spans="1:22">
      <c r="A10" s="1931">
        <v>2</v>
      </c>
      <c r="B10" s="1932" t="s">
        <v>1388</v>
      </c>
      <c r="C10" s="1933"/>
      <c r="D10" s="1934">
        <f>ROUND(D6*E10,0)</f>
        <v>0</v>
      </c>
      <c r="E10" s="1938"/>
      <c r="F10" s="1939" t="s">
        <v>1389</v>
      </c>
      <c r="G10" s="1923"/>
      <c r="H10" s="1908"/>
      <c r="I10" s="2010"/>
      <c r="J10" s="2021"/>
      <c r="K10" s="2025"/>
      <c r="L10" s="2026" t="s">
        <v>1390</v>
      </c>
      <c r="M10" s="2027"/>
      <c r="N10" s="1913"/>
      <c r="O10" s="2028"/>
      <c r="P10" s="2028"/>
      <c r="Q10" s="1949">
        <v>365</v>
      </c>
      <c r="R10" s="2065">
        <f t="shared" si="0"/>
        <v>0</v>
      </c>
      <c r="S10" s="2058"/>
      <c r="T10" s="2058"/>
      <c r="U10" s="2058"/>
      <c r="V10" s="2010"/>
    </row>
    <row r="11" s="1889" customFormat="1" customHeight="1" spans="1:22">
      <c r="A11" s="1931">
        <v>3</v>
      </c>
      <c r="B11" s="1932" t="s">
        <v>1391</v>
      </c>
      <c r="C11" s="1933"/>
      <c r="D11" s="1934">
        <f>D12+D14+D15+D16</f>
        <v>0</v>
      </c>
      <c r="E11" s="1940" t="e">
        <f>D11/D6</f>
        <v>#DIV/0!</v>
      </c>
      <c r="F11" s="1936"/>
      <c r="G11" s="1937"/>
      <c r="H11" s="1908"/>
      <c r="I11" s="2010"/>
      <c r="J11" s="2021"/>
      <c r="K11" s="2025"/>
      <c r="L11" s="2026" t="s">
        <v>1392</v>
      </c>
      <c r="M11" s="2027"/>
      <c r="N11" s="1913"/>
      <c r="O11" s="2028"/>
      <c r="P11" s="2028"/>
      <c r="Q11" s="1949">
        <v>365</v>
      </c>
      <c r="R11" s="2065">
        <f t="shared" si="0"/>
        <v>0</v>
      </c>
      <c r="S11" s="2058"/>
      <c r="T11" s="2058"/>
      <c r="U11" s="2058"/>
      <c r="V11" s="2010"/>
    </row>
    <row r="12" s="1889" customFormat="1" customHeight="1" spans="1:22">
      <c r="A12" s="1941" t="s">
        <v>1393</v>
      </c>
      <c r="B12" s="1942" t="s">
        <v>1394</v>
      </c>
      <c r="C12" s="1943"/>
      <c r="D12" s="1944">
        <f>ROUND(D13*1.2%*(1-30%),0)</f>
        <v>0</v>
      </c>
      <c r="E12" s="1945">
        <v>0.012</v>
      </c>
      <c r="F12" s="1936" t="s">
        <v>1395</v>
      </c>
      <c r="G12" s="1937"/>
      <c r="H12" s="1908"/>
      <c r="I12" s="2010"/>
      <c r="J12" s="2021"/>
      <c r="K12" s="2025"/>
      <c r="L12" s="2026" t="s">
        <v>1396</v>
      </c>
      <c r="M12" s="2027"/>
      <c r="N12" s="1913"/>
      <c r="O12" s="2028"/>
      <c r="P12" s="2028"/>
      <c r="Q12" s="1949">
        <v>365</v>
      </c>
      <c r="R12" s="2065">
        <f t="shared" si="0"/>
        <v>0</v>
      </c>
      <c r="S12" s="2058"/>
      <c r="T12" s="2058"/>
      <c r="U12" s="2058"/>
      <c r="V12" s="2010"/>
    </row>
    <row r="13" s="1889" customFormat="1" customHeight="1" spans="1:22">
      <c r="A13" s="1941"/>
      <c r="B13" s="1942"/>
      <c r="C13" s="1946" t="s">
        <v>1397</v>
      </c>
      <c r="D13" s="1947"/>
      <c r="E13" s="1948"/>
      <c r="F13" s="1936"/>
      <c r="G13" s="1937"/>
      <c r="H13" s="1908"/>
      <c r="I13" s="2010"/>
      <c r="J13" s="2021"/>
      <c r="K13" s="2025"/>
      <c r="L13" s="2026" t="s">
        <v>1398</v>
      </c>
      <c r="M13" s="2027"/>
      <c r="N13" s="1913"/>
      <c r="O13" s="2028"/>
      <c r="P13" s="2028"/>
      <c r="Q13" s="1949">
        <v>365</v>
      </c>
      <c r="R13" s="2065">
        <f t="shared" si="0"/>
        <v>0</v>
      </c>
      <c r="S13" s="2058"/>
      <c r="T13" s="2058"/>
      <c r="U13" s="2058"/>
      <c r="V13" s="2010"/>
    </row>
    <row r="14" s="1889" customFormat="1" customHeight="1" spans="1:22">
      <c r="A14" s="1941" t="s">
        <v>1399</v>
      </c>
      <c r="B14" s="1942" t="s">
        <v>1400</v>
      </c>
      <c r="C14" s="1943"/>
      <c r="D14" s="1944">
        <f>ROUND(E14*B5/10000,0)</f>
        <v>0</v>
      </c>
      <c r="E14" s="1949"/>
      <c r="F14" s="1936" t="s">
        <v>1401</v>
      </c>
      <c r="G14" s="1937"/>
      <c r="H14" s="1908"/>
      <c r="I14" s="2010"/>
      <c r="J14" s="2021"/>
      <c r="K14" s="2029"/>
      <c r="L14" s="2030" t="s">
        <v>1402</v>
      </c>
      <c r="M14" s="2031">
        <f>SUM(M7:M13)</f>
        <v>0</v>
      </c>
      <c r="N14" s="2031" t="e">
        <f>ROUND((N7*M7+N8*M8+N9*M9+N10*M10+N11*M11+N12*M12+N13*M13)/M14,0)</f>
        <v>#DIV/0!</v>
      </c>
      <c r="O14" s="2032"/>
      <c r="P14" s="2032"/>
      <c r="Q14" s="2066"/>
      <c r="R14" s="2060">
        <f>SUM(R7:R13)</f>
        <v>0</v>
      </c>
      <c r="S14" s="2058"/>
      <c r="T14" s="2058"/>
      <c r="U14" s="2058"/>
      <c r="V14" s="2010"/>
    </row>
    <row r="15" s="1889" customFormat="1" customHeight="1" spans="1:22">
      <c r="A15" s="1941" t="s">
        <v>1403</v>
      </c>
      <c r="B15" s="1942" t="s">
        <v>1404</v>
      </c>
      <c r="C15" s="1943"/>
      <c r="D15" s="1944">
        <f>ROUND(D6*E15,0)</f>
        <v>0</v>
      </c>
      <c r="E15" s="1945">
        <v>0.055</v>
      </c>
      <c r="F15" s="1936" t="s">
        <v>1405</v>
      </c>
      <c r="G15" s="1923"/>
      <c r="H15" s="1908"/>
      <c r="I15" s="2010"/>
      <c r="J15" s="2021">
        <v>2</v>
      </c>
      <c r="K15" s="2022" t="s">
        <v>1406</v>
      </c>
      <c r="L15" s="2026" t="s">
        <v>1407</v>
      </c>
      <c r="M15" s="2027" t="s">
        <v>1408</v>
      </c>
      <c r="N15" s="2027" t="s">
        <v>1409</v>
      </c>
      <c r="O15" s="2028" t="s">
        <v>1410</v>
      </c>
      <c r="P15" s="2028" t="s">
        <v>1372</v>
      </c>
      <c r="Q15" s="1913" t="s">
        <v>124</v>
      </c>
      <c r="R15" s="2067" t="s">
        <v>1373</v>
      </c>
      <c r="S15" s="2058"/>
      <c r="T15" s="2058"/>
      <c r="U15" s="2058"/>
      <c r="V15" s="2010"/>
    </row>
    <row r="16" s="1889" customFormat="1" customHeight="1" spans="1:22">
      <c r="A16" s="1941" t="s">
        <v>1411</v>
      </c>
      <c r="B16" s="1942" t="s">
        <v>1412</v>
      </c>
      <c r="C16" s="1943"/>
      <c r="D16" s="1950">
        <f>D6*E16</f>
        <v>0</v>
      </c>
      <c r="E16" s="1951"/>
      <c r="F16" s="1939" t="s">
        <v>1413</v>
      </c>
      <c r="G16" s="1923"/>
      <c r="H16" s="1908"/>
      <c r="I16" s="2010"/>
      <c r="J16" s="2021"/>
      <c r="K16" s="2025"/>
      <c r="L16" s="2026" t="s">
        <v>1414</v>
      </c>
      <c r="M16" s="2027"/>
      <c r="N16" s="2027"/>
      <c r="O16" s="2028"/>
      <c r="P16" s="1949">
        <v>365</v>
      </c>
      <c r="Q16" s="1913"/>
      <c r="R16" s="2067">
        <f>ROUND(M16*N16*O16*P16/10000,0)</f>
        <v>0</v>
      </c>
      <c r="S16" s="2058"/>
      <c r="T16" s="2058"/>
      <c r="U16" s="2058"/>
      <c r="V16" s="2010"/>
    </row>
    <row r="17" s="1889" customFormat="1" customHeight="1" spans="1:22">
      <c r="A17" s="1952">
        <v>4</v>
      </c>
      <c r="B17" s="1953" t="s">
        <v>1415</v>
      </c>
      <c r="C17" s="1954"/>
      <c r="D17" s="1955">
        <f>ROUND(D6*E17,0)</f>
        <v>0</v>
      </c>
      <c r="E17" s="1956"/>
      <c r="F17" s="1957" t="s">
        <v>1416</v>
      </c>
      <c r="G17" s="1923"/>
      <c r="H17" s="1908"/>
      <c r="I17" s="2010"/>
      <c r="J17" s="2021"/>
      <c r="K17" s="2025"/>
      <c r="L17" s="2026" t="s">
        <v>1417</v>
      </c>
      <c r="M17" s="2027"/>
      <c r="N17" s="2027"/>
      <c r="O17" s="2028"/>
      <c r="P17" s="1949">
        <v>365</v>
      </c>
      <c r="Q17" s="1913"/>
      <c r="R17" s="2067">
        <f>ROUND(M17*N17*O17*P17/10000,0)</f>
        <v>0</v>
      </c>
      <c r="S17" s="2058"/>
      <c r="T17" s="2058"/>
      <c r="U17" s="2058"/>
      <c r="V17" s="2010"/>
    </row>
    <row r="18" s="1889" customFormat="1" customHeight="1" spans="1:22">
      <c r="A18" s="1924" t="s">
        <v>1418</v>
      </c>
      <c r="B18" s="1925"/>
      <c r="C18" s="1925"/>
      <c r="D18" s="1958">
        <f>ROUND(D6*E18,0)</f>
        <v>0</v>
      </c>
      <c r="E18" s="1959"/>
      <c r="F18" s="1960" t="s">
        <v>1419</v>
      </c>
      <c r="G18" s="1923"/>
      <c r="H18" s="1908"/>
      <c r="I18" s="2010"/>
      <c r="J18" s="2021"/>
      <c r="K18" s="2025"/>
      <c r="L18" s="2026" t="s">
        <v>1420</v>
      </c>
      <c r="M18" s="2027"/>
      <c r="N18" s="2027"/>
      <c r="O18" s="2028"/>
      <c r="P18" s="1949">
        <v>365</v>
      </c>
      <c r="Q18" s="1913"/>
      <c r="R18" s="2067">
        <f>ROUND(M18*N18*O18*P18/10000,0)</f>
        <v>0</v>
      </c>
      <c r="S18" s="2058"/>
      <c r="T18" s="2058"/>
      <c r="U18" s="2058"/>
      <c r="V18" s="2010"/>
    </row>
    <row r="19" s="1889" customFormat="1" customHeight="1" spans="1:22">
      <c r="A19" s="1961" t="s">
        <v>1421</v>
      </c>
      <c r="B19" s="1921"/>
      <c r="C19" s="1921"/>
      <c r="D19" s="1921"/>
      <c r="E19" s="1921"/>
      <c r="F19" s="1922"/>
      <c r="G19" s="1937"/>
      <c r="H19" s="1908"/>
      <c r="I19" s="2010"/>
      <c r="J19" s="2021"/>
      <c r="K19" s="2029"/>
      <c r="L19" s="2030" t="s">
        <v>1402</v>
      </c>
      <c r="M19" s="2031"/>
      <c r="N19" s="2031">
        <f>SUM(N16:N18)</f>
        <v>0</v>
      </c>
      <c r="O19" s="2032"/>
      <c r="P19" s="2033" t="s">
        <v>1422</v>
      </c>
      <c r="Q19" s="2028">
        <v>0</v>
      </c>
      <c r="R19" s="2068">
        <f>ROUND(IF(P19="按比例",R14*Q19,SUM(R16:R18)),0)</f>
        <v>0</v>
      </c>
      <c r="S19" s="2058"/>
      <c r="T19" s="2058"/>
      <c r="U19" s="2058"/>
      <c r="V19" s="2010"/>
    </row>
    <row r="20" s="1889" customFormat="1" customHeight="1" spans="1:22">
      <c r="A20" s="1924"/>
      <c r="B20" s="1925"/>
      <c r="C20" s="1925"/>
      <c r="D20" s="1925"/>
      <c r="E20" s="1925"/>
      <c r="F20" s="1962"/>
      <c r="G20" s="1937"/>
      <c r="H20" s="1908"/>
      <c r="I20" s="2010"/>
      <c r="J20" s="2021">
        <v>3</v>
      </c>
      <c r="K20" s="2022" t="s">
        <v>1423</v>
      </c>
      <c r="L20" s="2026" t="s">
        <v>1424</v>
      </c>
      <c r="M20" s="2027" t="s">
        <v>1425</v>
      </c>
      <c r="N20" s="2034" t="s">
        <v>1426</v>
      </c>
      <c r="O20" s="2028" t="s">
        <v>1427</v>
      </c>
      <c r="P20" s="1949" t="s">
        <v>1372</v>
      </c>
      <c r="Q20" s="1913" t="s">
        <v>124</v>
      </c>
      <c r="R20" s="2067" t="s">
        <v>1373</v>
      </c>
      <c r="S20" s="2055"/>
      <c r="T20" s="2055"/>
      <c r="U20" s="2055"/>
      <c r="V20" s="2010"/>
    </row>
    <row r="21" s="1889" customFormat="1" customHeight="1" spans="1:22">
      <c r="A21" s="1924"/>
      <c r="B21" s="1925"/>
      <c r="C21" s="1932" t="s">
        <v>1428</v>
      </c>
      <c r="D21" s="1963" t="s">
        <v>1429</v>
      </c>
      <c r="E21" s="1933" t="s">
        <v>1430</v>
      </c>
      <c r="F21" s="1962"/>
      <c r="G21" s="1937"/>
      <c r="H21" s="1908"/>
      <c r="I21" s="2010"/>
      <c r="J21" s="2021"/>
      <c r="K21" s="2025"/>
      <c r="L21" s="2026" t="s">
        <v>1431</v>
      </c>
      <c r="M21" s="2027"/>
      <c r="N21" s="2027"/>
      <c r="O21" s="2028"/>
      <c r="P21" s="1949">
        <v>365</v>
      </c>
      <c r="Q21" s="1913"/>
      <c r="R21" s="2069">
        <f>ROUND(M21*N21*O21*P21/10000,0)</f>
        <v>0</v>
      </c>
      <c r="S21" s="2055"/>
      <c r="T21" s="2055"/>
      <c r="U21" s="2055"/>
      <c r="V21" s="2010"/>
    </row>
    <row r="22" s="1889" customFormat="1" customHeight="1" spans="1:22">
      <c r="A22" s="1924"/>
      <c r="B22" s="1925"/>
      <c r="C22" s="1964" t="s">
        <v>1432</v>
      </c>
      <c r="D22" s="1965" t="s">
        <v>1433</v>
      </c>
      <c r="E22" s="1966" t="s">
        <v>1434</v>
      </c>
      <c r="F22" s="1962"/>
      <c r="G22" s="1967"/>
      <c r="H22" s="1908"/>
      <c r="I22" s="2010"/>
      <c r="J22" s="2021"/>
      <c r="K22" s="2025"/>
      <c r="L22" s="2026" t="s">
        <v>1435</v>
      </c>
      <c r="M22" s="2027"/>
      <c r="N22" s="2027"/>
      <c r="O22" s="2028"/>
      <c r="P22" s="1949">
        <v>365</v>
      </c>
      <c r="Q22" s="1913"/>
      <c r="R22" s="2069">
        <f>ROUND(M22*N22*O22*P22/10000,0)</f>
        <v>0</v>
      </c>
      <c r="S22" s="2055"/>
      <c r="T22" s="2055"/>
      <c r="U22" s="2055"/>
      <c r="V22" s="2010"/>
    </row>
    <row r="23" s="1889" customFormat="1" customHeight="1" spans="1:22">
      <c r="A23" s="1968">
        <v>1</v>
      </c>
      <c r="B23" s="1969" t="s">
        <v>1436</v>
      </c>
      <c r="C23" s="1970">
        <f>D6</f>
        <v>0</v>
      </c>
      <c r="D23" s="1971">
        <f>C23*(1+D24)</f>
        <v>0</v>
      </c>
      <c r="E23" s="1972">
        <f>D23*(1+E24)</f>
        <v>0</v>
      </c>
      <c r="F23" s="1973"/>
      <c r="G23" s="1974"/>
      <c r="H23" s="1908"/>
      <c r="I23" s="2010"/>
      <c r="J23" s="2021"/>
      <c r="K23" s="2025"/>
      <c r="L23" s="2026" t="s">
        <v>1437</v>
      </c>
      <c r="M23" s="2027"/>
      <c r="N23" s="2027"/>
      <c r="O23" s="2028"/>
      <c r="P23" s="1949">
        <v>365</v>
      </c>
      <c r="Q23" s="1913"/>
      <c r="R23" s="2069">
        <f>ROUND(M23*N23*O23*P23/10000,0)</f>
        <v>0</v>
      </c>
      <c r="S23" s="2058"/>
      <c r="T23" s="2058"/>
      <c r="U23" s="2058"/>
      <c r="V23" s="2010"/>
    </row>
    <row r="24" s="1889" customFormat="1" customHeight="1" spans="1:22">
      <c r="A24" s="1975"/>
      <c r="B24" s="1976" t="s">
        <v>1438</v>
      </c>
      <c r="C24" s="1977"/>
      <c r="D24" s="1978"/>
      <c r="E24" s="1979"/>
      <c r="F24" s="1980"/>
      <c r="G24" s="1974"/>
      <c r="H24" s="1908"/>
      <c r="I24" s="2010"/>
      <c r="J24" s="2021"/>
      <c r="K24" s="2029"/>
      <c r="L24" s="2030" t="s">
        <v>1402</v>
      </c>
      <c r="M24" s="2031">
        <f>SUM(M21:M23)</f>
        <v>0</v>
      </c>
      <c r="N24" s="2031"/>
      <c r="O24" s="2032"/>
      <c r="P24" s="2033" t="s">
        <v>1422</v>
      </c>
      <c r="Q24" s="2028">
        <v>0</v>
      </c>
      <c r="R24" s="2068">
        <f>ROUND(IF(P24="按比例",R14*Q24,SUM(R21:R23)),0)</f>
        <v>0</v>
      </c>
      <c r="S24" s="2058"/>
      <c r="T24" s="2058"/>
      <c r="U24" s="2058"/>
      <c r="V24" s="2010"/>
    </row>
    <row r="25" s="1890" customFormat="1" customHeight="1" spans="1:22">
      <c r="A25" s="1975"/>
      <c r="B25" s="1976"/>
      <c r="C25" s="1977"/>
      <c r="D25" s="1978"/>
      <c r="E25" s="1979"/>
      <c r="F25" s="1980"/>
      <c r="G25" s="1967"/>
      <c r="H25" s="1908"/>
      <c r="I25" s="2010"/>
      <c r="J25" s="2021">
        <v>4</v>
      </c>
      <c r="K25" s="2035" t="s">
        <v>1439</v>
      </c>
      <c r="L25" s="2036"/>
      <c r="M25" s="2036"/>
      <c r="N25" s="2036"/>
      <c r="O25" s="2036"/>
      <c r="P25" s="2037"/>
      <c r="Q25" s="2070">
        <v>0</v>
      </c>
      <c r="R25" s="2068">
        <f>ROUND(R14*Q25,0)</f>
        <v>0</v>
      </c>
      <c r="S25" s="2058"/>
      <c r="T25" s="2058"/>
      <c r="U25" s="2058"/>
      <c r="V25" s="2044"/>
    </row>
    <row r="26" s="1890" customFormat="1" customHeight="1" spans="1:22">
      <c r="A26" s="1968">
        <v>2</v>
      </c>
      <c r="B26" s="1969" t="s">
        <v>1440</v>
      </c>
      <c r="C26" s="1970">
        <f>D7</f>
        <v>0</v>
      </c>
      <c r="D26" s="1971">
        <f>D23*D27</f>
        <v>0</v>
      </c>
      <c r="E26" s="1972">
        <f>E23*E27</f>
        <v>0</v>
      </c>
      <c r="F26" s="1973"/>
      <c r="G26" s="1974"/>
      <c r="H26" s="1908"/>
      <c r="I26" s="2010"/>
      <c r="J26" s="2038">
        <v>5</v>
      </c>
      <c r="K26" s="2039" t="s">
        <v>1441</v>
      </c>
      <c r="L26" s="2040"/>
      <c r="M26" s="2041"/>
      <c r="N26" s="2042" t="s">
        <v>456</v>
      </c>
      <c r="O26" s="2042" t="s">
        <v>1442</v>
      </c>
      <c r="P26" s="2043" t="s">
        <v>1443</v>
      </c>
      <c r="Q26" s="2043" t="s">
        <v>1444</v>
      </c>
      <c r="R26" s="2062" t="s">
        <v>1373</v>
      </c>
      <c r="S26" s="2071"/>
      <c r="T26" s="2071"/>
      <c r="U26" s="2071"/>
      <c r="V26" s="2044"/>
    </row>
    <row r="27" s="1889" customFormat="1" customHeight="1" spans="1:22">
      <c r="A27" s="1975"/>
      <c r="B27" s="1976" t="s">
        <v>1445</v>
      </c>
      <c r="C27" s="1981" t="e">
        <f>E7</f>
        <v>#DIV/0!</v>
      </c>
      <c r="D27" s="1978"/>
      <c r="E27" s="1979"/>
      <c r="F27" s="1980"/>
      <c r="G27" s="1974"/>
      <c r="H27" s="1982"/>
      <c r="I27" s="2044"/>
      <c r="J27" s="2045"/>
      <c r="K27" s="2046"/>
      <c r="L27" s="2047"/>
      <c r="M27" s="2048"/>
      <c r="N27" s="2049"/>
      <c r="O27" s="2049"/>
      <c r="P27" s="2049"/>
      <c r="Q27" s="2072"/>
      <c r="R27" s="2068">
        <f>ROUND(O27*N27*P27*(1-Q27)/10000,0)</f>
        <v>0</v>
      </c>
      <c r="S27" s="2058"/>
      <c r="T27" s="2058"/>
      <c r="U27" s="2058"/>
      <c r="V27" s="2010"/>
    </row>
    <row r="28" s="1890" customFormat="1" customHeight="1" spans="1:22">
      <c r="A28" s="1975"/>
      <c r="B28" s="1976"/>
      <c r="C28" s="1981"/>
      <c r="D28" s="1978"/>
      <c r="E28" s="1979" t="s">
        <v>1446</v>
      </c>
      <c r="F28" s="1980"/>
      <c r="G28" s="1967"/>
      <c r="H28" s="1982"/>
      <c r="I28" s="2044"/>
      <c r="J28" s="2050">
        <v>6</v>
      </c>
      <c r="K28" s="2051" t="s">
        <v>1447</v>
      </c>
      <c r="L28" s="2052" t="s">
        <v>1448</v>
      </c>
      <c r="M28" s="2053"/>
      <c r="N28" s="2052" t="s">
        <v>1449</v>
      </c>
      <c r="O28" s="2054"/>
      <c r="P28" s="2052" t="s">
        <v>1450</v>
      </c>
      <c r="Q28" s="2073">
        <v>0.015</v>
      </c>
      <c r="R28" s="2074"/>
      <c r="S28" s="2055"/>
      <c r="T28" s="2055"/>
      <c r="U28" s="2055"/>
      <c r="V28" s="2044"/>
    </row>
    <row r="29" s="1890" customFormat="1" customHeight="1" spans="1:22">
      <c r="A29" s="1968">
        <v>3</v>
      </c>
      <c r="B29" s="1969" t="s">
        <v>1451</v>
      </c>
      <c r="C29" s="1970">
        <f>C23*C30</f>
        <v>0</v>
      </c>
      <c r="D29" s="1971">
        <f>D23*C30</f>
        <v>0</v>
      </c>
      <c r="E29" s="1972">
        <f>E23*C30</f>
        <v>0</v>
      </c>
      <c r="F29" s="1973"/>
      <c r="G29" s="1974"/>
      <c r="H29" s="1908"/>
      <c r="I29" s="2010"/>
      <c r="J29" s="2055"/>
      <c r="K29" s="2055"/>
      <c r="L29" s="2055"/>
      <c r="M29" s="2055"/>
      <c r="N29" s="2055"/>
      <c r="O29" s="2055"/>
      <c r="P29" s="2055"/>
      <c r="Q29" s="2055"/>
      <c r="R29" s="2055"/>
      <c r="S29" s="2055"/>
      <c r="T29" s="2055"/>
      <c r="U29" s="2055"/>
      <c r="V29" s="2044"/>
    </row>
    <row r="30" s="1889" customFormat="1" customHeight="1" spans="1:22">
      <c r="A30" s="1975"/>
      <c r="B30" s="1976" t="s">
        <v>1445</v>
      </c>
      <c r="C30" s="1981">
        <f>E18</f>
        <v>0</v>
      </c>
      <c r="D30" s="1983"/>
      <c r="E30" s="1948"/>
      <c r="F30" s="1980"/>
      <c r="G30" s="1974"/>
      <c r="H30" s="1982"/>
      <c r="I30" s="2044"/>
      <c r="J30" s="2055"/>
      <c r="K30" s="2055"/>
      <c r="L30" s="2055"/>
      <c r="M30" s="2055"/>
      <c r="N30" s="2055"/>
      <c r="O30" s="2055"/>
      <c r="P30" s="2055"/>
      <c r="Q30" s="2055"/>
      <c r="R30" s="2055"/>
      <c r="S30" s="2055"/>
      <c r="T30" s="2055"/>
      <c r="U30" s="2058"/>
      <c r="V30" s="2010"/>
    </row>
    <row r="31" s="1890" customFormat="1" customHeight="1" spans="1:22">
      <c r="A31" s="1975"/>
      <c r="B31" s="1976"/>
      <c r="C31" s="1984"/>
      <c r="D31" s="1983"/>
      <c r="E31" s="1948"/>
      <c r="F31" s="1980"/>
      <c r="G31" s="1967"/>
      <c r="H31" s="1982"/>
      <c r="I31" s="2044"/>
      <c r="J31" s="2008" t="s">
        <v>1452</v>
      </c>
      <c r="K31" s="2009"/>
      <c r="L31" s="2009"/>
      <c r="M31" s="2009"/>
      <c r="N31" s="2009"/>
      <c r="O31" s="2009"/>
      <c r="P31" s="2009"/>
      <c r="Q31" s="2009"/>
      <c r="R31" s="2057"/>
      <c r="S31" s="2055"/>
      <c r="T31" s="2058"/>
      <c r="U31" s="2058"/>
      <c r="V31" s="2044"/>
    </row>
    <row r="32" s="1890" customFormat="1" customHeight="1" spans="1:22">
      <c r="A32" s="1968">
        <v>4</v>
      </c>
      <c r="B32" s="1969" t="s">
        <v>1453</v>
      </c>
      <c r="C32" s="1970">
        <f>C23-C26-C29</f>
        <v>0</v>
      </c>
      <c r="D32" s="1971">
        <f>D23-D26-D29</f>
        <v>0</v>
      </c>
      <c r="E32" s="1972">
        <f>E23-E26-E29</f>
        <v>0</v>
      </c>
      <c r="F32" s="1973"/>
      <c r="G32" s="1967"/>
      <c r="H32" s="1908"/>
      <c r="I32" s="2010"/>
      <c r="J32" s="2011" t="s">
        <v>1351</v>
      </c>
      <c r="K32" s="2012"/>
      <c r="L32" s="2013" t="s">
        <v>1352</v>
      </c>
      <c r="M32" s="2013" t="s">
        <v>1353</v>
      </c>
      <c r="N32" s="2013" t="s">
        <v>1354</v>
      </c>
      <c r="O32" s="2013" t="s">
        <v>1355</v>
      </c>
      <c r="P32" s="2013" t="s">
        <v>1356</v>
      </c>
      <c r="Q32" s="2059" t="s">
        <v>1357</v>
      </c>
      <c r="R32" s="2075" t="s">
        <v>1358</v>
      </c>
      <c r="S32" s="2055"/>
      <c r="T32" s="2058"/>
      <c r="U32" s="2058"/>
      <c r="V32" s="2044"/>
    </row>
    <row r="33" s="1889" customFormat="1" customHeight="1" spans="1:22">
      <c r="A33" s="1968"/>
      <c r="B33" s="1969"/>
      <c r="C33" s="1970"/>
      <c r="D33" s="1985"/>
      <c r="E33" s="1943"/>
      <c r="F33" s="1973"/>
      <c r="G33" s="1967"/>
      <c r="H33" s="1982"/>
      <c r="I33" s="2044"/>
      <c r="J33" s="2014" t="s">
        <v>1359</v>
      </c>
      <c r="K33" s="2015"/>
      <c r="L33" s="2016"/>
      <c r="M33" s="2016"/>
      <c r="N33" s="2016"/>
      <c r="O33" s="2016"/>
      <c r="P33" s="2016"/>
      <c r="Q33" s="2061"/>
      <c r="R33" s="2076">
        <f>SUM(L33:Q33)</f>
        <v>0</v>
      </c>
      <c r="S33" s="2055"/>
      <c r="T33" s="2058"/>
      <c r="U33" s="2058"/>
      <c r="V33" s="2010"/>
    </row>
    <row r="34" s="1889" customFormat="1" customHeight="1" spans="1:22">
      <c r="A34" s="1968">
        <v>5</v>
      </c>
      <c r="B34" s="1969" t="s">
        <v>1454</v>
      </c>
      <c r="C34" s="1986"/>
      <c r="D34" s="1987"/>
      <c r="E34" s="1988"/>
      <c r="F34" s="1973"/>
      <c r="G34" s="1967"/>
      <c r="H34" s="1982"/>
      <c r="I34" s="2044"/>
      <c r="J34" s="2014" t="s">
        <v>1361</v>
      </c>
      <c r="K34" s="2015"/>
      <c r="L34" s="2017"/>
      <c r="M34" s="2017"/>
      <c r="N34" s="2017"/>
      <c r="O34" s="2017"/>
      <c r="P34" s="2017"/>
      <c r="Q34" s="2063"/>
      <c r="R34" s="2077">
        <f>SUM(L34:Q34)</f>
        <v>0</v>
      </c>
      <c r="S34" s="2055"/>
      <c r="T34" s="2058"/>
      <c r="U34" s="2058" t="e">
        <f>ROUND(R35*10000/365/R33,1)</f>
        <v>#DIV/0!</v>
      </c>
      <c r="V34" s="2010"/>
    </row>
    <row r="35" s="1889" customFormat="1" customHeight="1" spans="1:22">
      <c r="A35" s="1968">
        <v>6</v>
      </c>
      <c r="B35" s="1969" t="s">
        <v>1455</v>
      </c>
      <c r="C35" s="1989"/>
      <c r="D35" s="1990"/>
      <c r="E35" s="1991"/>
      <c r="F35" s="1973"/>
      <c r="G35" s="1992"/>
      <c r="H35" s="1908"/>
      <c r="I35" s="2044"/>
      <c r="J35" s="2018" t="s">
        <v>1363</v>
      </c>
      <c r="K35" s="2019"/>
      <c r="L35" s="2019"/>
      <c r="M35" s="2020"/>
      <c r="N35" s="2020"/>
      <c r="O35" s="2020"/>
      <c r="P35" s="2020"/>
      <c r="Q35" s="2020"/>
      <c r="R35" s="2078">
        <f>R40+R41+R43</f>
        <v>0</v>
      </c>
      <c r="S35" s="2055"/>
      <c r="T35" s="2058" t="s">
        <v>1364</v>
      </c>
      <c r="U35" s="2058"/>
      <c r="V35" s="2010"/>
    </row>
    <row r="36" s="1889" customFormat="1" customHeight="1" spans="1:22">
      <c r="A36" s="1968">
        <v>7</v>
      </c>
      <c r="B36" s="1993" t="s">
        <v>1456</v>
      </c>
      <c r="C36" s="1994"/>
      <c r="D36" s="1995"/>
      <c r="E36" s="1996"/>
      <c r="F36" s="1997">
        <f>C36+D36+E36</f>
        <v>0</v>
      </c>
      <c r="G36" s="1967"/>
      <c r="H36" s="1908"/>
      <c r="I36" s="2010"/>
      <c r="J36" s="2021">
        <v>1</v>
      </c>
      <c r="K36" s="2022" t="s">
        <v>1457</v>
      </c>
      <c r="L36" s="2023"/>
      <c r="M36" s="2024"/>
      <c r="N36" s="2024"/>
      <c r="O36" s="2024"/>
      <c r="P36" s="2024"/>
      <c r="Q36" s="2024"/>
      <c r="R36" s="2062" t="s">
        <v>1373</v>
      </c>
      <c r="S36" s="2055"/>
      <c r="T36" s="2058" t="s">
        <v>1374</v>
      </c>
      <c r="U36" s="2058"/>
      <c r="V36" s="2010"/>
    </row>
    <row r="37" s="1889" customFormat="1" customHeight="1" spans="1:22">
      <c r="A37" s="1968"/>
      <c r="B37" s="1969"/>
      <c r="C37" s="1969"/>
      <c r="D37" s="1969"/>
      <c r="E37" s="1969"/>
      <c r="F37" s="1973"/>
      <c r="G37" s="1967"/>
      <c r="H37" s="1908"/>
      <c r="I37" s="2010"/>
      <c r="J37" s="2021"/>
      <c r="K37" s="2025"/>
      <c r="L37" s="2026"/>
      <c r="M37" s="2027"/>
      <c r="N37" s="1913"/>
      <c r="O37" s="2028"/>
      <c r="P37" s="2028"/>
      <c r="Q37" s="1949"/>
      <c r="R37" s="2065"/>
      <c r="S37" s="2055"/>
      <c r="T37" s="2058" t="s">
        <v>1377</v>
      </c>
      <c r="U37" s="2058"/>
      <c r="V37" s="2010"/>
    </row>
    <row r="38" s="1889" customFormat="1" customHeight="1" spans="1:22">
      <c r="A38" s="1968">
        <v>8</v>
      </c>
      <c r="B38" s="1969"/>
      <c r="C38" s="1934" t="e">
        <f>ROUND(C32*(1-((1+C35)/(1+C34))^C36)/(C34-C35),0)</f>
        <v>#DIV/0!</v>
      </c>
      <c r="D38" s="1934">
        <f>IF(D23=0,0,ROUND(D32*(1-((1+D35)/(1+D34))^D36)/(D34-D35),0))</f>
        <v>0</v>
      </c>
      <c r="E38" s="1934">
        <f>IF(E23=0,0,ROUND(E32*(1-((1+E35)/(1+E34))^E36)/(E34-E35),0))</f>
        <v>0</v>
      </c>
      <c r="F38" s="1973"/>
      <c r="G38" s="1967"/>
      <c r="H38" s="1908"/>
      <c r="I38" s="2010"/>
      <c r="J38" s="2021"/>
      <c r="K38" s="2025"/>
      <c r="L38" s="2026"/>
      <c r="M38" s="2027"/>
      <c r="N38" s="1913"/>
      <c r="O38" s="2028"/>
      <c r="P38" s="2028"/>
      <c r="Q38" s="1949"/>
      <c r="R38" s="2065"/>
      <c r="S38" s="2055"/>
      <c r="T38" s="2058" t="s">
        <v>1384</v>
      </c>
      <c r="U38" s="2058"/>
      <c r="V38" s="2010"/>
    </row>
    <row r="39" s="1889" customFormat="1" customHeight="1" spans="1:22">
      <c r="A39" s="1968">
        <v>9</v>
      </c>
      <c r="B39" s="1969" t="s">
        <v>1458</v>
      </c>
      <c r="C39" s="1944" t="e">
        <f>C38</f>
        <v>#DIV/0!</v>
      </c>
      <c r="D39" s="1969">
        <f>D38/(1+D34)^C36</f>
        <v>0</v>
      </c>
      <c r="E39" s="1969">
        <f>E38/(1+E34)^(C36+D36)</f>
        <v>0</v>
      </c>
      <c r="F39" s="1973"/>
      <c r="G39" s="1998"/>
      <c r="H39" s="1908"/>
      <c r="I39" s="2010"/>
      <c r="J39" s="2021"/>
      <c r="K39" s="2025"/>
      <c r="L39" s="2026"/>
      <c r="M39" s="2027"/>
      <c r="N39" s="1913"/>
      <c r="O39" s="2028"/>
      <c r="P39" s="2028"/>
      <c r="Q39" s="1949"/>
      <c r="R39" s="2065"/>
      <c r="S39" s="2055"/>
      <c r="T39" s="2058"/>
      <c r="U39" s="2058"/>
      <c r="V39" s="2010"/>
    </row>
    <row r="40" s="1889" customFormat="1" customHeight="1" spans="1:22">
      <c r="A40" s="1999">
        <v>10</v>
      </c>
      <c r="B40" s="1969" t="s">
        <v>1459</v>
      </c>
      <c r="C40" s="2000" t="e">
        <f>C39+D39+E39</f>
        <v>#DIV/0!</v>
      </c>
      <c r="D40" s="2001"/>
      <c r="E40" s="2001"/>
      <c r="F40" s="2002"/>
      <c r="G40" s="1967"/>
      <c r="H40" s="1908"/>
      <c r="I40" s="2010"/>
      <c r="J40" s="2021"/>
      <c r="K40" s="2029"/>
      <c r="L40" s="2030" t="s">
        <v>1402</v>
      </c>
      <c r="M40" s="2031"/>
      <c r="N40" s="2031"/>
      <c r="O40" s="2032"/>
      <c r="P40" s="2032"/>
      <c r="Q40" s="2066"/>
      <c r="R40" s="2060">
        <f>SUM(R37:R39)</f>
        <v>0</v>
      </c>
      <c r="S40" s="2055"/>
      <c r="T40" s="2058"/>
      <c r="U40" s="2058"/>
      <c r="V40" s="2010"/>
    </row>
    <row r="41" s="1889" customFormat="1" customHeight="1" spans="1:22">
      <c r="A41" s="2003">
        <v>11</v>
      </c>
      <c r="B41" s="2004" t="s">
        <v>1460</v>
      </c>
      <c r="C41" s="2004" t="e">
        <f>ROUND(C40*10000/B4,0)</f>
        <v>#DIV/0!</v>
      </c>
      <c r="D41" s="2005"/>
      <c r="E41" s="2005"/>
      <c r="F41" s="2006"/>
      <c r="G41" s="2007"/>
      <c r="H41" s="1908"/>
      <c r="I41" s="2010"/>
      <c r="J41" s="2021">
        <v>2</v>
      </c>
      <c r="K41" s="2035" t="s">
        <v>1439</v>
      </c>
      <c r="L41" s="2036"/>
      <c r="M41" s="2036"/>
      <c r="N41" s="2036"/>
      <c r="O41" s="2036"/>
      <c r="P41" s="2037"/>
      <c r="Q41" s="2070"/>
      <c r="R41" s="2068">
        <f>ROUND(R40*Q41,0)</f>
        <v>0</v>
      </c>
      <c r="S41" s="2055"/>
      <c r="T41" s="2058"/>
      <c r="U41" s="2071"/>
      <c r="V41" s="2010"/>
    </row>
    <row r="42" s="1889" customFormat="1" customHeight="1" spans="7:22">
      <c r="G42" s="2007"/>
      <c r="H42" s="1908"/>
      <c r="I42" s="2010"/>
      <c r="J42" s="2038">
        <v>3</v>
      </c>
      <c r="K42" s="2039" t="s">
        <v>1441</v>
      </c>
      <c r="L42" s="2040"/>
      <c r="M42" s="2041"/>
      <c r="N42" s="2042" t="s">
        <v>456</v>
      </c>
      <c r="O42" s="2042" t="s">
        <v>1442</v>
      </c>
      <c r="P42" s="2043" t="s">
        <v>1443</v>
      </c>
      <c r="Q42" s="2043" t="s">
        <v>1444</v>
      </c>
      <c r="R42" s="2062" t="s">
        <v>1373</v>
      </c>
      <c r="S42" s="2071"/>
      <c r="T42" s="2071"/>
      <c r="U42" s="2058"/>
      <c r="V42" s="2010"/>
    </row>
    <row r="43" customHeight="1" spans="1:23">
      <c r="A43" s="1889"/>
      <c r="B43" s="1889"/>
      <c r="C43" s="1889"/>
      <c r="D43" s="1889"/>
      <c r="E43" s="1889"/>
      <c r="F43" s="1889"/>
      <c r="I43" s="1893"/>
      <c r="J43" s="2045"/>
      <c r="K43" s="2046"/>
      <c r="L43" s="2047"/>
      <c r="M43" s="2048"/>
      <c r="N43" s="2027"/>
      <c r="O43" s="2027"/>
      <c r="P43" s="2027"/>
      <c r="Q43" s="2070"/>
      <c r="R43" s="2068">
        <f>ROUND(O43*N43*P43*(1-Q43)/10000,0)</f>
        <v>0</v>
      </c>
      <c r="S43" s="2055"/>
      <c r="T43" s="2058"/>
      <c r="V43" s="1895"/>
      <c r="W43" s="2079"/>
    </row>
    <row r="44" customHeight="1" spans="10:18">
      <c r="J44" s="2050">
        <v>6</v>
      </c>
      <c r="K44" s="2051" t="s">
        <v>1447</v>
      </c>
      <c r="L44" s="2056" t="s">
        <v>1448</v>
      </c>
      <c r="M44" s="2053"/>
      <c r="N44" s="2056" t="s">
        <v>1449</v>
      </c>
      <c r="O44" s="2053"/>
      <c r="P44" s="2056" t="s">
        <v>1450</v>
      </c>
      <c r="Q44" s="2073">
        <v>0.015</v>
      </c>
      <c r="R44" s="20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1461</v>
      </c>
      <c r="B1" s="1864"/>
      <c r="C1" s="1864"/>
      <c r="D1" s="1864"/>
      <c r="E1" s="1865"/>
      <c r="F1" s="1866"/>
      <c r="G1" s="1867"/>
      <c r="H1" s="1867"/>
      <c r="I1" s="1867"/>
      <c r="J1" s="1867"/>
      <c r="K1" s="1867"/>
      <c r="L1" s="1867"/>
      <c r="M1" s="1867"/>
      <c r="N1" s="1867"/>
      <c r="O1" s="1867"/>
      <c r="P1" s="1867"/>
      <c r="Q1" s="1867"/>
      <c r="R1" s="1867"/>
      <c r="S1" s="1867"/>
    </row>
    <row r="2" spans="1:19">
      <c r="A2" s="1868" t="s">
        <v>987</v>
      </c>
      <c r="B2" s="1869">
        <f ca="1">SUMIF(B6:B13,"&lt;&gt;#ref!",B6:B13)</f>
        <v>14062</v>
      </c>
      <c r="C2" s="1870" t="s">
        <v>1462</v>
      </c>
      <c r="D2" s="1871" t="s">
        <v>1463</v>
      </c>
      <c r="E2" s="1872">
        <f>SUM(E6:E13)</f>
        <v>23244.54</v>
      </c>
      <c r="F2" s="1866"/>
      <c r="G2" s="1867"/>
      <c r="H2" s="1867"/>
      <c r="I2" s="1867"/>
      <c r="J2" s="1867"/>
      <c r="K2" s="1867"/>
      <c r="L2" s="1867"/>
      <c r="M2" s="1867"/>
      <c r="N2" s="1867"/>
      <c r="O2" s="1867"/>
      <c r="P2" s="1867"/>
      <c r="Q2" s="1867"/>
      <c r="R2" s="1867"/>
      <c r="S2" s="1867"/>
    </row>
    <row r="3" spans="1:19">
      <c r="A3" s="1868" t="s">
        <v>989</v>
      </c>
      <c r="B3" s="1873">
        <f ca="1">ROUND(B2*10000/E2,0)</f>
        <v>6050</v>
      </c>
      <c r="C3" s="1870" t="s">
        <v>1464</v>
      </c>
      <c r="D3" s="1874"/>
      <c r="E3" s="1875"/>
      <c r="F3" s="1866"/>
      <c r="G3" s="1867"/>
      <c r="H3" s="1867"/>
      <c r="I3" s="1867"/>
      <c r="J3" s="1867"/>
      <c r="K3" s="1867"/>
      <c r="L3" s="1867"/>
      <c r="M3" s="1867"/>
      <c r="N3" s="1867"/>
      <c r="O3" s="1867"/>
      <c r="P3" s="1867"/>
      <c r="Q3" s="1867"/>
      <c r="R3" s="1867"/>
      <c r="S3" s="1867"/>
    </row>
    <row r="4" ht="15.75" spans="1:19">
      <c r="A4" s="1876"/>
      <c r="B4" s="1874"/>
      <c r="C4" s="1874"/>
      <c r="D4" s="1874"/>
      <c r="E4" s="1875"/>
      <c r="F4" s="1866"/>
      <c r="G4" s="1867"/>
      <c r="H4" s="1867"/>
      <c r="I4" s="1867"/>
      <c r="J4" s="1867"/>
      <c r="K4" s="1867"/>
      <c r="L4" s="1867"/>
      <c r="M4" s="1867"/>
      <c r="N4" s="1867"/>
      <c r="O4" s="1867"/>
      <c r="P4" s="1867"/>
      <c r="Q4" s="1867"/>
      <c r="R4" s="1867"/>
      <c r="S4" s="1867"/>
    </row>
    <row r="5" ht="15" spans="1:19">
      <c r="A5" s="1877" t="s">
        <v>1465</v>
      </c>
      <c r="B5" s="1878" t="s">
        <v>1466</v>
      </c>
      <c r="C5" s="1879"/>
      <c r="D5" s="1880"/>
      <c r="E5" s="1881" t="s">
        <v>1467</v>
      </c>
      <c r="F5" s="1882" t="s">
        <v>1468</v>
      </c>
      <c r="G5" s="1867"/>
      <c r="H5" s="1867"/>
      <c r="I5" s="1867"/>
      <c r="J5" s="1867"/>
      <c r="K5" s="1867"/>
      <c r="L5" s="1867"/>
      <c r="M5" s="1867"/>
      <c r="N5" s="1867"/>
      <c r="O5" s="1867"/>
      <c r="P5" s="1867"/>
      <c r="Q5" s="1867"/>
      <c r="R5" s="1867"/>
      <c r="S5" s="1867"/>
    </row>
    <row r="6" spans="1:19">
      <c r="A6" s="1883" t="str">
        <f>'数据-取费表'!AN6</f>
        <v>收益法</v>
      </c>
      <c r="B6" s="976">
        <f ca="1">IF(F6="是",'数据-取费表'!AO6,0)</f>
        <v>14062</v>
      </c>
      <c r="C6" s="1870" t="s">
        <v>1462</v>
      </c>
      <c r="D6" s="1874"/>
      <c r="E6" s="1884">
        <f>IF(OR(A6=0,F6="否"),0,'数据-取费表'!K6+'数据-取费表'!S6)</f>
        <v>23244.54</v>
      </c>
      <c r="F6" s="1885" t="s">
        <v>1469</v>
      </c>
      <c r="G6" s="1867"/>
      <c r="H6" s="1867"/>
      <c r="I6" s="1867"/>
      <c r="J6" s="1867"/>
      <c r="K6" s="1867"/>
      <c r="L6" s="1867"/>
      <c r="M6" s="1867"/>
      <c r="N6" s="1867"/>
      <c r="O6" s="1867"/>
      <c r="P6" s="1867"/>
      <c r="Q6" s="1867"/>
      <c r="R6" s="1867"/>
      <c r="S6" s="1867"/>
    </row>
    <row r="7" spans="1:19">
      <c r="A7" s="1883">
        <f>'数据-取费表'!AN7</f>
        <v>0</v>
      </c>
      <c r="B7" s="976" t="e">
        <f ca="1">IF(F7="是",'数据-取费表'!AO7,0)</f>
        <v>#REF!</v>
      </c>
      <c r="C7" s="1870" t="s">
        <v>1462</v>
      </c>
      <c r="D7" s="1874"/>
      <c r="E7" s="1884">
        <f>IF(OR(A7=0,F7="否"),0,'数据-取费表'!K7+'数据-取费表'!S7)</f>
        <v>0</v>
      </c>
      <c r="F7" s="1885" t="s">
        <v>1469</v>
      </c>
      <c r="G7" s="1867"/>
      <c r="H7" s="1867"/>
      <c r="I7" s="1867"/>
      <c r="J7" s="1867"/>
      <c r="K7" s="1867"/>
      <c r="L7" s="1867"/>
      <c r="M7" s="1867"/>
      <c r="N7" s="1867"/>
      <c r="O7" s="1867"/>
      <c r="P7" s="1867"/>
      <c r="Q7" s="1867"/>
      <c r="R7" s="1867"/>
      <c r="S7" s="1867"/>
    </row>
    <row r="8" spans="1:19">
      <c r="A8" s="1883">
        <f>'数据-取费表'!AN8</f>
        <v>0</v>
      </c>
      <c r="B8" s="976" t="e">
        <f ca="1">IF(F8="是",'数据-取费表'!AO8,0)</f>
        <v>#REF!</v>
      </c>
      <c r="C8" s="1870" t="s">
        <v>1462</v>
      </c>
      <c r="D8" s="1874"/>
      <c r="E8" s="1884">
        <f>IF(OR(A8=0,F8="否"),0,'数据-取费表'!K8+'数据-取费表'!S8)</f>
        <v>0</v>
      </c>
      <c r="F8" s="1885" t="s">
        <v>1469</v>
      </c>
      <c r="G8" s="1867"/>
      <c r="H8" s="1867"/>
      <c r="I8" s="1867"/>
      <c r="J8" s="1867"/>
      <c r="K8" s="1867"/>
      <c r="L8" s="1867"/>
      <c r="M8" s="1867"/>
      <c r="N8" s="1867"/>
      <c r="O8" s="1867"/>
      <c r="P8" s="1867"/>
      <c r="Q8" s="1867"/>
      <c r="R8" s="1867"/>
      <c r="S8" s="1867"/>
    </row>
    <row r="9" spans="1:19">
      <c r="A9" s="1883">
        <f>'数据-取费表'!AN9</f>
        <v>0</v>
      </c>
      <c r="B9" s="976" t="e">
        <f ca="1">IF(F9="是",'数据-取费表'!AO9,0)</f>
        <v>#REF!</v>
      </c>
      <c r="C9" s="1870" t="s">
        <v>1462</v>
      </c>
      <c r="D9" s="1874"/>
      <c r="E9" s="1884">
        <f>IF(OR(A9=0,F9="否"),0,'数据-取费表'!K9+'数据-取费表'!S9)</f>
        <v>0</v>
      </c>
      <c r="F9" s="1885" t="s">
        <v>1469</v>
      </c>
      <c r="G9" s="1867"/>
      <c r="H9" s="1867"/>
      <c r="I9" s="1867"/>
      <c r="J9" s="1867"/>
      <c r="K9" s="1867"/>
      <c r="L9" s="1867"/>
      <c r="M9" s="1867"/>
      <c r="N9" s="1867"/>
      <c r="O9" s="1867"/>
      <c r="P9" s="1867"/>
      <c r="Q9" s="1867"/>
      <c r="R9" s="1867"/>
      <c r="S9" s="1867"/>
    </row>
    <row r="10" spans="1:19">
      <c r="A10" s="1883">
        <f>'数据-取费表'!AN10</f>
        <v>0</v>
      </c>
      <c r="B10" s="976" t="e">
        <f ca="1">IF(F10="是",'数据-取费表'!AO10,0)</f>
        <v>#REF!</v>
      </c>
      <c r="C10" s="1870" t="s">
        <v>1462</v>
      </c>
      <c r="D10" s="1874"/>
      <c r="E10" s="1884">
        <f>IF(OR(A10=0,F10="否"),0,'数据-取费表'!K10+'数据-取费表'!S10)</f>
        <v>0</v>
      </c>
      <c r="F10" s="1885" t="s">
        <v>1469</v>
      </c>
      <c r="G10" s="1867"/>
      <c r="H10" s="1867"/>
      <c r="I10" s="1867"/>
      <c r="J10" s="1867"/>
      <c r="K10" s="1867"/>
      <c r="L10" s="1867"/>
      <c r="M10" s="1867"/>
      <c r="N10" s="1867"/>
      <c r="O10" s="1867"/>
      <c r="P10" s="1867"/>
      <c r="Q10" s="1867"/>
      <c r="R10" s="1867"/>
      <c r="S10" s="1867"/>
    </row>
    <row r="11" spans="1:19">
      <c r="A11" s="1883">
        <f>'数据-取费表'!AN11</f>
        <v>0</v>
      </c>
      <c r="B11" s="976" t="e">
        <f ca="1">IF(F11="是",'数据-取费表'!AO11,0)</f>
        <v>#REF!</v>
      </c>
      <c r="C11" s="1870" t="s">
        <v>1462</v>
      </c>
      <c r="D11" s="1874"/>
      <c r="E11" s="1884">
        <f>IF(OR(A11=0,F11="否"),0,'数据-取费表'!K11+'数据-取费表'!S11)</f>
        <v>0</v>
      </c>
      <c r="F11" s="1885" t="s">
        <v>1469</v>
      </c>
      <c r="G11" s="1867"/>
      <c r="H11" s="1867"/>
      <c r="I11" s="1867"/>
      <c r="J11" s="1867"/>
      <c r="K11" s="1867"/>
      <c r="L11" s="1867"/>
      <c r="M11" s="1867"/>
      <c r="N11" s="1867"/>
      <c r="O11" s="1867"/>
      <c r="P11" s="1867"/>
      <c r="Q11" s="1867"/>
      <c r="R11" s="1867"/>
      <c r="S11" s="1867"/>
    </row>
    <row r="12" spans="1:19">
      <c r="A12" s="1883">
        <f>'数据-取费表'!AN12</f>
        <v>0</v>
      </c>
      <c r="B12" s="976" t="e">
        <f ca="1">IF(F12="是",'数据-取费表'!AO12,0)</f>
        <v>#REF!</v>
      </c>
      <c r="C12" s="1870" t="s">
        <v>1462</v>
      </c>
      <c r="D12" s="1874"/>
      <c r="E12" s="1884">
        <f>IF(OR(A12=0,F12="否"),0,'数据-取费表'!K12+'数据-取费表'!S12)</f>
        <v>0</v>
      </c>
      <c r="F12" s="1885" t="s">
        <v>1469</v>
      </c>
      <c r="G12" s="1867"/>
      <c r="H12" s="1867"/>
      <c r="I12" s="1867"/>
      <c r="J12" s="1867"/>
      <c r="K12" s="1867"/>
      <c r="L12" s="1867"/>
      <c r="M12" s="1867"/>
      <c r="N12" s="1867"/>
      <c r="O12" s="1867"/>
      <c r="P12" s="1867"/>
      <c r="Q12" s="1867"/>
      <c r="R12" s="1867"/>
      <c r="S12" s="1867"/>
    </row>
    <row r="13" ht="15" spans="1:19">
      <c r="A13" s="1886">
        <f>'数据-取费表'!AN13</f>
        <v>0</v>
      </c>
      <c r="B13" s="976" t="e">
        <f ca="1">IF(F13="是",'数据-取费表'!AO13,0)</f>
        <v>#REF!</v>
      </c>
      <c r="C13" s="1887" t="s">
        <v>1462</v>
      </c>
      <c r="D13" s="1888"/>
      <c r="E13" s="1884">
        <f>IF(OR(A13=0,F13="否"),0,'数据-取费表'!K13+'数据-取费表'!S13)</f>
        <v>0</v>
      </c>
      <c r="F13" s="1885" t="s">
        <v>1469</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J47" sqref="J47:J49"/>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5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0" customFormat="1" ht="28.5" customHeight="1" spans="1:29">
      <c r="A1" s="1541" t="s">
        <v>1470</v>
      </c>
      <c r="B1" s="1760" t="s">
        <v>1471</v>
      </c>
      <c r="C1" s="1601" t="s">
        <v>1472</v>
      </c>
      <c r="D1" s="1544"/>
      <c r="E1" s="1761"/>
      <c r="F1" s="1546"/>
      <c r="G1" s="1547" t="s">
        <v>1473</v>
      </c>
      <c r="H1" s="1548"/>
      <c r="I1" s="1548"/>
      <c r="J1" s="1548"/>
      <c r="K1" s="1599"/>
      <c r="L1" s="1600"/>
      <c r="M1" s="1601"/>
      <c r="N1" s="1601"/>
      <c r="O1" s="1601"/>
      <c r="P1" s="1793"/>
      <c r="Q1" s="1543"/>
      <c r="R1" s="1543"/>
      <c r="S1" s="1543"/>
      <c r="T1" s="1543"/>
      <c r="U1" s="1543"/>
      <c r="V1" s="1543"/>
      <c r="W1" s="1543"/>
      <c r="X1" s="1543"/>
      <c r="Y1" s="1543"/>
      <c r="Z1" s="1543"/>
      <c r="AA1" s="1543"/>
      <c r="AB1" s="1543"/>
      <c r="AC1" s="1608"/>
    </row>
    <row r="2" s="1783" customFormat="1" ht="28.5" customHeight="1" spans="1:29">
      <c r="A2" s="1549" t="s">
        <v>987</v>
      </c>
      <c r="B2" s="1784" t="b">
        <f ca="1">IF(E1="项目模式",IF(C2="——",ROUND(C49*D3/10000,0),ROUND(C49*D3/10000,0)-D2),IF(E1="单套模式",IF(C2="——",ROUND(C49*D3/10000,4),ROUND(C49*D3/10000,4)-D2)))</f>
        <v>0</v>
      </c>
      <c r="C2" s="1551"/>
      <c r="D2" s="1722" t="e">
        <f ca="1">IF(E1="项目模式",SUMIF(INDIRECT("'"&amp;F2&amp;"'"&amp;"!A:A"),"承租人权益价值",INDIRECT("'"&amp;F2&amp;"'"&amp;"!c:c")),SUMIF(INDIRECT("'"&amp;F2&amp;"'"&amp;"!A:A"),"承租人权益价值（单套）",INDIRECT("'"&amp;F2&amp;"'"&amp;"!c:c")))</f>
        <v>#REF!</v>
      </c>
      <c r="E2" s="1552" t="s">
        <v>988</v>
      </c>
      <c r="F2" s="1553"/>
      <c r="G2" s="1502"/>
      <c r="H2" s="1502"/>
      <c r="I2" s="1502"/>
      <c r="J2" s="1502"/>
      <c r="K2" s="1794"/>
      <c r="L2" s="1795"/>
      <c r="M2" s="1796"/>
      <c r="N2" s="1796"/>
      <c r="O2" s="1796"/>
      <c r="P2" s="1797"/>
      <c r="Q2" s="1815"/>
      <c r="R2" s="1815"/>
      <c r="S2" s="1815"/>
      <c r="T2" s="1815"/>
      <c r="U2" s="1815"/>
      <c r="V2" s="1815"/>
      <c r="W2" s="1815"/>
      <c r="X2" s="1815"/>
      <c r="Y2" s="1815"/>
      <c r="Z2" s="1815"/>
      <c r="AA2" s="1815"/>
      <c r="AB2" s="1815"/>
      <c r="AC2" s="1816"/>
    </row>
    <row r="3" s="1783" customFormat="1" ht="28.5" customHeight="1" spans="1:29">
      <c r="A3" s="396" t="s">
        <v>989</v>
      </c>
      <c r="B3" s="1555">
        <f ca="1">IF(C2="——",C49,ROUND(B2*10000/D3,0))</f>
        <v>0</v>
      </c>
      <c r="C3" s="1554" t="s">
        <v>1474</v>
      </c>
      <c r="D3" s="1555">
        <f>IF(D1="",'数据-汇总表'!E3,SUMIF('数据-汇总表'!$C19:$C33,D1,'数据-汇总表'!$E19:$E33))</f>
        <v>23244.54</v>
      </c>
      <c r="E3" s="1502"/>
      <c r="F3" s="1785"/>
      <c r="G3" s="1502"/>
      <c r="H3" s="1502"/>
      <c r="I3" s="1502"/>
      <c r="J3" s="1502"/>
      <c r="K3" s="1794"/>
      <c r="L3" s="1795"/>
      <c r="M3" s="1796"/>
      <c r="N3" s="1796"/>
      <c r="O3" s="1796"/>
      <c r="P3" s="1797"/>
      <c r="Q3" s="1815"/>
      <c r="R3" s="1815"/>
      <c r="S3" s="1815"/>
      <c r="T3" s="1815"/>
      <c r="U3" s="1815"/>
      <c r="V3" s="1815"/>
      <c r="W3" s="1815"/>
      <c r="X3" s="1815"/>
      <c r="Y3" s="1815"/>
      <c r="Z3" s="1815"/>
      <c r="AA3" s="1815"/>
      <c r="AB3" s="1815"/>
      <c r="AC3" s="1817"/>
    </row>
    <row r="4" ht="15" spans="1:29">
      <c r="A4" s="1142" t="s">
        <v>1475</v>
      </c>
      <c r="B4" s="1143"/>
      <c r="C4" s="1144" t="s">
        <v>1476</v>
      </c>
      <c r="D4" s="1145"/>
      <c r="E4" s="1146" t="s">
        <v>1477</v>
      </c>
      <c r="F4" s="1147"/>
      <c r="G4" s="1144" t="s">
        <v>1478</v>
      </c>
      <c r="H4" s="1145"/>
      <c r="I4" s="1144" t="s">
        <v>1479</v>
      </c>
      <c r="J4" s="1145"/>
      <c r="K4" s="1798"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82" t="s">
        <v>1478</v>
      </c>
      <c r="AC4" s="1382" t="s">
        <v>1479</v>
      </c>
    </row>
    <row r="5" ht="15" spans="1:29">
      <c r="A5" s="1148"/>
      <c r="B5" s="1149"/>
      <c r="C5" s="1150" t="s">
        <v>1482</v>
      </c>
      <c r="D5" s="1151"/>
      <c r="E5" s="1152" t="s">
        <v>1483</v>
      </c>
      <c r="F5" s="1153"/>
      <c r="G5" s="1150" t="s">
        <v>1484</v>
      </c>
      <c r="H5" s="1151"/>
      <c r="I5" s="1150" t="s">
        <v>1485</v>
      </c>
      <c r="J5" s="1151"/>
      <c r="K5" s="1799"/>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3" t="s">
        <v>1486</v>
      </c>
      <c r="D6" s="1504"/>
      <c r="E6" s="1505" t="s">
        <v>1486</v>
      </c>
      <c r="F6" s="1506"/>
      <c r="G6" s="1503" t="s">
        <v>1486</v>
      </c>
      <c r="H6" s="1504"/>
      <c r="I6" s="1503" t="s">
        <v>1486</v>
      </c>
      <c r="J6" s="1504"/>
      <c r="K6" s="1799"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45539</v>
      </c>
      <c r="D7" s="1163">
        <v>100</v>
      </c>
      <c r="E7" s="1164"/>
      <c r="F7" s="1165">
        <f>SUMIF(58:58,YEAR(E7)&amp;"-"&amp;MONTH(E7),59:59)</f>
        <v>0</v>
      </c>
      <c r="G7" s="1164"/>
      <c r="H7" s="1163">
        <f>SUMIF(58:58,YEAR(G7)&amp;"-"&amp;MONTH(G7),59:59)</f>
        <v>0</v>
      </c>
      <c r="I7" s="1164"/>
      <c r="J7" s="1163">
        <f>SUMIF(58:58,YEAR(I7)&amp;"-"&amp;MONTH(I7),59:59)</f>
        <v>0</v>
      </c>
      <c r="K7" s="1800"/>
      <c r="L7" s="1309"/>
      <c r="M7" s="1310"/>
      <c r="N7" s="1310"/>
      <c r="O7" s="1310"/>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786"/>
      <c r="F8" s="1165">
        <f>SUMIF(61:61,E8,62:62)-SUMIF(61:61,C8,62:62)+100</f>
        <v>100</v>
      </c>
      <c r="G8" s="1167"/>
      <c r="H8" s="1163">
        <f>SUMIF(61:61,G8,62:62)-SUMIF(61:61,C8,62:62)+100</f>
        <v>100</v>
      </c>
      <c r="I8" s="1786"/>
      <c r="J8" s="1163">
        <f>SUMIF(61:61,I8,62:62)-SUMIF(61:61,C8,62:62)+100</f>
        <v>100</v>
      </c>
      <c r="K8" s="1800"/>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19" si="3">D8/F8</f>
        <v>1</v>
      </c>
      <c r="AB8" s="1384">
        <f t="shared" ref="AB8:AB19" si="4">D8/H8</f>
        <v>1</v>
      </c>
      <c r="AC8" s="1384">
        <f t="shared" ref="AC8:AC19" si="5">D8/J8</f>
        <v>1</v>
      </c>
    </row>
    <row r="9" s="1123" customFormat="1" spans="1:29">
      <c r="A9" s="1168" t="s">
        <v>1493</v>
      </c>
      <c r="B9" s="1169" t="s">
        <v>1494</v>
      </c>
      <c r="C9" s="1556"/>
      <c r="D9" s="1171">
        <v>100</v>
      </c>
      <c r="E9" s="1626"/>
      <c r="F9" s="1558">
        <f>SUMIF(63:63,E9,64:64)-SUMIF(63:63,C9,64:64)+100</f>
        <v>100</v>
      </c>
      <c r="G9" s="1557"/>
      <c r="H9" s="1171">
        <f>SUMIF(63:63,G9,64:64)-SUMIF(63:63,C9,64:64)+100</f>
        <v>100</v>
      </c>
      <c r="I9" s="1557"/>
      <c r="J9" s="1171">
        <f>SUMIF(63:63,I9,64:64)-SUMIF(63:63,C9,64:64)+100</f>
        <v>100</v>
      </c>
      <c r="K9" s="1800"/>
      <c r="L9" s="1309"/>
      <c r="M9" s="1310"/>
      <c r="N9" s="1310"/>
      <c r="O9" s="1310"/>
      <c r="P9" s="1271"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559"/>
      <c r="D10" s="1175">
        <v>100</v>
      </c>
      <c r="E10" s="1629"/>
      <c r="F10" s="1560">
        <f>SUMIF(65:65,E10,66:66)-SUMIF(65:65,C10,66:66)+100</f>
        <v>100</v>
      </c>
      <c r="G10" s="1559"/>
      <c r="H10" s="1175">
        <f>SUMIF(65:65,G10,66:66)-SUMIF(65:65,C10,66:66)+100</f>
        <v>100</v>
      </c>
      <c r="I10" s="1559"/>
      <c r="J10" s="1175">
        <f>SUMIF(65:65,I10,66:66)-SUMIF(65:65,C10,66:66)+100</f>
        <v>100</v>
      </c>
      <c r="K10" s="1800"/>
      <c r="L10" s="1314"/>
      <c r="M10" s="1315"/>
      <c r="N10" s="1315"/>
      <c r="O10" s="1315"/>
      <c r="P10" s="1271"/>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1498</v>
      </c>
      <c r="C11" s="1177"/>
      <c r="D11" s="1175">
        <v>100</v>
      </c>
      <c r="E11" s="1178"/>
      <c r="F11" s="1560" t="e">
        <f>LOOKUP(E11,68:68,69:69)-LOOKUP(C11,68:68,69:69)+100</f>
        <v>#N/A</v>
      </c>
      <c r="G11" s="1177"/>
      <c r="H11" s="1175" t="e">
        <f>LOOKUP(G11,68:68,69:69)-LOOKUP(C11,68:68,69:69)+100</f>
        <v>#N/A</v>
      </c>
      <c r="I11" s="1177"/>
      <c r="J11" s="1175" t="e">
        <f>LOOKUP(I11,68:68,69:69)-LOOKUP(C11,68:68,69:69)+100</f>
        <v>#N/A</v>
      </c>
      <c r="K11" s="1801"/>
      <c r="L11" s="1318"/>
      <c r="M11" s="1304"/>
      <c r="N11" s="1304"/>
      <c r="O11" s="1304"/>
      <c r="P11" s="1271"/>
      <c r="Q11" s="1369" t="str">
        <f t="shared" si="6"/>
        <v>容积率</v>
      </c>
      <c r="R11" s="1365" t="s">
        <v>1490</v>
      </c>
      <c r="S11" s="1366" t="e">
        <f t="shared" si="0"/>
        <v>#N/A</v>
      </c>
      <c r="T11" s="1365" t="s">
        <v>1490</v>
      </c>
      <c r="U11" s="1366" t="e">
        <f t="shared" si="1"/>
        <v>#N/A</v>
      </c>
      <c r="V11" s="1365" t="s">
        <v>1490</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0">
        <f>SUMIF(70:70,E12,71:71)-SUMIF(70:70,C12,71:71)+100</f>
        <v>100</v>
      </c>
      <c r="G12" s="1174"/>
      <c r="H12" s="1175">
        <f>SUMIF(70:70,G12,71:71)-SUMIF(70:70,C12,71:71)+100</f>
        <v>100</v>
      </c>
      <c r="I12" s="1174"/>
      <c r="J12" s="1175">
        <f>SUMIF(70:70,I12,71:71)-SUMIF(70:70,C12,71:71)+100</f>
        <v>100</v>
      </c>
      <c r="K12" s="1802"/>
      <c r="L12" s="1309"/>
      <c r="M12" s="1310"/>
      <c r="N12" s="1310"/>
      <c r="O12" s="1310"/>
      <c r="P12" s="1271"/>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0">
        <f>SUMIF(72:72,E13,73:73)-SUMIF(72:72,C13,73:73)+100</f>
        <v>100</v>
      </c>
      <c r="G13" s="1184"/>
      <c r="H13" s="1185">
        <f>SUMIF(72:72,G13,73:73)-SUMIF(72:72,C13,73:73)+100</f>
        <v>100</v>
      </c>
      <c r="I13" s="1184"/>
      <c r="J13" s="1185">
        <f>SUMIF(72:72,I13,73:73)-SUMIF(72:72,C13,73:73)+100</f>
        <v>100</v>
      </c>
      <c r="K13" s="1802"/>
      <c r="L13" s="1320"/>
      <c r="M13" s="1304"/>
      <c r="N13" s="1304"/>
      <c r="O13" s="1304"/>
      <c r="P13" s="1271"/>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0">
        <f>SUMIF(74:74,E14,75:75)-SUMIF(74:74,C14,75:75)+100</f>
        <v>100</v>
      </c>
      <c r="G14" s="1188"/>
      <c r="H14" s="1189">
        <f>SUMIF(74:74,G14,75:75)-SUMIF(74:74,C14,75:75)+100</f>
        <v>100</v>
      </c>
      <c r="I14" s="1188"/>
      <c r="J14" s="1189">
        <f>SUMIF(74:74,I14,75:75)-SUMIF(74:74,C14,75:75)+100</f>
        <v>100</v>
      </c>
      <c r="K14" s="1802"/>
      <c r="L14" s="1320"/>
      <c r="M14" s="1304"/>
      <c r="N14" s="1304"/>
      <c r="O14" s="1304"/>
      <c r="P14" s="1271"/>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81" spans="1:29">
      <c r="A15" s="1190" t="s">
        <v>1499</v>
      </c>
      <c r="B15" s="1509" t="s">
        <v>1500</v>
      </c>
      <c r="C15" s="1510"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3"/>
      <c r="L15" s="1320"/>
      <c r="M15" s="1304"/>
      <c r="N15" s="1304"/>
      <c r="O15" s="1304"/>
      <c r="P15" s="1737" t="s">
        <v>1501</v>
      </c>
      <c r="Q15" s="699" t="str">
        <f t="shared" si="6"/>
        <v>居住社区成熟度</v>
      </c>
      <c r="R15" s="1370" t="s">
        <v>1490</v>
      </c>
      <c r="S15" s="1371">
        <f t="shared" si="0"/>
        <v>100</v>
      </c>
      <c r="T15" s="1370" t="s">
        <v>1490</v>
      </c>
      <c r="U15" s="1371">
        <f t="shared" si="1"/>
        <v>100</v>
      </c>
      <c r="V15" s="1370" t="s">
        <v>1490</v>
      </c>
      <c r="W15" s="1371">
        <f t="shared" si="2"/>
        <v>100</v>
      </c>
      <c r="X15" s="1357"/>
      <c r="Y15" s="1322" t="s">
        <v>1501</v>
      </c>
      <c r="Z15" s="1344" t="str">
        <f t="shared" si="7"/>
        <v>居住社区成熟度</v>
      </c>
      <c r="AA15" s="1386">
        <f t="shared" si="3"/>
        <v>1</v>
      </c>
      <c r="AB15" s="1386">
        <f t="shared" si="4"/>
        <v>1</v>
      </c>
      <c r="AC15" s="1386">
        <f t="shared" si="5"/>
        <v>1</v>
      </c>
    </row>
    <row r="16" ht="15" spans="1:29">
      <c r="A16" s="1176"/>
      <c r="B16" s="1511"/>
      <c r="C16" s="1196"/>
      <c r="D16" s="1197"/>
      <c r="E16" s="1325"/>
      <c r="F16" s="1197"/>
      <c r="G16" s="1205"/>
      <c r="H16" s="1199"/>
      <c r="I16" s="1205"/>
      <c r="J16" s="1197"/>
      <c r="K16" s="1804"/>
      <c r="L16" s="1320"/>
      <c r="M16" s="1304"/>
      <c r="N16" s="1304"/>
      <c r="O16" s="1304"/>
      <c r="P16" s="1738"/>
      <c r="Q16" s="699"/>
      <c r="R16" s="1370"/>
      <c r="S16" s="1371"/>
      <c r="T16" s="1370"/>
      <c r="U16" s="1371"/>
      <c r="V16" s="1370"/>
      <c r="W16" s="1371"/>
      <c r="X16" s="1357"/>
      <c r="Y16" s="1323"/>
      <c r="Z16" s="1344"/>
      <c r="AA16" s="1386">
        <v>1</v>
      </c>
      <c r="AB16" s="1386">
        <v>1</v>
      </c>
      <c r="AC16" s="1386">
        <v>1</v>
      </c>
    </row>
    <row r="17" ht="67.5" spans="1:29">
      <c r="A17" s="1176"/>
      <c r="B17" s="1512" t="s">
        <v>1502</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3"/>
      <c r="L17" s="1320"/>
      <c r="M17" s="1304"/>
      <c r="N17" s="1304"/>
      <c r="O17" s="1304"/>
      <c r="P17" s="1738"/>
      <c r="Q17" s="699"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24"/>
      <c r="C18" s="1513"/>
      <c r="D18" s="1199"/>
      <c r="E18" s="1522"/>
      <c r="F18" s="1199"/>
      <c r="G18" s="1514"/>
      <c r="H18" s="1197"/>
      <c r="I18" s="1514"/>
      <c r="J18" s="1197"/>
      <c r="K18" s="1804"/>
      <c r="L18" s="1320"/>
      <c r="M18" s="1304"/>
      <c r="N18" s="1304"/>
      <c r="O18" s="1304"/>
      <c r="P18" s="1738"/>
      <c r="Q18" s="699"/>
      <c r="R18" s="1370"/>
      <c r="S18" s="1371"/>
      <c r="T18" s="1370"/>
      <c r="U18" s="1371"/>
      <c r="V18" s="1370"/>
      <c r="W18" s="1371"/>
      <c r="X18" s="1357"/>
      <c r="Y18" s="1323"/>
      <c r="Z18" s="1344"/>
      <c r="AA18" s="1386">
        <v>1</v>
      </c>
      <c r="AB18" s="1386">
        <v>1</v>
      </c>
      <c r="AC18" s="1386">
        <v>1</v>
      </c>
    </row>
    <row r="19" ht="40.5" spans="1:29">
      <c r="A19" s="1176"/>
      <c r="B19" s="1512" t="s">
        <v>1503</v>
      </c>
      <c r="C19" s="1201" t="str">
        <f>估价对象房地状况!C7</f>
        <v>估价对象所在区域公共配套设施齐备情况</v>
      </c>
      <c r="D19" s="1203">
        <v>100</v>
      </c>
      <c r="E19" s="1523"/>
      <c r="F19" s="1203">
        <f>SUMIF(80:80,E20,81:81)-SUMIF(80:80,C20,81:81)+100</f>
        <v>100</v>
      </c>
      <c r="G19" s="1515"/>
      <c r="H19" s="1199">
        <f>SUMIF(80:80,G20,81:81)-SUMIF(80:80,C20,81:81)+100</f>
        <v>100</v>
      </c>
      <c r="I19" s="1515"/>
      <c r="J19" s="1199">
        <f>SUMIF(80:80,I20,81:81)-SUMIF(80:80,C20,81:81)+100</f>
        <v>100</v>
      </c>
      <c r="K19" s="1803"/>
      <c r="L19" s="1320"/>
      <c r="M19" s="1304"/>
      <c r="N19" s="1304"/>
      <c r="O19" s="1304"/>
      <c r="P19" s="1738"/>
      <c r="Q19" s="699"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04"/>
      <c r="L20" s="1320"/>
      <c r="M20" s="1304"/>
      <c r="N20" s="1304"/>
      <c r="O20" s="1304"/>
      <c r="P20" s="1738"/>
      <c r="Q20" s="699"/>
      <c r="R20" s="1370"/>
      <c r="S20" s="1371"/>
      <c r="T20" s="1370"/>
      <c r="U20" s="1371"/>
      <c r="V20" s="1370"/>
      <c r="W20" s="1371"/>
      <c r="X20" s="1357"/>
      <c r="Y20" s="1323"/>
      <c r="Z20" s="1344"/>
      <c r="AA20" s="1386">
        <v>1</v>
      </c>
      <c r="AB20" s="1386">
        <v>1</v>
      </c>
      <c r="AC20" s="1386">
        <v>1</v>
      </c>
    </row>
    <row r="21" ht="27" spans="1:29">
      <c r="A21" s="1176"/>
      <c r="B21" s="1516" t="s">
        <v>1504</v>
      </c>
      <c r="C21" s="1201" t="str">
        <f>估价对象房地状况!C8</f>
        <v>估价对象所在区域基础设施水平</v>
      </c>
      <c r="D21" s="1199">
        <v>100</v>
      </c>
      <c r="E21" s="1523"/>
      <c r="F21" s="1203">
        <f>SUMIF(82:82,E22,83:83)-SUMIF(82:82,C22,83:83)+100</f>
        <v>100</v>
      </c>
      <c r="G21" s="1515"/>
      <c r="H21" s="1199">
        <f>SUMIF(82:82,G22,83:83)-SUMIF(82:82,C22,83:83)+100</f>
        <v>100</v>
      </c>
      <c r="I21" s="1515"/>
      <c r="J21" s="1199">
        <f>SUMIF(82:82,I22,83:83)-SUMIF(82:82,C22,83:83)+100</f>
        <v>100</v>
      </c>
      <c r="K21" s="1803"/>
      <c r="L21" s="1320"/>
      <c r="M21" s="1304"/>
      <c r="N21" s="1304"/>
      <c r="O21" s="1304"/>
      <c r="P21" s="1738"/>
      <c r="Q21" s="699"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6"/>
      <c r="C22" s="1513"/>
      <c r="D22" s="1197"/>
      <c r="E22" s="1196"/>
      <c r="F22" s="1197"/>
      <c r="G22" s="1198"/>
      <c r="H22" s="1197"/>
      <c r="I22" s="1196"/>
      <c r="J22" s="1197"/>
      <c r="K22" s="1805"/>
      <c r="L22" s="1320"/>
      <c r="M22" s="1304"/>
      <c r="N22" s="1304"/>
      <c r="O22" s="1304"/>
      <c r="P22" s="1738"/>
      <c r="Q22" s="699"/>
      <c r="R22" s="1370"/>
      <c r="S22" s="1371"/>
      <c r="T22" s="1370"/>
      <c r="U22" s="1371"/>
      <c r="V22" s="1370"/>
      <c r="W22" s="1371"/>
      <c r="X22" s="1357"/>
      <c r="Y22" s="1323"/>
      <c r="Z22" s="1344"/>
      <c r="AA22" s="1386">
        <v>1</v>
      </c>
      <c r="AB22" s="1386">
        <v>1</v>
      </c>
      <c r="AC22" s="1386">
        <v>1</v>
      </c>
    </row>
    <row r="23" ht="40.5" spans="1:29">
      <c r="A23" s="1176"/>
      <c r="B23" s="1512" t="s">
        <v>1505</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3"/>
      <c r="L23" s="1320"/>
      <c r="M23" s="1304"/>
      <c r="N23" s="1304"/>
      <c r="O23" s="1304"/>
      <c r="P23" s="1738"/>
      <c r="Q23" s="699" t="str">
        <f>B23</f>
        <v>自然及人文环境</v>
      </c>
      <c r="R23" s="1370" t="s">
        <v>1490</v>
      </c>
      <c r="S23" s="1371">
        <f>F23</f>
        <v>100</v>
      </c>
      <c r="T23" s="1370" t="s">
        <v>1490</v>
      </c>
      <c r="U23" s="1371">
        <f>H23</f>
        <v>100</v>
      </c>
      <c r="V23" s="1370" t="s">
        <v>1490</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04"/>
      <c r="L24" s="1320"/>
      <c r="M24" s="1304"/>
      <c r="N24" s="1304"/>
      <c r="O24" s="1304"/>
      <c r="P24" s="1738"/>
      <c r="Q24" s="699"/>
      <c r="R24" s="1370"/>
      <c r="S24" s="1371"/>
      <c r="T24" s="1370"/>
      <c r="U24" s="1371"/>
      <c r="V24" s="1370"/>
      <c r="W24" s="1371"/>
      <c r="X24" s="1357"/>
      <c r="Y24" s="1323"/>
      <c r="Z24" s="1344"/>
      <c r="AA24" s="1386">
        <v>1</v>
      </c>
      <c r="AB24" s="1386">
        <v>1</v>
      </c>
      <c r="AC24" s="1386">
        <v>1</v>
      </c>
    </row>
    <row r="25" ht="15" spans="1:29">
      <c r="A25" s="1176"/>
      <c r="B25" s="1173" t="s">
        <v>1506</v>
      </c>
      <c r="C25" s="1577"/>
      <c r="D25" s="1185">
        <v>100</v>
      </c>
      <c r="E25" s="1228"/>
      <c r="F25" s="1185">
        <f>SUMIF(86:86,E25,87:87)-SUMIF(86:86,C25,87:87)+100</f>
        <v>100</v>
      </c>
      <c r="G25" s="1787"/>
      <c r="H25" s="1185">
        <f>SUMIF(86:86,G25,87:87)-SUMIF(86:86,C25,87:87)+100</f>
        <v>100</v>
      </c>
      <c r="I25" s="1787"/>
      <c r="J25" s="1185">
        <f>SUMIF(86:86,I25,87:87)-SUMIF(86:86,C25,87:87)+100</f>
        <v>100</v>
      </c>
      <c r="K25" s="1801"/>
      <c r="L25" s="1320"/>
      <c r="M25" s="1304"/>
      <c r="N25" s="1304"/>
      <c r="O25" s="1304"/>
      <c r="P25" s="1738"/>
      <c r="Q25" s="699" t="str">
        <f t="shared" ref="Q25:Q46" si="11">B25</f>
        <v>楼层-1</v>
      </c>
      <c r="R25" s="1370" t="s">
        <v>1490</v>
      </c>
      <c r="S25" s="1371">
        <f t="shared" ref="S25:S46" si="12">F25</f>
        <v>100</v>
      </c>
      <c r="T25" s="1370" t="s">
        <v>1490</v>
      </c>
      <c r="U25" s="1371">
        <f t="shared" ref="U25:U46" si="13">H25</f>
        <v>100</v>
      </c>
      <c r="V25" s="1370" t="s">
        <v>1490</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1507</v>
      </c>
      <c r="C26" s="1577"/>
      <c r="D26" s="1185">
        <v>100</v>
      </c>
      <c r="E26" s="1228"/>
      <c r="F26" s="1185">
        <f>SUMIF(88:88,E26,89:89)-SUMIF(88:88,C26,89:89)+100</f>
        <v>100</v>
      </c>
      <c r="G26" s="1787"/>
      <c r="H26" s="1185">
        <f>SUMIF(88:88,G26,89:89)-SUMIF(88:88,C26,89:89)+100</f>
        <v>100</v>
      </c>
      <c r="I26" s="1787"/>
      <c r="J26" s="1185">
        <f>SUMIF(88:88,I26,89:89)-SUMIF(88:88,C26,89:89)+100</f>
        <v>100</v>
      </c>
      <c r="K26" s="1801"/>
      <c r="L26" s="1320"/>
      <c r="M26" s="1304"/>
      <c r="N26" s="1304"/>
      <c r="O26" s="1304"/>
      <c r="P26" s="1738"/>
      <c r="Q26" s="699" t="str">
        <f t="shared" si="11"/>
        <v>朝向</v>
      </c>
      <c r="R26" s="1370" t="s">
        <v>1490</v>
      </c>
      <c r="S26" s="1371">
        <f t="shared" si="12"/>
        <v>100</v>
      </c>
      <c r="T26" s="1370" t="s">
        <v>1490</v>
      </c>
      <c r="U26" s="1371">
        <f t="shared" si="13"/>
        <v>100</v>
      </c>
      <c r="V26" s="1370" t="s">
        <v>1490</v>
      </c>
      <c r="W26" s="1371">
        <f t="shared" si="14"/>
        <v>100</v>
      </c>
      <c r="X26" s="1357"/>
      <c r="Y26" s="1323"/>
      <c r="Z26" s="1344" t="str">
        <f>Q26</f>
        <v>朝向</v>
      </c>
      <c r="AA26" s="1386">
        <f t="shared" si="15"/>
        <v>1</v>
      </c>
      <c r="AB26" s="1386">
        <f t="shared" si="16"/>
        <v>1</v>
      </c>
      <c r="AC26" s="1386">
        <f t="shared" si="17"/>
        <v>1</v>
      </c>
    </row>
    <row r="27" s="1123" customFormat="1" ht="15" spans="1:29">
      <c r="A27" s="1179"/>
      <c r="B27" s="1517">
        <v>111</v>
      </c>
      <c r="C27" s="1174"/>
      <c r="D27" s="1680">
        <v>100</v>
      </c>
      <c r="E27" s="1507"/>
      <c r="F27" s="1680">
        <f>SUMIF(90:90,E27,91:91)-SUMIF(90:90,C27,91:91)+100</f>
        <v>100</v>
      </c>
      <c r="G27" s="1508"/>
      <c r="H27" s="1680">
        <f>SUMIF(90:90,G27,91:91)-SUMIF(90:90,C27,91:91)+100</f>
        <v>100</v>
      </c>
      <c r="I27" s="1508"/>
      <c r="J27" s="1680">
        <f>SUMIF(90:90,I27,91:91)-SUMIF(90:90,C27,91:91)+100</f>
        <v>100</v>
      </c>
      <c r="K27" s="1802"/>
      <c r="L27" s="1309"/>
      <c r="M27" s="1310"/>
      <c r="N27" s="1310"/>
      <c r="O27" s="1310"/>
      <c r="P27" s="1738"/>
      <c r="Q27" s="1369">
        <f t="shared" si="11"/>
        <v>111</v>
      </c>
      <c r="R27" s="1365" t="s">
        <v>1490</v>
      </c>
      <c r="S27" s="1366">
        <f t="shared" si="12"/>
        <v>100</v>
      </c>
      <c r="T27" s="1365" t="s">
        <v>1490</v>
      </c>
      <c r="U27" s="1366">
        <f t="shared" si="13"/>
        <v>100</v>
      </c>
      <c r="V27" s="1365" t="s">
        <v>1490</v>
      </c>
      <c r="W27" s="1366">
        <f t="shared" si="14"/>
        <v>100</v>
      </c>
      <c r="X27" s="1367"/>
      <c r="Y27" s="1323"/>
      <c r="Z27" s="1385">
        <f>Q27</f>
        <v>111</v>
      </c>
      <c r="AA27" s="1386">
        <f t="shared" si="15"/>
        <v>1</v>
      </c>
      <c r="AB27" s="1386">
        <f t="shared" si="16"/>
        <v>1</v>
      </c>
      <c r="AC27" s="1386">
        <f t="shared" si="17"/>
        <v>1</v>
      </c>
    </row>
    <row r="28" ht="15" spans="1:29">
      <c r="A28" s="1176"/>
      <c r="B28" s="1517">
        <v>111</v>
      </c>
      <c r="C28" s="1184"/>
      <c r="D28" s="1185">
        <v>100</v>
      </c>
      <c r="E28" s="1184"/>
      <c r="F28" s="1185">
        <f>SUMIF(92:92,E28,93:93)-SUMIF(92:92,C28,93:93)+100</f>
        <v>100</v>
      </c>
      <c r="G28" s="1728"/>
      <c r="H28" s="1185">
        <f>SUMIF(92:92,G28,93:93)-SUMIF(92:92,C28,93:93)+100</f>
        <v>100</v>
      </c>
      <c r="I28" s="1184"/>
      <c r="J28" s="1185">
        <f>SUMIF(92:92,I28,93:93)-SUMIF(92:92,C28,93:93)+100</f>
        <v>100</v>
      </c>
      <c r="K28" s="1802"/>
      <c r="L28" s="1320"/>
      <c r="M28" s="1304"/>
      <c r="N28" s="1304"/>
      <c r="O28" s="1304"/>
      <c r="P28" s="1738"/>
      <c r="Q28" s="699">
        <f t="shared" si="11"/>
        <v>111</v>
      </c>
      <c r="R28" s="1370" t="s">
        <v>1490</v>
      </c>
      <c r="S28" s="1371">
        <f t="shared" si="12"/>
        <v>100</v>
      </c>
      <c r="T28" s="1370" t="s">
        <v>1490</v>
      </c>
      <c r="U28" s="1371">
        <f t="shared" si="13"/>
        <v>100</v>
      </c>
      <c r="V28" s="1370" t="s">
        <v>1490</v>
      </c>
      <c r="W28" s="1371">
        <f t="shared" si="14"/>
        <v>100</v>
      </c>
      <c r="X28" s="1357"/>
      <c r="Y28" s="1323"/>
      <c r="Z28" s="1344">
        <f t="shared" ref="Z28:Z46" si="18">Q28</f>
        <v>111</v>
      </c>
      <c r="AA28" s="1386">
        <f t="shared" si="15"/>
        <v>1</v>
      </c>
      <c r="AB28" s="1386">
        <f t="shared" si="16"/>
        <v>1</v>
      </c>
      <c r="AC28" s="1386">
        <f t="shared" si="17"/>
        <v>1</v>
      </c>
    </row>
    <row r="29" ht="15" spans="1:29">
      <c r="A29" s="1176"/>
      <c r="B29" s="1517">
        <v>111</v>
      </c>
      <c r="C29" s="1184"/>
      <c r="D29" s="1185">
        <v>100</v>
      </c>
      <c r="E29" s="1184"/>
      <c r="F29" s="1185">
        <f>SUMIF(94:94,E29,95:95)-SUMIF(94:94,C29,95:95)+100</f>
        <v>100</v>
      </c>
      <c r="G29" s="1728"/>
      <c r="H29" s="1185">
        <f>SUMIF(94:94,G29,95:95)-SUMIF(94:94,C29,95:95)+100</f>
        <v>100</v>
      </c>
      <c r="I29" s="1184"/>
      <c r="J29" s="1185">
        <f>SUMIF(94:94,I29,95:95)-SUMIF(94:94,C29,95:95)+100</f>
        <v>100</v>
      </c>
      <c r="K29" s="1802"/>
      <c r="L29" s="1320"/>
      <c r="M29" s="1304"/>
      <c r="N29" s="1304"/>
      <c r="O29" s="1304"/>
      <c r="P29" s="1738"/>
      <c r="Q29" s="699">
        <f t="shared" si="11"/>
        <v>111</v>
      </c>
      <c r="R29" s="1370" t="s">
        <v>1490</v>
      </c>
      <c r="S29" s="1371">
        <f t="shared" si="12"/>
        <v>100</v>
      </c>
      <c r="T29" s="1370" t="s">
        <v>1490</v>
      </c>
      <c r="U29" s="1371">
        <f t="shared" si="13"/>
        <v>100</v>
      </c>
      <c r="V29" s="1370" t="s">
        <v>1490</v>
      </c>
      <c r="W29" s="1371">
        <f t="shared" si="14"/>
        <v>100</v>
      </c>
      <c r="X29" s="1357"/>
      <c r="Y29" s="1323"/>
      <c r="Z29" s="1344">
        <f t="shared" si="18"/>
        <v>111</v>
      </c>
      <c r="AA29" s="1386">
        <f t="shared" si="15"/>
        <v>1</v>
      </c>
      <c r="AB29" s="1386">
        <f t="shared" si="16"/>
        <v>1</v>
      </c>
      <c r="AC29" s="1386">
        <f t="shared" si="17"/>
        <v>1</v>
      </c>
    </row>
    <row r="30" ht="15" spans="1:29">
      <c r="A30" s="1176"/>
      <c r="B30" s="1517">
        <v>111</v>
      </c>
      <c r="C30" s="1184"/>
      <c r="D30" s="1185">
        <v>100</v>
      </c>
      <c r="E30" s="1184"/>
      <c r="F30" s="1185">
        <f>SUMIF(96:96,E30,97:97)-SUMIF(96:96,C30,97:97)+100</f>
        <v>100</v>
      </c>
      <c r="G30" s="1728"/>
      <c r="H30" s="1185">
        <f>SUMIF(96:96,G30,97:97)-SUMIF(96:96,C30,97:97)+100</f>
        <v>100</v>
      </c>
      <c r="I30" s="1184"/>
      <c r="J30" s="1185">
        <f>SUMIF(96:96,I30,97:97)-SUMIF(96:96,C30,97:97)+100</f>
        <v>100</v>
      </c>
      <c r="K30" s="1802"/>
      <c r="L30" s="1320"/>
      <c r="M30" s="1304"/>
      <c r="N30" s="1304"/>
      <c r="O30" s="1304"/>
      <c r="P30" s="1738"/>
      <c r="Q30" s="699">
        <f t="shared" si="11"/>
        <v>111</v>
      </c>
      <c r="R30" s="1370" t="s">
        <v>1490</v>
      </c>
      <c r="S30" s="1371">
        <f t="shared" si="12"/>
        <v>100</v>
      </c>
      <c r="T30" s="1370" t="s">
        <v>1490</v>
      </c>
      <c r="U30" s="1371">
        <f t="shared" si="13"/>
        <v>100</v>
      </c>
      <c r="V30" s="1370" t="s">
        <v>1490</v>
      </c>
      <c r="W30" s="1371">
        <f t="shared" si="14"/>
        <v>100</v>
      </c>
      <c r="X30" s="1357"/>
      <c r="Y30" s="1323"/>
      <c r="Z30" s="1344">
        <f t="shared" si="18"/>
        <v>111</v>
      </c>
      <c r="AA30" s="1386">
        <f t="shared" si="15"/>
        <v>1</v>
      </c>
      <c r="AB30" s="1386">
        <f t="shared" si="16"/>
        <v>1</v>
      </c>
      <c r="AC30" s="1386">
        <f t="shared" si="17"/>
        <v>1</v>
      </c>
    </row>
    <row r="31" ht="15.75" spans="1:29">
      <c r="A31" s="1186"/>
      <c r="B31" s="1517">
        <v>111</v>
      </c>
      <c r="C31" s="1188"/>
      <c r="D31" s="1189">
        <v>100</v>
      </c>
      <c r="E31" s="1188"/>
      <c r="F31" s="1189">
        <f>SUMIF(98:98,E31,99:99)-SUMIF(98:98,C31,99:99)+100</f>
        <v>100</v>
      </c>
      <c r="G31" s="1731"/>
      <c r="H31" s="1189">
        <f>SUMIF(98:98,G31,99:99)-SUMIF(98:98,C31,99:99)+100</f>
        <v>100</v>
      </c>
      <c r="I31" s="1188"/>
      <c r="J31" s="1189">
        <f>SUMIF(98:98,I31,99:99)-SUMIF(98:98,C31,99:99)+100</f>
        <v>100</v>
      </c>
      <c r="K31" s="1802"/>
      <c r="L31" s="1320"/>
      <c r="M31" s="1304"/>
      <c r="N31" s="1304"/>
      <c r="O31" s="1304"/>
      <c r="P31" s="1738"/>
      <c r="Q31" s="699">
        <f t="shared" si="11"/>
        <v>111</v>
      </c>
      <c r="R31" s="1370" t="s">
        <v>1490</v>
      </c>
      <c r="S31" s="1371">
        <f t="shared" si="12"/>
        <v>100</v>
      </c>
      <c r="T31" s="1370" t="s">
        <v>1490</v>
      </c>
      <c r="U31" s="1371">
        <f t="shared" si="13"/>
        <v>100</v>
      </c>
      <c r="V31" s="1370" t="s">
        <v>1490</v>
      </c>
      <c r="W31" s="1371">
        <f t="shared" si="14"/>
        <v>100</v>
      </c>
      <c r="X31" s="1357"/>
      <c r="Y31" s="1323"/>
      <c r="Z31" s="1344">
        <f t="shared" si="18"/>
        <v>111</v>
      </c>
      <c r="AA31" s="1386">
        <f t="shared" si="15"/>
        <v>1</v>
      </c>
      <c r="AB31" s="1386">
        <f t="shared" si="16"/>
        <v>1</v>
      </c>
      <c r="AC31" s="1386">
        <f t="shared" si="17"/>
        <v>1</v>
      </c>
    </row>
    <row r="32" ht="15" spans="1:29">
      <c r="A32" s="1190" t="s">
        <v>1508</v>
      </c>
      <c r="B32" s="1169" t="s">
        <v>1509</v>
      </c>
      <c r="C32" s="1762"/>
      <c r="D32" s="1226">
        <v>100</v>
      </c>
      <c r="E32" s="1788"/>
      <c r="F32" s="1567">
        <f>SUMIF(100:100,E32,101:101)-SUMIF(100:100,C32,101:101)+100</f>
        <v>100</v>
      </c>
      <c r="G32" s="1762"/>
      <c r="H32" s="1226">
        <f>SUMIF(100:100,G32,101:101)-SUMIF(100:100,C32,101:101)+100</f>
        <v>100</v>
      </c>
      <c r="I32" s="1788"/>
      <c r="J32" s="1185">
        <f>SUMIF(100:100,I32,101:101)-SUMIF(100:100,C32,101:101)+100</f>
        <v>100</v>
      </c>
      <c r="K32" s="1801"/>
      <c r="L32" s="1320"/>
      <c r="M32" s="1304"/>
      <c r="N32" s="1304"/>
      <c r="O32" s="1304"/>
      <c r="P32" s="1739" t="s">
        <v>1510</v>
      </c>
      <c r="Q32" s="699" t="str">
        <f t="shared" si="11"/>
        <v>建筑类型</v>
      </c>
      <c r="R32" s="1370" t="s">
        <v>1490</v>
      </c>
      <c r="S32" s="1371">
        <f t="shared" si="12"/>
        <v>100</v>
      </c>
      <c r="T32" s="1370" t="s">
        <v>1490</v>
      </c>
      <c r="U32" s="1371">
        <f t="shared" si="13"/>
        <v>100</v>
      </c>
      <c r="V32" s="1370" t="s">
        <v>1490</v>
      </c>
      <c r="W32" s="1371">
        <f t="shared" si="14"/>
        <v>100</v>
      </c>
      <c r="X32" s="1357"/>
      <c r="Y32" s="1332" t="s">
        <v>1510</v>
      </c>
      <c r="Z32" s="1344" t="str">
        <f t="shared" si="18"/>
        <v>建筑类型</v>
      </c>
      <c r="AA32" s="1386">
        <f t="shared" si="15"/>
        <v>1</v>
      </c>
      <c r="AB32" s="1386">
        <f t="shared" si="16"/>
        <v>1</v>
      </c>
      <c r="AC32" s="1386">
        <f t="shared" si="17"/>
        <v>1</v>
      </c>
    </row>
    <row r="33" s="1125" customFormat="1" ht="15" spans="1:29">
      <c r="A33" s="1232"/>
      <c r="B33" s="1173" t="s">
        <v>1511</v>
      </c>
      <c r="C33" s="1561"/>
      <c r="D33" s="1175">
        <v>100</v>
      </c>
      <c r="E33" s="1178"/>
      <c r="F33" s="1560" t="e">
        <f>LOOKUP(E33,103:103,104:104)-LOOKUP(C33,103:103,104:104)+100</f>
        <v>#N/A</v>
      </c>
      <c r="G33" s="1177"/>
      <c r="H33" s="1175" t="e">
        <f>LOOKUP(G33,103:103,104:104)-LOOKUP(C33,103:103,104:104)+100</f>
        <v>#N/A</v>
      </c>
      <c r="I33" s="1178"/>
      <c r="J33" s="1175" t="e">
        <f>LOOKUP(I33,103:103,104:104)-LOOKUP(C33,103:103,104:104)+100</f>
        <v>#N/A</v>
      </c>
      <c r="K33" s="1802"/>
      <c r="L33" s="1318"/>
      <c r="M33" s="1330"/>
      <c r="N33" s="1330"/>
      <c r="O33" s="1330"/>
      <c r="P33" s="1740"/>
      <c r="Q33" s="1606" t="str">
        <f t="shared" si="11"/>
        <v>项目建筑规模</v>
      </c>
      <c r="R33" s="1372" t="s">
        <v>1490</v>
      </c>
      <c r="S33" s="1373" t="e">
        <f t="shared" si="12"/>
        <v>#N/A</v>
      </c>
      <c r="T33" s="1372" t="s">
        <v>1490</v>
      </c>
      <c r="U33" s="1373" t="e">
        <f t="shared" si="13"/>
        <v>#N/A</v>
      </c>
      <c r="V33" s="1372" t="s">
        <v>1490</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1512</v>
      </c>
      <c r="C34" s="1763"/>
      <c r="D34" s="1185">
        <v>100</v>
      </c>
      <c r="E34" s="1789"/>
      <c r="F34" s="1567">
        <f>SUMIF(105:105,E34,106:106)-SUMIF(105:105,C34,106:106)+100</f>
        <v>100</v>
      </c>
      <c r="G34" s="1763"/>
      <c r="H34" s="1185">
        <f>SUMIF(105:105,G34,106:106)-SUMIF(105:105,C34,106:106)+100</f>
        <v>100</v>
      </c>
      <c r="I34" s="1789"/>
      <c r="J34" s="1185">
        <f>SUMIF(105:105,I34,106:106)-SUMIF(105:105,C34,106:106)+100</f>
        <v>100</v>
      </c>
      <c r="K34" s="1801"/>
      <c r="L34" s="1320"/>
      <c r="M34" s="1304"/>
      <c r="N34" s="1304"/>
      <c r="O34" s="1304"/>
      <c r="P34" s="1740"/>
      <c r="Q34" s="699" t="str">
        <f t="shared" si="11"/>
        <v>建筑结构</v>
      </c>
      <c r="R34" s="1370" t="s">
        <v>1490</v>
      </c>
      <c r="S34" s="1371">
        <f t="shared" si="12"/>
        <v>100</v>
      </c>
      <c r="T34" s="1370" t="s">
        <v>1490</v>
      </c>
      <c r="U34" s="1371">
        <f t="shared" si="13"/>
        <v>100</v>
      </c>
      <c r="V34" s="1370" t="s">
        <v>1490</v>
      </c>
      <c r="W34" s="1371">
        <f t="shared" si="14"/>
        <v>100</v>
      </c>
      <c r="X34" s="1357"/>
      <c r="Y34" s="1332"/>
      <c r="Z34" s="1344" t="str">
        <f t="shared" si="18"/>
        <v>建筑结构</v>
      </c>
      <c r="AA34" s="1386">
        <f t="shared" si="15"/>
        <v>1</v>
      </c>
      <c r="AB34" s="1386">
        <f t="shared" si="16"/>
        <v>1</v>
      </c>
      <c r="AC34" s="1386">
        <f t="shared" si="17"/>
        <v>1</v>
      </c>
    </row>
    <row r="35" ht="15" spans="1:29">
      <c r="A35" s="1227"/>
      <c r="B35" s="1173" t="s">
        <v>1513</v>
      </c>
      <c r="C35" s="1228"/>
      <c r="D35" s="1185">
        <v>100</v>
      </c>
      <c r="E35" s="1787"/>
      <c r="F35" s="1567">
        <f>SUMIF(107:107,E35,108:108)-SUMIF(107:107,C35,108:108)+100</f>
        <v>100</v>
      </c>
      <c r="G35" s="1228"/>
      <c r="H35" s="1185">
        <f>SUMIF(107:107,G35,108:108)-SUMIF(107:107,C35,108:108)+100</f>
        <v>100</v>
      </c>
      <c r="I35" s="1787"/>
      <c r="J35" s="1185">
        <f>SUMIF(107:107,I35,108:108)-SUMIF(107:107,C35,108:108)+100</f>
        <v>100</v>
      </c>
      <c r="K35" s="1801"/>
      <c r="L35" s="1320"/>
      <c r="M35" s="1304"/>
      <c r="N35" s="1304"/>
      <c r="O35" s="1304"/>
      <c r="P35" s="1740"/>
      <c r="Q35" s="699" t="str">
        <f t="shared" si="11"/>
        <v>建筑品质</v>
      </c>
      <c r="R35" s="1370" t="s">
        <v>1490</v>
      </c>
      <c r="S35" s="1371">
        <f t="shared" si="12"/>
        <v>100</v>
      </c>
      <c r="T35" s="1370" t="s">
        <v>1490</v>
      </c>
      <c r="U35" s="1371">
        <f t="shared" si="13"/>
        <v>100</v>
      </c>
      <c r="V35" s="1370" t="s">
        <v>1490</v>
      </c>
      <c r="W35" s="1371">
        <f t="shared" si="14"/>
        <v>100</v>
      </c>
      <c r="X35" s="1357"/>
      <c r="Y35" s="1332"/>
      <c r="Z35" s="1344" t="str">
        <f t="shared" si="18"/>
        <v>建筑品质</v>
      </c>
      <c r="AA35" s="1386">
        <f t="shared" si="15"/>
        <v>1</v>
      </c>
      <c r="AB35" s="1386">
        <f t="shared" si="16"/>
        <v>1</v>
      </c>
      <c r="AC35" s="1386">
        <f t="shared" si="17"/>
        <v>1</v>
      </c>
    </row>
    <row r="36" ht="15" spans="1:29">
      <c r="A36" s="1227"/>
      <c r="B36" s="1173" t="s">
        <v>1514</v>
      </c>
      <c r="C36" s="1228"/>
      <c r="D36" s="1185">
        <v>100</v>
      </c>
      <c r="E36" s="1787"/>
      <c r="F36" s="1567">
        <f>SUMIF(109:109,E36,110:110)-SUMIF(109:109,C36,110:110)+100</f>
        <v>100</v>
      </c>
      <c r="G36" s="1228"/>
      <c r="H36" s="1185">
        <f>SUMIF(109:109,G36,110:110)-SUMIF(109:109,C36,110:110)+100</f>
        <v>100</v>
      </c>
      <c r="I36" s="1787"/>
      <c r="J36" s="1185">
        <f>SUMIF(109:109,I36,110:110)-SUMIF(109:109,C36,110:110)+100</f>
        <v>100</v>
      </c>
      <c r="K36" s="1801"/>
      <c r="L36" s="1320"/>
      <c r="M36" s="1304"/>
      <c r="N36" s="1304"/>
      <c r="O36" s="1304"/>
      <c r="P36" s="1740"/>
      <c r="Q36" s="699" t="str">
        <f t="shared" si="11"/>
        <v>公共部分装修</v>
      </c>
      <c r="R36" s="1370" t="s">
        <v>1490</v>
      </c>
      <c r="S36" s="1371">
        <f t="shared" si="12"/>
        <v>100</v>
      </c>
      <c r="T36" s="1370" t="s">
        <v>1490</v>
      </c>
      <c r="U36" s="1371">
        <f t="shared" si="13"/>
        <v>100</v>
      </c>
      <c r="V36" s="1370" t="s">
        <v>1490</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634</v>
      </c>
      <c r="C37" s="1574"/>
      <c r="D37" s="1175">
        <v>100</v>
      </c>
      <c r="E37" s="1574"/>
      <c r="F37" s="1560" t="e">
        <f>LOOKUP(E37,112:112,113:113)-LOOKUP(C37,112:112,113:113)+100</f>
        <v>#N/A</v>
      </c>
      <c r="G37" s="1576"/>
      <c r="H37" s="1175" t="e">
        <f>LOOKUP(G37,112:112,113:113)-LOOKUP(C37,112:112,113:113)+100</f>
        <v>#N/A</v>
      </c>
      <c r="I37" s="1575"/>
      <c r="J37" s="1175" t="e">
        <f>LOOKUP(I37,112:112,113:113)-LOOKUP(C37,112:112,113:113)+100</f>
        <v>#N/A</v>
      </c>
      <c r="K37" s="1801"/>
      <c r="L37" s="1309"/>
      <c r="M37" s="1310"/>
      <c r="N37" s="1310"/>
      <c r="O37" s="1310"/>
      <c r="P37" s="1740"/>
      <c r="Q37" s="1369" t="str">
        <f t="shared" si="11"/>
        <v>成新度</v>
      </c>
      <c r="R37" s="1365" t="s">
        <v>1490</v>
      </c>
      <c r="S37" s="1366" t="e">
        <f t="shared" si="12"/>
        <v>#N/A</v>
      </c>
      <c r="T37" s="1365" t="s">
        <v>1490</v>
      </c>
      <c r="U37" s="1366" t="e">
        <f t="shared" si="13"/>
        <v>#N/A</v>
      </c>
      <c r="V37" s="1365" t="s">
        <v>1490</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1515</v>
      </c>
      <c r="C38" s="1228"/>
      <c r="D38" s="1185">
        <v>100</v>
      </c>
      <c r="E38" s="1787"/>
      <c r="F38" s="1567">
        <f>SUMIF(114:114,E38,115:115)-SUMIF(114:114,C38,115:115)+100</f>
        <v>100</v>
      </c>
      <c r="G38" s="1228"/>
      <c r="H38" s="1185">
        <f>SUMIF(114:114,G38,115:115)-SUMIF(114:114,C38,115:115)+100</f>
        <v>100</v>
      </c>
      <c r="I38" s="1787"/>
      <c r="J38" s="1185">
        <f>SUMIF(114:114,I38,115:115)-SUMIF(114:114,C38,115:115)+100</f>
        <v>100</v>
      </c>
      <c r="K38" s="1801"/>
      <c r="L38" s="1320"/>
      <c r="M38" s="1304"/>
      <c r="N38" s="1304"/>
      <c r="O38" s="1304"/>
      <c r="P38" s="1740" t="s">
        <v>1510</v>
      </c>
      <c r="Q38" s="699" t="str">
        <f t="shared" si="11"/>
        <v>物业管理</v>
      </c>
      <c r="R38" s="1370" t="s">
        <v>1490</v>
      </c>
      <c r="S38" s="1371">
        <f t="shared" si="12"/>
        <v>100</v>
      </c>
      <c r="T38" s="1370" t="s">
        <v>1490</v>
      </c>
      <c r="U38" s="1371">
        <f t="shared" si="13"/>
        <v>100</v>
      </c>
      <c r="V38" s="1370" t="s">
        <v>1490</v>
      </c>
      <c r="W38" s="1371">
        <f t="shared" si="14"/>
        <v>100</v>
      </c>
      <c r="X38" s="1357"/>
      <c r="Y38" s="1332" t="s">
        <v>1510</v>
      </c>
      <c r="Z38" s="1344" t="str">
        <f t="shared" si="18"/>
        <v>物业管理</v>
      </c>
      <c r="AA38" s="1386">
        <f t="shared" si="15"/>
        <v>1</v>
      </c>
      <c r="AB38" s="1386">
        <f t="shared" si="16"/>
        <v>1</v>
      </c>
      <c r="AC38" s="1386">
        <f t="shared" si="17"/>
        <v>1</v>
      </c>
    </row>
    <row r="39" ht="15" spans="1:29">
      <c r="A39" s="1227"/>
      <c r="B39" s="1173" t="s">
        <v>1516</v>
      </c>
      <c r="C39" s="1228"/>
      <c r="D39" s="1185">
        <v>100</v>
      </c>
      <c r="E39" s="1787"/>
      <c r="F39" s="1567">
        <f>SUMIF(116:116,E39,117:117)-SUMIF(116:116,C39,117:117)+100</f>
        <v>100</v>
      </c>
      <c r="G39" s="1228"/>
      <c r="H39" s="1185">
        <f>SUMIF(116:116,G39,117:117)-SUMIF(116:116,C39,117:117)+100</f>
        <v>100</v>
      </c>
      <c r="I39" s="1787"/>
      <c r="J39" s="1185">
        <f>SUMIF(116:116,I39,117:117)-SUMIF(116:116,C39,117:117)+100</f>
        <v>100</v>
      </c>
      <c r="K39" s="1801"/>
      <c r="L39" s="1320"/>
      <c r="M39" s="1304"/>
      <c r="N39" s="1304"/>
      <c r="O39" s="1304"/>
      <c r="P39" s="1740"/>
      <c r="Q39" s="699" t="str">
        <f t="shared" si="11"/>
        <v>市政基础设施</v>
      </c>
      <c r="R39" s="1370" t="s">
        <v>1490</v>
      </c>
      <c r="S39" s="1371">
        <f t="shared" si="12"/>
        <v>100</v>
      </c>
      <c r="T39" s="1370" t="s">
        <v>1490</v>
      </c>
      <c r="U39" s="1371">
        <f t="shared" si="13"/>
        <v>100</v>
      </c>
      <c r="V39" s="1370" t="s">
        <v>1490</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1517</v>
      </c>
      <c r="C40" s="1228"/>
      <c r="D40" s="1185">
        <v>100</v>
      </c>
      <c r="E40" s="1787"/>
      <c r="F40" s="1567">
        <f>SUMIF(118:118,E40,119:119)-SUMIF(118:118,C40,119:119)+100</f>
        <v>100</v>
      </c>
      <c r="G40" s="1228"/>
      <c r="H40" s="1185">
        <f>SUMIF(118:118,G40,119:119)-SUMIF(118:118,C40,119:119)+100</f>
        <v>100</v>
      </c>
      <c r="I40" s="1787"/>
      <c r="J40" s="1185">
        <f>SUMIF(118:118,I40,119:119)-SUMIF(118:118,C40,119:119)+100</f>
        <v>100</v>
      </c>
      <c r="K40" s="1801"/>
      <c r="L40" s="1320"/>
      <c r="M40" s="1304"/>
      <c r="N40" s="1304"/>
      <c r="O40" s="1304"/>
      <c r="P40" s="1740"/>
      <c r="Q40" s="699" t="str">
        <f t="shared" si="11"/>
        <v>房型</v>
      </c>
      <c r="R40" s="1370" t="s">
        <v>1490</v>
      </c>
      <c r="S40" s="1371">
        <f t="shared" si="12"/>
        <v>100</v>
      </c>
      <c r="T40" s="1370" t="s">
        <v>1490</v>
      </c>
      <c r="U40" s="1371">
        <f t="shared" si="13"/>
        <v>100</v>
      </c>
      <c r="V40" s="1370" t="s">
        <v>1490</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1518</v>
      </c>
      <c r="C41" s="1561"/>
      <c r="D41" s="1175">
        <v>100</v>
      </c>
      <c r="E41" s="1178"/>
      <c r="F41" s="1560">
        <f>SUMIF(120:120,E41,121:121)-SUMIF(120:120,C41,121:121)+100</f>
        <v>100</v>
      </c>
      <c r="G41" s="1177"/>
      <c r="H41" s="1175">
        <f>SUMIF(120:120,G41,121:121)-SUMIF(120:120,C41,121:121)+100</f>
        <v>100</v>
      </c>
      <c r="I41" s="1216"/>
      <c r="J41" s="1185">
        <f>SUMIF(120:120,I41,121:121)-SUMIF(120:120,C41,121:121)+100</f>
        <v>100</v>
      </c>
      <c r="K41" s="1802"/>
      <c r="L41" s="1318"/>
      <c r="M41" s="1330"/>
      <c r="N41" s="1330"/>
      <c r="O41" s="1330"/>
      <c r="P41" s="1740"/>
      <c r="Q41" s="1606" t="str">
        <f t="shared" si="11"/>
        <v>单套/主力户型建筑面积</v>
      </c>
      <c r="R41" s="1372" t="s">
        <v>1490</v>
      </c>
      <c r="S41" s="1373">
        <f t="shared" si="12"/>
        <v>100</v>
      </c>
      <c r="T41" s="1372" t="s">
        <v>1490</v>
      </c>
      <c r="U41" s="1373">
        <f t="shared" si="13"/>
        <v>100</v>
      </c>
      <c r="V41" s="1372" t="s">
        <v>1490</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1519</v>
      </c>
      <c r="C42" s="1228"/>
      <c r="D42" s="1185">
        <v>100</v>
      </c>
      <c r="E42" s="1787"/>
      <c r="F42" s="1567">
        <f>SUMIF(122:122,E42,123:123)-SUMIF(122:122,C42,123:123)+100</f>
        <v>100</v>
      </c>
      <c r="G42" s="1228"/>
      <c r="H42" s="1185">
        <f>SUMIF(122:122,G42,123:123)-SUMIF(122:122,C42,123:123)+100</f>
        <v>100</v>
      </c>
      <c r="I42" s="1787"/>
      <c r="J42" s="1185">
        <f>SUMIF(122:122,I42,123:123)-SUMIF(122:122,C42,123:123)+100</f>
        <v>100</v>
      </c>
      <c r="K42" s="1801"/>
      <c r="L42" s="1320"/>
      <c r="M42" s="1304"/>
      <c r="N42" s="1304"/>
      <c r="O42" s="1304"/>
      <c r="P42" s="1740"/>
      <c r="Q42" s="699" t="str">
        <f t="shared" si="11"/>
        <v>内部装修</v>
      </c>
      <c r="R42" s="1370" t="s">
        <v>1490</v>
      </c>
      <c r="S42" s="1371">
        <f t="shared" si="12"/>
        <v>100</v>
      </c>
      <c r="T42" s="1370" t="s">
        <v>1490</v>
      </c>
      <c r="U42" s="1371">
        <f t="shared" si="13"/>
        <v>100</v>
      </c>
      <c r="V42" s="1370" t="s">
        <v>1490</v>
      </c>
      <c r="W42" s="1371">
        <f t="shared" si="14"/>
        <v>100</v>
      </c>
      <c r="X42" s="1357"/>
      <c r="Y42" s="1332"/>
      <c r="Z42" s="1344" t="str">
        <f t="shared" si="18"/>
        <v>内部装修</v>
      </c>
      <c r="AA42" s="1386">
        <f t="shared" si="15"/>
        <v>1</v>
      </c>
      <c r="AB42" s="1386">
        <f t="shared" si="16"/>
        <v>1</v>
      </c>
      <c r="AC42" s="1386">
        <f t="shared" si="17"/>
        <v>1</v>
      </c>
    </row>
    <row r="43" ht="15" spans="1:29">
      <c r="A43" s="1227"/>
      <c r="B43" s="1173" t="s">
        <v>1520</v>
      </c>
      <c r="C43" s="1228"/>
      <c r="D43" s="1185">
        <v>100</v>
      </c>
      <c r="E43" s="1787"/>
      <c r="F43" s="1567">
        <f>SUMIF(124:124,E43,125:125)-SUMIF(124:124,C43,125:125)+100</f>
        <v>100</v>
      </c>
      <c r="G43" s="1228"/>
      <c r="H43" s="1185">
        <f>SUMIF(124:124,G43,125:125)-SUMIF(124:124,C43,125:125)+100</f>
        <v>100</v>
      </c>
      <c r="I43" s="1787"/>
      <c r="J43" s="1185">
        <f>SUMIF(124:124,I43,125:125)-SUMIF(124:124,C43,125:125)+100</f>
        <v>100</v>
      </c>
      <c r="K43" s="1801"/>
      <c r="L43" s="1320"/>
      <c r="M43" s="1304"/>
      <c r="N43" s="1304"/>
      <c r="O43" s="1304"/>
      <c r="P43" s="1740"/>
      <c r="Q43" s="699" t="str">
        <f t="shared" si="11"/>
        <v>内部装修维护情况</v>
      </c>
      <c r="R43" s="1370" t="s">
        <v>1490</v>
      </c>
      <c r="S43" s="1371">
        <f t="shared" si="12"/>
        <v>100</v>
      </c>
      <c r="T43" s="1370" t="s">
        <v>1490</v>
      </c>
      <c r="U43" s="1371">
        <f t="shared" si="13"/>
        <v>100</v>
      </c>
      <c r="V43" s="1370" t="s">
        <v>1490</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7">
        <v>111</v>
      </c>
      <c r="C44" s="1561"/>
      <c r="D44" s="1175">
        <v>100</v>
      </c>
      <c r="E44" s="1561"/>
      <c r="F44" s="1560">
        <f>SUMIF(126:126,E44,127:127)-SUMIF(126:126,C44,127:127)+100</f>
        <v>100</v>
      </c>
      <c r="G44" s="1561"/>
      <c r="H44" s="1175">
        <f>SUMIF(126:126,G44,127:127)-SUMIF(126:126,C44,127:127)+100</f>
        <v>100</v>
      </c>
      <c r="I44" s="1561"/>
      <c r="J44" s="1175">
        <f>SUMIF(126:126,I44,127:127)-SUMIF(126:126,C44,127:127)+100</f>
        <v>100</v>
      </c>
      <c r="K44" s="1802"/>
      <c r="L44" s="1309"/>
      <c r="M44" s="1310"/>
      <c r="N44" s="1310"/>
      <c r="O44" s="1310"/>
      <c r="P44" s="1740"/>
      <c r="Q44" s="1369">
        <f t="shared" si="11"/>
        <v>111</v>
      </c>
      <c r="R44" s="1365" t="s">
        <v>1490</v>
      </c>
      <c r="S44" s="1366">
        <f t="shared" si="12"/>
        <v>100</v>
      </c>
      <c r="T44" s="1365" t="s">
        <v>1490</v>
      </c>
      <c r="U44" s="1366">
        <f t="shared" si="13"/>
        <v>100</v>
      </c>
      <c r="V44" s="1365" t="s">
        <v>1490</v>
      </c>
      <c r="W44" s="1366">
        <f t="shared" si="14"/>
        <v>100</v>
      </c>
      <c r="X44" s="1367"/>
      <c r="Y44" s="1332"/>
      <c r="Z44" s="1385">
        <f t="shared" si="18"/>
        <v>111</v>
      </c>
      <c r="AA44" s="1384">
        <f t="shared" si="15"/>
        <v>1</v>
      </c>
      <c r="AB44" s="1384">
        <f t="shared" si="16"/>
        <v>1</v>
      </c>
      <c r="AC44" s="1384">
        <f t="shared" si="17"/>
        <v>1</v>
      </c>
    </row>
    <row r="45" ht="15" spans="1:29">
      <c r="A45" s="1227"/>
      <c r="B45" s="1517">
        <v>111</v>
      </c>
      <c r="C45" s="1184"/>
      <c r="D45" s="1185">
        <v>100</v>
      </c>
      <c r="E45" s="1184"/>
      <c r="F45" s="1567">
        <f>SUMIF(128:128,E45,129:129)-SUMIF(128:128,C45,129:129)+100</f>
        <v>100</v>
      </c>
      <c r="G45" s="1184"/>
      <c r="H45" s="1185">
        <f>SUMIF(128:128,G45,129:129)-SUMIF(128:128,C45,129:129)+100</f>
        <v>100</v>
      </c>
      <c r="I45" s="1184"/>
      <c r="J45" s="1185">
        <f>SUMIF(128:128,I45,129:129)-SUMIF(128:128,C45,129:129)+100</f>
        <v>100</v>
      </c>
      <c r="K45" s="1802"/>
      <c r="L45" s="1320"/>
      <c r="M45" s="1304"/>
      <c r="N45" s="1304"/>
      <c r="O45" s="1304"/>
      <c r="P45" s="1740"/>
      <c r="Q45" s="699">
        <f t="shared" si="11"/>
        <v>111</v>
      </c>
      <c r="R45" s="1370" t="s">
        <v>1490</v>
      </c>
      <c r="S45" s="1371">
        <f t="shared" si="12"/>
        <v>100</v>
      </c>
      <c r="T45" s="1370" t="s">
        <v>1490</v>
      </c>
      <c r="U45" s="1371">
        <f t="shared" si="13"/>
        <v>100</v>
      </c>
      <c r="V45" s="1370" t="s">
        <v>1490</v>
      </c>
      <c r="W45" s="1371">
        <f t="shared" si="14"/>
        <v>100</v>
      </c>
      <c r="X45" s="1357"/>
      <c r="Y45" s="1332"/>
      <c r="Z45" s="1344">
        <f t="shared" si="18"/>
        <v>111</v>
      </c>
      <c r="AA45" s="1386">
        <f t="shared" si="15"/>
        <v>1</v>
      </c>
      <c r="AB45" s="1386">
        <f t="shared" si="16"/>
        <v>1</v>
      </c>
      <c r="AC45" s="1386">
        <f t="shared" si="17"/>
        <v>1</v>
      </c>
    </row>
    <row r="46" ht="15.75" spans="1:29">
      <c r="A46" s="1579"/>
      <c r="B46" s="1187">
        <v>111</v>
      </c>
      <c r="C46" s="1188"/>
      <c r="D46" s="1189">
        <v>100</v>
      </c>
      <c r="E46" s="1188"/>
      <c r="F46" s="1580">
        <f>SUMIF(130:130,E46,131:131)-SUMIF(130:130,C46,131:131)+100</f>
        <v>100</v>
      </c>
      <c r="G46" s="1188"/>
      <c r="H46" s="1189">
        <f>SUMIF(130:130,G46,131:131)-SUMIF(130:130,C46,131:131)+100</f>
        <v>100</v>
      </c>
      <c r="I46" s="1188"/>
      <c r="J46" s="1189">
        <f>SUMIF(130:130,I46,131:131)-SUMIF(130:130,C46,131:131)+100</f>
        <v>100</v>
      </c>
      <c r="K46" s="1802"/>
      <c r="L46" s="1320"/>
      <c r="M46" s="1304"/>
      <c r="N46" s="1304"/>
      <c r="O46" s="1304"/>
      <c r="P46" s="1741"/>
      <c r="Q46" s="699">
        <f t="shared" si="11"/>
        <v>111</v>
      </c>
      <c r="R46" s="1370" t="s">
        <v>1490</v>
      </c>
      <c r="S46" s="1371">
        <f t="shared" si="12"/>
        <v>100</v>
      </c>
      <c r="T46" s="1370" t="s">
        <v>1490</v>
      </c>
      <c r="U46" s="1371">
        <f t="shared" si="13"/>
        <v>100</v>
      </c>
      <c r="V46" s="1370" t="s">
        <v>1490</v>
      </c>
      <c r="W46" s="1371">
        <f t="shared" si="14"/>
        <v>100</v>
      </c>
      <c r="X46" s="1357"/>
      <c r="Y46" s="1697"/>
      <c r="Z46" s="1344">
        <f t="shared" si="18"/>
        <v>111</v>
      </c>
      <c r="AA46" s="1386">
        <f t="shared" si="15"/>
        <v>1</v>
      </c>
      <c r="AB46" s="1386">
        <f t="shared" si="16"/>
        <v>1</v>
      </c>
      <c r="AC46" s="1386">
        <f t="shared" si="17"/>
        <v>1</v>
      </c>
    </row>
    <row r="47" ht="15" spans="1:29">
      <c r="A47" s="1234" t="s">
        <v>1521</v>
      </c>
      <c r="B47" s="1581"/>
      <c r="C47" s="1582" t="s">
        <v>124</v>
      </c>
      <c r="D47" s="1583"/>
      <c r="E47" s="1584"/>
      <c r="F47" s="1585"/>
      <c r="G47" s="1586"/>
      <c r="H47" s="1587"/>
      <c r="I47" s="1584"/>
      <c r="J47" s="1587"/>
      <c r="K47" s="1806"/>
      <c r="L47" s="1336"/>
      <c r="M47" s="1251"/>
      <c r="N47" s="1304"/>
      <c r="O47" s="1251"/>
      <c r="P47" s="699" t="str">
        <f>A47</f>
        <v>成交单价（元/平方米）</v>
      </c>
      <c r="Q47" s="699"/>
      <c r="R47" s="1386">
        <f>E47</f>
        <v>0</v>
      </c>
      <c r="S47" s="1386"/>
      <c r="T47" s="1386">
        <f>G47</f>
        <v>0</v>
      </c>
      <c r="U47" s="1386"/>
      <c r="V47" s="1386">
        <f>I47</f>
        <v>0</v>
      </c>
      <c r="W47" s="1386"/>
      <c r="X47" s="1292"/>
      <c r="Y47" s="1388"/>
      <c r="Z47" s="1292"/>
      <c r="AA47" s="1292"/>
      <c r="AB47" s="1292"/>
      <c r="AC47" s="1292"/>
    </row>
    <row r="48" ht="15.75" spans="1:29">
      <c r="A48" s="1242" t="s">
        <v>1522</v>
      </c>
      <c r="B48" s="1588"/>
      <c r="C48" s="1589" t="e">
        <f>R49</f>
        <v>#DIV/0!</v>
      </c>
      <c r="D48" s="1245" t="s">
        <v>1523</v>
      </c>
      <c r="E48" s="1590" t="e">
        <f>R48</f>
        <v>#DIV/0!</v>
      </c>
      <c r="F48" s="1246"/>
      <c r="G48" s="1589" t="e">
        <f>T48</f>
        <v>#DIV/0!</v>
      </c>
      <c r="H48" s="1246"/>
      <c r="I48" s="1590" t="e">
        <f>V48</f>
        <v>#DIV/0!</v>
      </c>
      <c r="J48" s="1246"/>
      <c r="K48" s="1807">
        <f>F48+H48+J48</f>
        <v>0</v>
      </c>
      <c r="L48" s="1336"/>
      <c r="M48" s="1251"/>
      <c r="N48" s="1251"/>
      <c r="O48" s="1251"/>
      <c r="P48" s="699" t="str">
        <f>A48</f>
        <v>比较价值（元/平方米）</v>
      </c>
      <c r="Q48" s="69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1524</v>
      </c>
      <c r="B49" s="1249"/>
      <c r="C49" s="1790" t="e">
        <f>R49</f>
        <v>#DIV/0!</v>
      </c>
      <c r="D49" s="1591"/>
      <c r="E49" s="1591"/>
      <c r="F49" s="1591"/>
      <c r="G49" s="1591"/>
      <c r="H49" s="1591"/>
      <c r="I49" s="1591"/>
      <c r="J49" s="1591"/>
      <c r="K49" s="1808"/>
      <c r="L49" s="1336"/>
      <c r="M49" s="1251"/>
      <c r="N49" s="1251"/>
      <c r="O49" s="1251"/>
      <c r="P49" s="1339" t="str">
        <f>A49</f>
        <v>估价对象XX用房的比较价值（楼面单价，元/平方米）</v>
      </c>
      <c r="Q49" s="1376"/>
      <c r="R49" s="1713" t="e">
        <f>IF(F1="售价",ROUND(IF(D48="简单平均",AVERAGE(R48:V48),R48*F48+T48*H48+V48*J48),0),ROUND(IF(D48="简单平均",AVERAGE(R48:V48),R48*F48+T48*H48+V48*J48),1))</f>
        <v>#DIV/0!</v>
      </c>
      <c r="S49" s="1713"/>
      <c r="T49" s="1713"/>
      <c r="U49" s="1713"/>
      <c r="V49" s="1713"/>
      <c r="W49" s="1713"/>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1525</v>
      </c>
      <c r="D52" s="743"/>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1526</v>
      </c>
      <c r="D53" s="742"/>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1527</v>
      </c>
      <c r="D54" s="742"/>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09"/>
    </row>
    <row r="55" s="1126" customFormat="1" spans="1:16">
      <c r="A55" s="1256"/>
      <c r="B55" s="1257"/>
      <c r="C55" s="1592"/>
      <c r="D55" s="1256"/>
      <c r="E55" s="1256"/>
      <c r="F55" s="1256"/>
      <c r="G55" s="1256"/>
      <c r="H55" s="1256"/>
      <c r="I55" s="1256"/>
      <c r="J55" s="1256"/>
      <c r="K55" s="1342"/>
      <c r="L55" s="1343"/>
      <c r="M55" s="1256"/>
      <c r="N55" s="1256"/>
      <c r="O55" s="1256"/>
      <c r="P55" s="1809"/>
    </row>
    <row r="56" spans="1:15">
      <c r="A56" s="1251"/>
      <c r="B56" s="1257"/>
      <c r="C56" s="1592"/>
      <c r="D56" s="1251"/>
      <c r="E56" s="1251"/>
      <c r="F56" s="1251"/>
      <c r="G56" s="1251"/>
      <c r="H56" s="1251"/>
      <c r="I56" s="1251"/>
      <c r="J56" s="1251"/>
      <c r="K56" s="1340"/>
      <c r="L56" s="1341"/>
      <c r="M56" s="1251"/>
      <c r="N56" s="1251"/>
      <c r="O56" s="1251"/>
    </row>
    <row r="57" ht="21" spans="1:17">
      <c r="A57" s="1291" t="s">
        <v>1528</v>
      </c>
      <c r="B57" s="1292"/>
      <c r="C57" s="1293"/>
      <c r="D57" s="1293"/>
      <c r="E57" s="1293"/>
      <c r="F57" s="1294"/>
      <c r="G57" s="1294"/>
      <c r="H57" s="1293"/>
      <c r="I57" s="1293"/>
      <c r="J57" s="1293"/>
      <c r="K57" s="1535"/>
      <c r="L57" s="1536"/>
      <c r="M57" s="1352"/>
      <c r="N57" s="1352"/>
      <c r="O57" s="1352"/>
      <c r="P57" s="1810"/>
      <c r="Q57" s="1703"/>
    </row>
    <row r="58" s="1128" customFormat="1" ht="15" spans="1:16">
      <c r="A58" s="1593" t="s">
        <v>1488</v>
      </c>
      <c r="B58" s="1594"/>
      <c r="C58" s="1791" t="str">
        <f>YEAR(C7)&amp;"-"&amp;MONTH(C7)</f>
        <v>2024-9</v>
      </c>
      <c r="D58" s="1596">
        <f>EDATE(C58,-1)</f>
        <v>45505</v>
      </c>
      <c r="E58" s="1596">
        <f>EDATE(D58,-1)</f>
        <v>45474</v>
      </c>
      <c r="F58" s="1596">
        <f t="shared" ref="F58:O58" si="19">EDATE(E58,-1)</f>
        <v>45444</v>
      </c>
      <c r="G58" s="1596">
        <f t="shared" si="19"/>
        <v>45413</v>
      </c>
      <c r="H58" s="1596">
        <f t="shared" si="19"/>
        <v>45383</v>
      </c>
      <c r="I58" s="1596">
        <f t="shared" si="19"/>
        <v>45352</v>
      </c>
      <c r="J58" s="1596">
        <f t="shared" si="19"/>
        <v>45323</v>
      </c>
      <c r="K58" s="1596">
        <f t="shared" si="19"/>
        <v>45292</v>
      </c>
      <c r="L58" s="1596">
        <f t="shared" si="19"/>
        <v>45261</v>
      </c>
      <c r="M58" s="1596">
        <f t="shared" si="19"/>
        <v>45231</v>
      </c>
      <c r="N58" s="1596">
        <f t="shared" si="19"/>
        <v>45200</v>
      </c>
      <c r="O58" s="1596">
        <f t="shared" si="19"/>
        <v>45170</v>
      </c>
      <c r="P58" s="1811"/>
    </row>
    <row r="59" s="1123" customFormat="1" ht="15" spans="1:16">
      <c r="A59" s="1597"/>
      <c r="B59" s="1792"/>
      <c r="C59" s="1598">
        <v>100</v>
      </c>
      <c r="D59" s="1732"/>
      <c r="E59" s="1404"/>
      <c r="F59" s="1404"/>
      <c r="G59" s="1404"/>
      <c r="H59" s="1404"/>
      <c r="I59" s="1404"/>
      <c r="J59" s="1404"/>
      <c r="K59" s="1404"/>
      <c r="L59" s="1404"/>
      <c r="M59" s="1605"/>
      <c r="N59" s="1404"/>
      <c r="O59" s="1605"/>
      <c r="P59" s="1812"/>
    </row>
    <row r="60" s="1123" customFormat="1" ht="15.75" spans="1:17">
      <c r="A60" s="1395" t="s">
        <v>1529</v>
      </c>
      <c r="B60" s="1396"/>
      <c r="C60" s="1397"/>
      <c r="D60" s="1398"/>
      <c r="E60" s="1398"/>
      <c r="F60" s="1398"/>
      <c r="G60" s="1398"/>
      <c r="H60" s="1398"/>
      <c r="I60" s="1398"/>
      <c r="J60" s="1398"/>
      <c r="K60" s="1398"/>
      <c r="L60" s="1398"/>
      <c r="M60" s="1444"/>
      <c r="N60" s="1398"/>
      <c r="O60" s="1444"/>
      <c r="P60" s="1812"/>
      <c r="Q60" s="1703"/>
    </row>
    <row r="61" s="1123" customFormat="1" ht="15" spans="1:17">
      <c r="A61" s="1399" t="s">
        <v>1491</v>
      </c>
      <c r="B61" s="1400"/>
      <c r="C61" s="1401" t="s">
        <v>1530</v>
      </c>
      <c r="D61" s="1402"/>
      <c r="E61" s="1402"/>
      <c r="F61" s="1402"/>
      <c r="G61" s="1402"/>
      <c r="H61" s="1402"/>
      <c r="I61" s="1402"/>
      <c r="J61" s="1402"/>
      <c r="K61" s="1402"/>
      <c r="L61" s="1446"/>
      <c r="M61" s="1447"/>
      <c r="N61" s="1706"/>
      <c r="O61" s="1706"/>
      <c r="P61" s="1813"/>
      <c r="Q61" s="1703"/>
    </row>
    <row r="62" s="1123" customFormat="1" ht="15.75" spans="1:17">
      <c r="A62" s="1399"/>
      <c r="B62" s="1400"/>
      <c r="C62" s="1732">
        <v>100</v>
      </c>
      <c r="D62" s="1404"/>
      <c r="E62" s="1404"/>
      <c r="F62" s="1404"/>
      <c r="G62" s="1404"/>
      <c r="H62" s="1404"/>
      <c r="I62" s="1404"/>
      <c r="J62" s="1404"/>
      <c r="K62" s="1404"/>
      <c r="L62" s="1404"/>
      <c r="M62" s="1450"/>
      <c r="N62" s="1706"/>
      <c r="O62" s="1706"/>
      <c r="P62" s="1812"/>
      <c r="Q62" s="1703"/>
    </row>
    <row r="63" spans="1:17">
      <c r="A63" s="1405" t="s">
        <v>1531</v>
      </c>
      <c r="B63" s="1406" t="s">
        <v>1494</v>
      </c>
      <c r="C63" s="1428">
        <f>C9</f>
        <v>0</v>
      </c>
      <c r="D63" s="1333"/>
      <c r="E63" s="1333"/>
      <c r="F63" s="1333"/>
      <c r="G63" s="1333"/>
      <c r="H63" s="1333"/>
      <c r="I63" s="1333"/>
      <c r="J63" s="1333"/>
      <c r="K63" s="1451"/>
      <c r="L63" s="1452"/>
      <c r="M63" s="1453"/>
      <c r="N63" s="1708"/>
      <c r="O63" s="1708"/>
      <c r="P63" s="1814"/>
      <c r="Q63" s="1703"/>
    </row>
    <row r="64" ht="15.75" spans="1:17">
      <c r="A64" s="1407"/>
      <c r="B64" s="1408"/>
      <c r="C64" s="1409">
        <v>100</v>
      </c>
      <c r="D64" s="1409"/>
      <c r="E64" s="1409"/>
      <c r="F64" s="1409"/>
      <c r="G64" s="1409"/>
      <c r="H64" s="1409"/>
      <c r="I64" s="1409"/>
      <c r="J64" s="1409"/>
      <c r="K64" s="1409"/>
      <c r="L64" s="1409"/>
      <c r="M64" s="1456"/>
      <c r="N64" s="1710"/>
      <c r="O64" s="1710"/>
      <c r="P64" s="1814"/>
      <c r="Q64" s="1703"/>
    </row>
    <row r="65" ht="27.75" spans="1:17">
      <c r="A65" s="1407"/>
      <c r="B65" s="1410" t="s">
        <v>1497</v>
      </c>
      <c r="C65" s="1435"/>
      <c r="D65" s="1435"/>
      <c r="E65" s="1435"/>
      <c r="F65" s="1435"/>
      <c r="G65" s="1435"/>
      <c r="H65" s="1435"/>
      <c r="I65" s="1435"/>
      <c r="J65" s="1435"/>
      <c r="K65" s="1435"/>
      <c r="L65" s="1435"/>
      <c r="M65" s="1435"/>
      <c r="N65" s="1710"/>
      <c r="O65" s="1710"/>
      <c r="P65" s="1814"/>
      <c r="Q65" s="1703"/>
    </row>
    <row r="66" ht="15.75" spans="1:17">
      <c r="A66" s="1407"/>
      <c r="B66" s="1412"/>
      <c r="C66" s="1409"/>
      <c r="D66" s="1409"/>
      <c r="E66" s="1409"/>
      <c r="F66" s="1409"/>
      <c r="G66" s="1409"/>
      <c r="H66" s="1409"/>
      <c r="I66" s="1409"/>
      <c r="J66" s="1409"/>
      <c r="K66" s="1409"/>
      <c r="L66" s="1409"/>
      <c r="M66" s="1456"/>
      <c r="N66" s="1710"/>
      <c r="O66" s="1710"/>
      <c r="P66" s="1814"/>
      <c r="Q66" s="1703"/>
    </row>
    <row r="67" ht="15.75" spans="1:17">
      <c r="A67" s="1407"/>
      <c r="B67" s="1414" t="s">
        <v>1498</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0"/>
      <c r="O67" s="1710"/>
      <c r="P67" s="1814"/>
      <c r="Q67" s="1703"/>
    </row>
    <row r="68" ht="15" spans="1:17">
      <c r="A68" s="1407"/>
      <c r="B68" s="1416"/>
      <c r="C68" s="1182"/>
      <c r="D68" s="1182"/>
      <c r="E68" s="1182"/>
      <c r="F68" s="1182"/>
      <c r="G68" s="1182"/>
      <c r="H68" s="1182"/>
      <c r="I68" s="1182"/>
      <c r="J68" s="1182"/>
      <c r="K68" s="1462"/>
      <c r="L68" s="1463"/>
      <c r="M68" s="1464"/>
      <c r="N68" s="1708"/>
      <c r="O68" s="1708"/>
      <c r="P68" s="1814"/>
      <c r="Q68" s="1703"/>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1">
        <f t="shared" si="21"/>
        <v>100</v>
      </c>
      <c r="N69" s="1710"/>
      <c r="O69" s="1710"/>
      <c r="P69" s="1814"/>
      <c r="Q69" s="1703"/>
    </row>
    <row r="70" s="1125" customFormat="1" ht="15.75" spans="1:17">
      <c r="A70" s="1417"/>
      <c r="B70" s="1410">
        <f>B12</f>
        <v>111</v>
      </c>
      <c r="C70" s="1418"/>
      <c r="D70" s="1418"/>
      <c r="E70" s="1418"/>
      <c r="F70" s="1418"/>
      <c r="G70" s="1418"/>
      <c r="H70" s="1419"/>
      <c r="I70" s="1419"/>
      <c r="J70" s="1419"/>
      <c r="K70" s="1419"/>
      <c r="L70" s="1465"/>
      <c r="M70" s="1466"/>
      <c r="N70" s="1711"/>
      <c r="O70" s="1711"/>
      <c r="P70" s="1818"/>
      <c r="Q70" s="1714"/>
    </row>
    <row r="71" s="1125" customFormat="1" ht="15.75" spans="1:17">
      <c r="A71" s="1417"/>
      <c r="B71" s="1412"/>
      <c r="C71" s="1420"/>
      <c r="D71" s="1409"/>
      <c r="E71" s="1409"/>
      <c r="F71" s="1409"/>
      <c r="G71" s="1409"/>
      <c r="H71" s="1409"/>
      <c r="I71" s="1409"/>
      <c r="J71" s="1409"/>
      <c r="K71" s="1409"/>
      <c r="L71" s="1409"/>
      <c r="M71" s="1456"/>
      <c r="N71" s="1710"/>
      <c r="O71" s="1710"/>
      <c r="P71" s="1818"/>
      <c r="Q71" s="1714"/>
    </row>
    <row r="72" s="1125" customFormat="1" ht="15.75" spans="1:17">
      <c r="A72" s="1417"/>
      <c r="B72" s="1410">
        <f>B13</f>
        <v>111</v>
      </c>
      <c r="C72" s="1418"/>
      <c r="D72" s="1418"/>
      <c r="E72" s="1418"/>
      <c r="F72" s="1418"/>
      <c r="G72" s="1418"/>
      <c r="H72" s="1419"/>
      <c r="I72" s="1419"/>
      <c r="J72" s="1419"/>
      <c r="K72" s="1419"/>
      <c r="L72" s="1465"/>
      <c r="M72" s="1466"/>
      <c r="N72" s="1711"/>
      <c r="O72" s="1711"/>
      <c r="P72" s="1819"/>
      <c r="Q72" s="1720"/>
    </row>
    <row r="73" s="1125" customFormat="1" ht="15.75" spans="1:17">
      <c r="A73" s="1417"/>
      <c r="B73" s="1412"/>
      <c r="C73" s="1420"/>
      <c r="D73" s="1420"/>
      <c r="E73" s="1420"/>
      <c r="F73" s="1420"/>
      <c r="G73" s="1420"/>
      <c r="H73" s="1421"/>
      <c r="I73" s="1421"/>
      <c r="J73" s="1421"/>
      <c r="K73" s="1421"/>
      <c r="L73" s="1421"/>
      <c r="M73" s="1469"/>
      <c r="N73" s="1711"/>
      <c r="O73" s="1711"/>
      <c r="P73" s="1818"/>
      <c r="Q73" s="1714"/>
    </row>
    <row r="74" s="1125" customFormat="1" ht="15.75" spans="1:17">
      <c r="A74" s="1417"/>
      <c r="B74" s="1414">
        <f>B14</f>
        <v>111</v>
      </c>
      <c r="C74" s="1418"/>
      <c r="D74" s="1418"/>
      <c r="E74" s="1418"/>
      <c r="F74" s="1418"/>
      <c r="G74" s="1402"/>
      <c r="H74" s="1422"/>
      <c r="I74" s="1422"/>
      <c r="J74" s="1422"/>
      <c r="K74" s="1422"/>
      <c r="L74" s="1470"/>
      <c r="M74" s="1471"/>
      <c r="N74" s="1711"/>
      <c r="O74" s="1711"/>
      <c r="P74" s="1820"/>
      <c r="Q74" s="1714"/>
    </row>
    <row r="75" s="1125" customFormat="1" ht="15.75" spans="1:17">
      <c r="A75" s="1423"/>
      <c r="B75" s="1424"/>
      <c r="C75" s="1425"/>
      <c r="D75" s="1425"/>
      <c r="E75" s="1425"/>
      <c r="F75" s="1425"/>
      <c r="G75" s="1425"/>
      <c r="H75" s="1426"/>
      <c r="I75" s="1426"/>
      <c r="J75" s="1426"/>
      <c r="K75" s="1426"/>
      <c r="L75" s="1426"/>
      <c r="M75" s="1473"/>
      <c r="N75" s="1711"/>
      <c r="O75" s="1711"/>
      <c r="P75" s="1818"/>
      <c r="Q75" s="1714"/>
    </row>
    <row r="76" spans="1:17">
      <c r="A76" s="1405" t="s">
        <v>1499</v>
      </c>
      <c r="B76" s="1406" t="s">
        <v>1500</v>
      </c>
      <c r="C76" s="1427" t="s">
        <v>1532</v>
      </c>
      <c r="D76" s="1427" t="s">
        <v>1533</v>
      </c>
      <c r="E76" s="1427" t="s">
        <v>1534</v>
      </c>
      <c r="F76" s="1427" t="s">
        <v>1535</v>
      </c>
      <c r="G76" s="1427" t="s">
        <v>1536</v>
      </c>
      <c r="H76" s="1428"/>
      <c r="I76" s="1428"/>
      <c r="J76" s="1428"/>
      <c r="K76" s="1474"/>
      <c r="L76" s="1475"/>
      <c r="M76" s="1476"/>
      <c r="N76" s="1708"/>
      <c r="O76" s="1708"/>
      <c r="P76" s="1821"/>
      <c r="Q76" s="1703"/>
    </row>
    <row r="77" ht="15.75" spans="1:17">
      <c r="A77" s="1407"/>
      <c r="B77" s="1412"/>
      <c r="C77" s="1413">
        <v>100</v>
      </c>
      <c r="D77" s="1413">
        <f>C77-$K15</f>
        <v>100</v>
      </c>
      <c r="E77" s="1413">
        <f>D77-$K15</f>
        <v>100</v>
      </c>
      <c r="F77" s="1413">
        <f>E77-$K15</f>
        <v>100</v>
      </c>
      <c r="G77" s="1413">
        <f>F77-$K15</f>
        <v>100</v>
      </c>
      <c r="H77" s="1413"/>
      <c r="I77" s="1413"/>
      <c r="J77" s="1413"/>
      <c r="K77" s="1413"/>
      <c r="L77" s="1413"/>
      <c r="M77" s="1461"/>
      <c r="N77" s="1710"/>
      <c r="O77" s="1710"/>
      <c r="P77" s="1814"/>
      <c r="Q77" s="1703"/>
    </row>
    <row r="78" ht="15.75" spans="1:17">
      <c r="A78" s="1407"/>
      <c r="B78" s="1410" t="s">
        <v>1502</v>
      </c>
      <c r="C78" s="1429" t="s">
        <v>1532</v>
      </c>
      <c r="D78" s="1429" t="s">
        <v>1533</v>
      </c>
      <c r="E78" s="1429" t="s">
        <v>1534</v>
      </c>
      <c r="F78" s="1429" t="s">
        <v>1535</v>
      </c>
      <c r="G78" s="1429" t="s">
        <v>1536</v>
      </c>
      <c r="H78" s="1411"/>
      <c r="I78" s="1411"/>
      <c r="J78" s="1411"/>
      <c r="K78" s="1458"/>
      <c r="L78" s="1459"/>
      <c r="M78" s="1460"/>
      <c r="N78" s="1708"/>
      <c r="O78" s="1708"/>
      <c r="P78" s="1814"/>
      <c r="Q78" s="1703"/>
    </row>
    <row r="79" ht="15.75" spans="1:17">
      <c r="A79" s="1407"/>
      <c r="B79" s="1412"/>
      <c r="C79" s="1413">
        <v>100</v>
      </c>
      <c r="D79" s="1413">
        <f>C79-$K17</f>
        <v>100</v>
      </c>
      <c r="E79" s="1413">
        <f>D79-$K17</f>
        <v>100</v>
      </c>
      <c r="F79" s="1413">
        <f>E79-$K17</f>
        <v>100</v>
      </c>
      <c r="G79" s="1413">
        <f>F79-$K17</f>
        <v>100</v>
      </c>
      <c r="H79" s="1413"/>
      <c r="I79" s="1413"/>
      <c r="J79" s="1413"/>
      <c r="K79" s="1413"/>
      <c r="L79" s="1413"/>
      <c r="M79" s="1461"/>
      <c r="N79" s="1710"/>
      <c r="O79" s="1710"/>
      <c r="P79" s="1814"/>
      <c r="Q79" s="1703"/>
    </row>
    <row r="80" ht="15.75" spans="1:17">
      <c r="A80" s="1407"/>
      <c r="B80" s="1410" t="s">
        <v>1503</v>
      </c>
      <c r="C80" s="1429" t="s">
        <v>1532</v>
      </c>
      <c r="D80" s="1429" t="s">
        <v>1533</v>
      </c>
      <c r="E80" s="1429" t="s">
        <v>1534</v>
      </c>
      <c r="F80" s="1429" t="s">
        <v>1535</v>
      </c>
      <c r="G80" s="1429" t="s">
        <v>1536</v>
      </c>
      <c r="H80" s="1411"/>
      <c r="I80" s="1411"/>
      <c r="J80" s="1411"/>
      <c r="K80" s="1458"/>
      <c r="L80" s="1459"/>
      <c r="M80" s="1460"/>
      <c r="N80" s="1708"/>
      <c r="O80" s="1708"/>
      <c r="P80" s="1814"/>
      <c r="Q80" s="1703"/>
    </row>
    <row r="81" ht="15.75" spans="1:17">
      <c r="A81" s="1407"/>
      <c r="B81" s="1412"/>
      <c r="C81" s="1413">
        <v>100</v>
      </c>
      <c r="D81" s="1413">
        <f>C81-$K19</f>
        <v>100</v>
      </c>
      <c r="E81" s="1413">
        <f>D81-$K19</f>
        <v>100</v>
      </c>
      <c r="F81" s="1413">
        <f>E81-$K19</f>
        <v>100</v>
      </c>
      <c r="G81" s="1413">
        <f>F81-$K19</f>
        <v>100</v>
      </c>
      <c r="H81" s="1413"/>
      <c r="I81" s="1413"/>
      <c r="J81" s="1413"/>
      <c r="K81" s="1413"/>
      <c r="L81" s="1413"/>
      <c r="M81" s="1461"/>
      <c r="N81" s="1710"/>
      <c r="O81" s="1710"/>
      <c r="P81" s="1814"/>
      <c r="Q81" s="1703"/>
    </row>
    <row r="82" ht="15.75" spans="1:17">
      <c r="A82" s="1407"/>
      <c r="B82" s="1414" t="s">
        <v>1504</v>
      </c>
      <c r="C82" s="1411" t="s">
        <v>1537</v>
      </c>
      <c r="D82" s="1411" t="s">
        <v>1538</v>
      </c>
      <c r="E82" s="1411" t="s">
        <v>1539</v>
      </c>
      <c r="F82" s="1411" t="s">
        <v>1540</v>
      </c>
      <c r="G82" s="1411" t="s">
        <v>1541</v>
      </c>
      <c r="H82" s="1411"/>
      <c r="I82" s="1411"/>
      <c r="J82" s="1411"/>
      <c r="K82" s="1411"/>
      <c r="L82" s="1411"/>
      <c r="M82" s="1611"/>
      <c r="N82" s="1710"/>
      <c r="O82" s="1710"/>
      <c r="P82" s="1814"/>
      <c r="Q82" s="1703"/>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0"/>
      <c r="O83" s="1710"/>
      <c r="P83" s="1814"/>
      <c r="Q83" s="1703"/>
    </row>
    <row r="84" ht="15.75" spans="1:17">
      <c r="A84" s="1407"/>
      <c r="B84" s="1410" t="s">
        <v>1505</v>
      </c>
      <c r="C84" s="1429" t="s">
        <v>1532</v>
      </c>
      <c r="D84" s="1429" t="s">
        <v>1533</v>
      </c>
      <c r="E84" s="1429" t="s">
        <v>1534</v>
      </c>
      <c r="F84" s="1429" t="s">
        <v>1535</v>
      </c>
      <c r="G84" s="1429" t="s">
        <v>1536</v>
      </c>
      <c r="H84" s="1411"/>
      <c r="I84" s="1411"/>
      <c r="J84" s="1411"/>
      <c r="K84" s="1458"/>
      <c r="L84" s="1459"/>
      <c r="M84" s="1460"/>
      <c r="N84" s="1708"/>
      <c r="O84" s="1708"/>
      <c r="P84" s="1814"/>
      <c r="Q84" s="1703"/>
    </row>
    <row r="85" ht="15.75" spans="1:17">
      <c r="A85" s="1407"/>
      <c r="B85" s="1412"/>
      <c r="C85" s="1413">
        <v>100</v>
      </c>
      <c r="D85" s="1413">
        <f>C85-$K23</f>
        <v>100</v>
      </c>
      <c r="E85" s="1413">
        <f>D85-$K23</f>
        <v>100</v>
      </c>
      <c r="F85" s="1413">
        <f>E85-$K23</f>
        <v>100</v>
      </c>
      <c r="G85" s="1413">
        <f>F85-$K23</f>
        <v>100</v>
      </c>
      <c r="H85" s="1413"/>
      <c r="I85" s="1413"/>
      <c r="J85" s="1413"/>
      <c r="K85" s="1413"/>
      <c r="L85" s="1413"/>
      <c r="M85" s="1461"/>
      <c r="N85" s="1710"/>
      <c r="O85" s="1710"/>
      <c r="P85" s="1814"/>
      <c r="Q85" s="1703"/>
    </row>
    <row r="86" s="1123" customFormat="1" ht="15.75" spans="1:17">
      <c r="A86" s="1430"/>
      <c r="B86" s="1410" t="s">
        <v>1506</v>
      </c>
      <c r="C86" s="1418"/>
      <c r="D86" s="1418"/>
      <c r="E86" s="1418"/>
      <c r="F86" s="1418"/>
      <c r="G86" s="1418"/>
      <c r="H86" s="1418"/>
      <c r="I86" s="1418"/>
      <c r="J86" s="1418"/>
      <c r="K86" s="1418"/>
      <c r="L86" s="1612"/>
      <c r="M86" s="1613"/>
      <c r="N86" s="1706"/>
      <c r="O86" s="1706"/>
      <c r="P86" s="1814"/>
      <c r="Q86" s="1703"/>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0"/>
      <c r="O87" s="1710"/>
      <c r="P87" s="1814"/>
      <c r="Q87" s="1703"/>
    </row>
    <row r="88" s="1123" customFormat="1" ht="15.75" spans="1:17">
      <c r="A88" s="1430"/>
      <c r="B88" s="1410" t="s">
        <v>1507</v>
      </c>
      <c r="C88" s="1418"/>
      <c r="D88" s="1418"/>
      <c r="E88" s="1418"/>
      <c r="F88" s="1755"/>
      <c r="G88" s="1418"/>
      <c r="H88" s="1418"/>
      <c r="I88" s="1418"/>
      <c r="J88" s="1418"/>
      <c r="K88" s="1418"/>
      <c r="L88" s="1418"/>
      <c r="M88" s="1613"/>
      <c r="N88" s="1706"/>
      <c r="O88" s="1706"/>
      <c r="P88" s="1814"/>
      <c r="Q88" s="1703"/>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0"/>
      <c r="O89" s="1710"/>
      <c r="P89" s="1814"/>
      <c r="Q89" s="1703"/>
    </row>
    <row r="90" s="1125" customFormat="1" ht="15.75" spans="1:17">
      <c r="A90" s="1417"/>
      <c r="B90" s="1410">
        <f>B27</f>
        <v>111</v>
      </c>
      <c r="C90" s="1418"/>
      <c r="D90" s="1418"/>
      <c r="E90" s="1418"/>
      <c r="F90" s="1418"/>
      <c r="G90" s="1418"/>
      <c r="H90" s="1419"/>
      <c r="I90" s="1419"/>
      <c r="J90" s="1419"/>
      <c r="K90" s="1419"/>
      <c r="L90" s="1465"/>
      <c r="M90" s="1466"/>
      <c r="N90" s="1711"/>
      <c r="O90" s="1711"/>
      <c r="P90" s="1818"/>
      <c r="Q90" s="1714"/>
    </row>
    <row r="91" s="1125" customFormat="1" ht="15.75" spans="1:17">
      <c r="A91" s="1417"/>
      <c r="B91" s="1412"/>
      <c r="C91" s="1420"/>
      <c r="D91" s="1420"/>
      <c r="E91" s="1420"/>
      <c r="F91" s="1420"/>
      <c r="G91" s="1420"/>
      <c r="H91" s="1421"/>
      <c r="I91" s="1421"/>
      <c r="J91" s="1421"/>
      <c r="K91" s="1421"/>
      <c r="L91" s="1421"/>
      <c r="M91" s="1469"/>
      <c r="N91" s="1711"/>
      <c r="O91" s="1711"/>
      <c r="P91" s="1818"/>
      <c r="Q91" s="1714"/>
    </row>
    <row r="92" ht="15.75" spans="1:17">
      <c r="A92" s="1407"/>
      <c r="B92" s="1410">
        <f>B28</f>
        <v>111</v>
      </c>
      <c r="C92" s="1418"/>
      <c r="D92" s="1418"/>
      <c r="E92" s="1418"/>
      <c r="F92" s="1418"/>
      <c r="G92" s="1435"/>
      <c r="H92" s="1435"/>
      <c r="I92" s="1435"/>
      <c r="J92" s="1435"/>
      <c r="K92" s="1484"/>
      <c r="L92" s="1485"/>
      <c r="M92" s="1486"/>
      <c r="N92" s="1708"/>
      <c r="O92" s="1708"/>
      <c r="P92" s="1814"/>
      <c r="Q92" s="1703"/>
    </row>
    <row r="93" ht="15.75" spans="1:17">
      <c r="A93" s="1407"/>
      <c r="B93" s="1412"/>
      <c r="C93" s="1420"/>
      <c r="D93" s="1409"/>
      <c r="E93" s="1409"/>
      <c r="F93" s="1409"/>
      <c r="G93" s="1409"/>
      <c r="H93" s="1409"/>
      <c r="I93" s="1409"/>
      <c r="J93" s="1409"/>
      <c r="K93" s="1409"/>
      <c r="L93" s="1409"/>
      <c r="M93" s="1456"/>
      <c r="N93" s="1710"/>
      <c r="O93" s="1710"/>
      <c r="P93" s="1814"/>
      <c r="Q93" s="1703"/>
    </row>
    <row r="94" ht="15.75" spans="1:17">
      <c r="A94" s="1407"/>
      <c r="B94" s="1410">
        <f>B29</f>
        <v>111</v>
      </c>
      <c r="C94" s="1418"/>
      <c r="D94" s="1418"/>
      <c r="E94" s="1418"/>
      <c r="F94" s="1418"/>
      <c r="G94" s="1435"/>
      <c r="H94" s="1435"/>
      <c r="I94" s="1435"/>
      <c r="J94" s="1435"/>
      <c r="K94" s="1484"/>
      <c r="L94" s="1485"/>
      <c r="M94" s="1486"/>
      <c r="N94" s="1708"/>
      <c r="O94" s="1708"/>
      <c r="P94" s="1814"/>
      <c r="Q94" s="1703"/>
    </row>
    <row r="95" ht="15.75" spans="1:17">
      <c r="A95" s="1407"/>
      <c r="B95" s="1412"/>
      <c r="C95" s="1420"/>
      <c r="D95" s="1420"/>
      <c r="E95" s="1420"/>
      <c r="F95" s="1420"/>
      <c r="G95" s="1409"/>
      <c r="H95" s="1409"/>
      <c r="I95" s="1409"/>
      <c r="J95" s="1409"/>
      <c r="K95" s="1409"/>
      <c r="L95" s="1409"/>
      <c r="M95" s="1456"/>
      <c r="N95" s="1710"/>
      <c r="O95" s="1710"/>
      <c r="P95" s="1814"/>
      <c r="Q95" s="1703"/>
    </row>
    <row r="96" ht="15.75" spans="1:17">
      <c r="A96" s="1407"/>
      <c r="B96" s="1410">
        <f>B30</f>
        <v>111</v>
      </c>
      <c r="C96" s="1418"/>
      <c r="D96" s="1418"/>
      <c r="E96" s="1418"/>
      <c r="F96" s="1418"/>
      <c r="G96" s="1435"/>
      <c r="H96" s="1435"/>
      <c r="I96" s="1435"/>
      <c r="J96" s="1435"/>
      <c r="K96" s="1484"/>
      <c r="L96" s="1485"/>
      <c r="M96" s="1486"/>
      <c r="N96" s="1708"/>
      <c r="O96" s="1708"/>
      <c r="P96" s="1814"/>
      <c r="Q96" s="1703"/>
    </row>
    <row r="97" ht="15.75" spans="1:17">
      <c r="A97" s="1407"/>
      <c r="B97" s="1412"/>
      <c r="C97" s="1425"/>
      <c r="D97" s="1425"/>
      <c r="E97" s="1425"/>
      <c r="F97" s="1425"/>
      <c r="G97" s="1409"/>
      <c r="H97" s="1409"/>
      <c r="I97" s="1409"/>
      <c r="J97" s="1409"/>
      <c r="K97" s="1409"/>
      <c r="L97" s="1409"/>
      <c r="M97" s="1456"/>
      <c r="N97" s="1710"/>
      <c r="O97" s="1710"/>
      <c r="P97" s="1814"/>
      <c r="Q97" s="1703"/>
    </row>
    <row r="98" ht="15.75" spans="1:17">
      <c r="A98" s="1407"/>
      <c r="B98" s="1414">
        <f>B31</f>
        <v>111</v>
      </c>
      <c r="C98" s="1436"/>
      <c r="D98" s="1436"/>
      <c r="E98" s="1436"/>
      <c r="F98" s="1436"/>
      <c r="G98" s="1436"/>
      <c r="H98" s="1436"/>
      <c r="I98" s="1436"/>
      <c r="J98" s="1436"/>
      <c r="K98" s="1487"/>
      <c r="L98" s="1488"/>
      <c r="M98" s="1489"/>
      <c r="N98" s="1708"/>
      <c r="O98" s="1708"/>
      <c r="P98" s="1814"/>
      <c r="Q98" s="1703"/>
    </row>
    <row r="99" ht="15.75" spans="1:17">
      <c r="A99" s="1715"/>
      <c r="B99" s="1424"/>
      <c r="C99" s="1437"/>
      <c r="D99" s="1437"/>
      <c r="E99" s="1437"/>
      <c r="F99" s="1437"/>
      <c r="G99" s="1437"/>
      <c r="H99" s="1437"/>
      <c r="I99" s="1437"/>
      <c r="J99" s="1437"/>
      <c r="K99" s="1437"/>
      <c r="L99" s="1437"/>
      <c r="M99" s="1490"/>
      <c r="N99" s="1710"/>
      <c r="O99" s="1710"/>
      <c r="P99" s="1814"/>
      <c r="Q99" s="1703"/>
    </row>
    <row r="100" spans="1:17">
      <c r="A100" s="1405" t="s">
        <v>1508</v>
      </c>
      <c r="B100" s="1406" t="s">
        <v>1509</v>
      </c>
      <c r="C100" s="1333"/>
      <c r="D100" s="1333"/>
      <c r="E100" s="1333"/>
      <c r="F100" s="1333"/>
      <c r="G100" s="1333"/>
      <c r="H100" s="1333"/>
      <c r="I100" s="1333"/>
      <c r="J100" s="1333"/>
      <c r="K100" s="1451"/>
      <c r="L100" s="1452"/>
      <c r="M100" s="1453"/>
      <c r="N100" s="1708"/>
      <c r="O100" s="1708"/>
      <c r="P100" s="1814"/>
      <c r="Q100" s="1703"/>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0"/>
      <c r="O101" s="1710"/>
      <c r="P101" s="1814"/>
      <c r="Q101" s="1703"/>
    </row>
    <row r="102" ht="15.75" spans="1:17">
      <c r="A102" s="1407"/>
      <c r="B102" s="1410" t="s">
        <v>1511</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6"/>
      <c r="O102" s="1706"/>
      <c r="P102" s="1814"/>
      <c r="Q102" s="1703"/>
    </row>
    <row r="103" s="1125" customFormat="1" ht="15" spans="1:17">
      <c r="A103" s="1438"/>
      <c r="B103" s="1439"/>
      <c r="C103" s="1394"/>
      <c r="D103" s="1394"/>
      <c r="E103" s="1394"/>
      <c r="F103" s="1394"/>
      <c r="G103" s="1394"/>
      <c r="H103" s="1394"/>
      <c r="I103" s="1394"/>
      <c r="J103" s="1491"/>
      <c r="K103" s="1491"/>
      <c r="L103" s="1492"/>
      <c r="M103" s="1493"/>
      <c r="N103" s="1711"/>
      <c r="O103" s="1711"/>
      <c r="P103" s="1818"/>
      <c r="Q103" s="1714"/>
    </row>
    <row r="104" s="1125" customFormat="1" ht="15.75" spans="1:17">
      <c r="A104" s="1417"/>
      <c r="B104" s="1412"/>
      <c r="C104" s="1420"/>
      <c r="D104" s="1409"/>
      <c r="E104" s="1409"/>
      <c r="F104" s="1409"/>
      <c r="G104" s="1409"/>
      <c r="H104" s="1409"/>
      <c r="I104" s="1409"/>
      <c r="J104" s="1409"/>
      <c r="K104" s="1409"/>
      <c r="L104" s="1409"/>
      <c r="M104" s="1409"/>
      <c r="N104" s="1710"/>
      <c r="O104" s="1710"/>
      <c r="P104" s="1818"/>
      <c r="Q104" s="1714"/>
    </row>
    <row r="105" ht="15.75" spans="1:17">
      <c r="A105" s="1441"/>
      <c r="B105" s="1410" t="s">
        <v>1512</v>
      </c>
      <c r="C105" s="1418"/>
      <c r="D105" s="1418"/>
      <c r="E105" s="1435"/>
      <c r="F105" s="1435"/>
      <c r="G105" s="1435"/>
      <c r="H105" s="1435"/>
      <c r="I105" s="1435"/>
      <c r="J105" s="1435"/>
      <c r="K105" s="1484"/>
      <c r="L105" s="1485"/>
      <c r="M105" s="1486"/>
      <c r="N105" s="1708"/>
      <c r="O105" s="1708"/>
      <c r="P105" s="1814"/>
      <c r="Q105" s="1703"/>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0"/>
      <c r="O106" s="1710"/>
      <c r="P106" s="1814"/>
      <c r="Q106" s="1703"/>
    </row>
    <row r="107" ht="15.75" spans="1:17">
      <c r="A107" s="1441"/>
      <c r="B107" s="1410" t="s">
        <v>1513</v>
      </c>
      <c r="C107" s="1435"/>
      <c r="D107" s="1435"/>
      <c r="E107" s="1435"/>
      <c r="F107" s="1435"/>
      <c r="G107" s="1435"/>
      <c r="H107" s="1435"/>
      <c r="I107" s="1435"/>
      <c r="J107" s="1435"/>
      <c r="K107" s="1484"/>
      <c r="L107" s="1485"/>
      <c r="M107" s="1486"/>
      <c r="N107" s="1708"/>
      <c r="O107" s="1708"/>
      <c r="P107" s="1814"/>
      <c r="Q107" s="1703"/>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0"/>
      <c r="O108" s="1710"/>
      <c r="P108" s="1814"/>
      <c r="Q108" s="1703"/>
    </row>
    <row r="109" ht="15.75" spans="1:17">
      <c r="A109" s="1441"/>
      <c r="B109" s="1410" t="s">
        <v>1514</v>
      </c>
      <c r="C109" s="1418"/>
      <c r="D109" s="1418"/>
      <c r="E109" s="1418"/>
      <c r="F109" s="1435"/>
      <c r="G109" s="1435"/>
      <c r="H109" s="1435"/>
      <c r="I109" s="1435"/>
      <c r="J109" s="1435"/>
      <c r="K109" s="1484"/>
      <c r="L109" s="1485"/>
      <c r="M109" s="1486"/>
      <c r="N109" s="1708"/>
      <c r="O109" s="1708"/>
      <c r="P109" s="1814"/>
      <c r="Q109" s="1703"/>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0"/>
      <c r="O110" s="1710"/>
      <c r="P110" s="1814"/>
      <c r="Q110" s="1703"/>
    </row>
    <row r="111" s="1125" customFormat="1" ht="15.75" spans="1:17">
      <c r="A111" s="1438"/>
      <c r="B111" s="1410" t="s">
        <v>634</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0"/>
      <c r="M111" s="1481"/>
      <c r="N111" s="1711"/>
      <c r="O111" s="1711"/>
      <c r="P111" s="1818"/>
      <c r="Q111" s="1714"/>
    </row>
    <row r="112" s="1125" customFormat="1" ht="15" spans="1:17">
      <c r="A112" s="1438"/>
      <c r="B112" s="1414"/>
      <c r="C112" s="878">
        <v>0.5</v>
      </c>
      <c r="D112" s="878">
        <v>0.6</v>
      </c>
      <c r="E112" s="878">
        <v>0.7</v>
      </c>
      <c r="F112" s="878">
        <v>0.8</v>
      </c>
      <c r="G112" s="878">
        <v>0.9</v>
      </c>
      <c r="H112" s="878">
        <v>1.0001</v>
      </c>
      <c r="I112" s="878"/>
      <c r="J112" s="1822"/>
      <c r="K112" s="1822"/>
      <c r="L112" s="1823"/>
      <c r="M112" s="1824"/>
      <c r="N112" s="1711"/>
      <c r="O112" s="1711"/>
      <c r="P112" s="1818"/>
      <c r="Q112" s="1714"/>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2"/>
      <c r="N113" s="1711"/>
      <c r="O113" s="1711"/>
      <c r="P113" s="1818"/>
      <c r="Q113" s="1714"/>
    </row>
    <row r="114" ht="15.75" spans="1:17">
      <c r="A114" s="1441"/>
      <c r="B114" s="1410" t="s">
        <v>1515</v>
      </c>
      <c r="C114" s="1418"/>
      <c r="D114" s="1418"/>
      <c r="E114" s="1435"/>
      <c r="F114" s="1435"/>
      <c r="G114" s="1435"/>
      <c r="H114" s="1435"/>
      <c r="I114" s="1435"/>
      <c r="J114" s="1435"/>
      <c r="K114" s="1484"/>
      <c r="L114" s="1485"/>
      <c r="M114" s="1486"/>
      <c r="N114" s="1708"/>
      <c r="O114" s="1708"/>
      <c r="P114" s="1814"/>
      <c r="Q114" s="1703"/>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0"/>
      <c r="O115" s="1710"/>
      <c r="P115" s="1814"/>
      <c r="Q115" s="1703"/>
    </row>
    <row r="116" ht="15.75" spans="1:17">
      <c r="A116" s="1441"/>
      <c r="B116" s="1410" t="s">
        <v>1516</v>
      </c>
      <c r="C116" s="1418"/>
      <c r="D116" s="1418"/>
      <c r="E116" s="1418"/>
      <c r="F116" s="1418"/>
      <c r="G116" s="1418"/>
      <c r="H116" s="1435"/>
      <c r="I116" s="1435"/>
      <c r="J116" s="1435"/>
      <c r="K116" s="1484"/>
      <c r="L116" s="1485"/>
      <c r="M116" s="1486"/>
      <c r="N116" s="1708"/>
      <c r="O116" s="1708"/>
      <c r="P116" s="1814"/>
      <c r="Q116" s="1703"/>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1"/>
      <c r="N117" s="1710"/>
      <c r="O117" s="1710"/>
      <c r="P117" s="1814"/>
      <c r="Q117" s="1703"/>
    </row>
    <row r="118" ht="15.75" spans="1:17">
      <c r="A118" s="1441"/>
      <c r="B118" s="1410" t="s">
        <v>1517</v>
      </c>
      <c r="C118" s="1435"/>
      <c r="D118" s="1435"/>
      <c r="E118" s="1435"/>
      <c r="F118" s="1435"/>
      <c r="G118" s="1435"/>
      <c r="H118" s="1435"/>
      <c r="I118" s="1435"/>
      <c r="J118" s="1435"/>
      <c r="K118" s="1484"/>
      <c r="L118" s="1485"/>
      <c r="M118" s="1486"/>
      <c r="N118" s="1708"/>
      <c r="O118" s="1708"/>
      <c r="P118" s="1814"/>
      <c r="Q118" s="1703"/>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0"/>
      <c r="O119" s="1710"/>
      <c r="P119" s="1814"/>
      <c r="Q119" s="1703"/>
    </row>
    <row r="120" s="1125" customFormat="1" ht="28.5" spans="1:17">
      <c r="A120" s="1438"/>
      <c r="B120" s="1410" t="s">
        <v>1518</v>
      </c>
      <c r="C120" s="1418"/>
      <c r="D120" s="1418"/>
      <c r="E120" s="1418"/>
      <c r="F120" s="1418"/>
      <c r="G120" s="1418"/>
      <c r="H120" s="1418"/>
      <c r="I120" s="1418"/>
      <c r="J120" s="1418"/>
      <c r="K120" s="1418"/>
      <c r="L120" s="1612"/>
      <c r="M120" s="1613"/>
      <c r="N120" s="1711"/>
      <c r="O120" s="1711"/>
      <c r="P120" s="1818"/>
      <c r="Q120" s="1714"/>
    </row>
    <row r="121" s="1125" customFormat="1" ht="15.75" spans="1:17">
      <c r="A121" s="1417"/>
      <c r="B121" s="1408"/>
      <c r="C121" s="1420"/>
      <c r="D121" s="1409"/>
      <c r="E121" s="1409"/>
      <c r="F121" s="1409"/>
      <c r="G121" s="1409"/>
      <c r="H121" s="1409"/>
      <c r="I121" s="1409"/>
      <c r="J121" s="1409"/>
      <c r="K121" s="1409"/>
      <c r="L121" s="1409"/>
      <c r="M121" s="1409"/>
      <c r="N121" s="1711"/>
      <c r="O121" s="1711"/>
      <c r="P121" s="1818"/>
      <c r="Q121" s="1714"/>
    </row>
    <row r="122" ht="15.75" spans="1:17">
      <c r="A122" s="1441"/>
      <c r="B122" s="1410" t="s">
        <v>1519</v>
      </c>
      <c r="C122" s="1418"/>
      <c r="D122" s="1418"/>
      <c r="E122" s="1418"/>
      <c r="F122" s="1435"/>
      <c r="G122" s="1435"/>
      <c r="H122" s="1435"/>
      <c r="I122" s="1435"/>
      <c r="J122" s="1435"/>
      <c r="K122" s="1484"/>
      <c r="L122" s="1485"/>
      <c r="M122" s="1486"/>
      <c r="N122" s="1708"/>
      <c r="O122" s="1708"/>
      <c r="P122" s="1814"/>
      <c r="Q122" s="1703"/>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0"/>
      <c r="O123" s="1710"/>
      <c r="P123" s="1814"/>
      <c r="Q123" s="1703"/>
    </row>
    <row r="124" ht="15.75" spans="1:17">
      <c r="A124" s="1441"/>
      <c r="B124" s="1410" t="s">
        <v>1520</v>
      </c>
      <c r="C124" s="1429" t="s">
        <v>1532</v>
      </c>
      <c r="D124" s="1429" t="s">
        <v>1533</v>
      </c>
      <c r="E124" s="1429" t="s">
        <v>1534</v>
      </c>
      <c r="F124" s="1429" t="s">
        <v>1535</v>
      </c>
      <c r="G124" s="1429" t="s">
        <v>1536</v>
      </c>
      <c r="H124" s="1411"/>
      <c r="I124" s="1411"/>
      <c r="J124" s="1411"/>
      <c r="K124" s="1458"/>
      <c r="L124" s="1459"/>
      <c r="M124" s="1460"/>
      <c r="N124" s="1708"/>
      <c r="O124" s="1708"/>
      <c r="P124" s="1818"/>
      <c r="Q124" s="1703"/>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1"/>
      <c r="N125" s="1710"/>
      <c r="O125" s="1710"/>
      <c r="P125" s="1814"/>
      <c r="Q125" s="1703"/>
    </row>
    <row r="126" s="1125" customFormat="1" ht="15.75" spans="1:17">
      <c r="A126" s="1438"/>
      <c r="B126" s="1410">
        <f>B44</f>
        <v>111</v>
      </c>
      <c r="C126" s="1418"/>
      <c r="D126" s="1418"/>
      <c r="E126" s="1418"/>
      <c r="F126" s="1418"/>
      <c r="G126" s="1418"/>
      <c r="H126" s="1419"/>
      <c r="I126" s="1419"/>
      <c r="J126" s="1419"/>
      <c r="K126" s="1419"/>
      <c r="L126" s="1465"/>
      <c r="M126" s="1466"/>
      <c r="N126" s="1711"/>
      <c r="O126" s="1711"/>
      <c r="P126" s="1818"/>
      <c r="Q126" s="1714"/>
    </row>
    <row r="127" s="1125" customFormat="1" ht="15.75" spans="1:17">
      <c r="A127" s="1417"/>
      <c r="B127" s="1412"/>
      <c r="C127" s="1420"/>
      <c r="D127" s="1409"/>
      <c r="E127" s="1409"/>
      <c r="F127" s="1409"/>
      <c r="G127" s="1420"/>
      <c r="H127" s="1421"/>
      <c r="I127" s="1421"/>
      <c r="J127" s="1421"/>
      <c r="K127" s="1421"/>
      <c r="L127" s="1421"/>
      <c r="M127" s="1469"/>
      <c r="N127" s="1711"/>
      <c r="O127" s="1711"/>
      <c r="P127" s="1818"/>
      <c r="Q127" s="1714"/>
    </row>
    <row r="128" ht="15.75" spans="1:17">
      <c r="A128" s="1441"/>
      <c r="B128" s="1410">
        <f>B45</f>
        <v>111</v>
      </c>
      <c r="C128" s="1418"/>
      <c r="D128" s="1418"/>
      <c r="E128" s="1418"/>
      <c r="F128" s="1418"/>
      <c r="G128" s="1435"/>
      <c r="H128" s="1435"/>
      <c r="I128" s="1435"/>
      <c r="J128" s="1435"/>
      <c r="K128" s="1484"/>
      <c r="L128" s="1485"/>
      <c r="M128" s="1486"/>
      <c r="N128" s="1708"/>
      <c r="O128" s="1708"/>
      <c r="P128" s="1814"/>
      <c r="Q128" s="1703"/>
    </row>
    <row r="129" ht="15.75" spans="1:17">
      <c r="A129" s="1407"/>
      <c r="B129" s="1412"/>
      <c r="C129" s="1420"/>
      <c r="D129" s="1420"/>
      <c r="E129" s="1420"/>
      <c r="F129" s="1420"/>
      <c r="G129" s="1409"/>
      <c r="H129" s="1409"/>
      <c r="I129" s="1409"/>
      <c r="J129" s="1409"/>
      <c r="K129" s="1409"/>
      <c r="L129" s="1409"/>
      <c r="M129" s="1456"/>
      <c r="N129" s="1710"/>
      <c r="O129" s="1710"/>
      <c r="P129" s="1814"/>
      <c r="Q129" s="1703"/>
    </row>
    <row r="130" ht="15.75" spans="1:17">
      <c r="A130" s="1441"/>
      <c r="B130" s="1414">
        <f>B46</f>
        <v>111</v>
      </c>
      <c r="C130" s="1418"/>
      <c r="D130" s="1418"/>
      <c r="E130" s="1418"/>
      <c r="F130" s="1418"/>
      <c r="G130" s="1436"/>
      <c r="H130" s="1436"/>
      <c r="I130" s="1436"/>
      <c r="J130" s="1436"/>
      <c r="K130" s="1402"/>
      <c r="L130" s="1446"/>
      <c r="M130" s="1489"/>
      <c r="N130" s="1708"/>
      <c r="O130" s="1708"/>
      <c r="P130" s="1814"/>
      <c r="Q130" s="1703"/>
    </row>
    <row r="131" ht="15.75" spans="1:17">
      <c r="A131" s="1715"/>
      <c r="B131" s="1424"/>
      <c r="C131" s="1425"/>
      <c r="D131" s="1425"/>
      <c r="E131" s="1425"/>
      <c r="F131" s="1425"/>
      <c r="G131" s="1437"/>
      <c r="H131" s="1437"/>
      <c r="I131" s="1437"/>
      <c r="J131" s="1437"/>
      <c r="K131" s="1437"/>
      <c r="L131" s="1437"/>
      <c r="M131" s="1490"/>
      <c r="N131" s="1710"/>
      <c r="O131" s="1710"/>
      <c r="P131" s="1814"/>
      <c r="Q131" s="1703"/>
    </row>
    <row r="136" ht="15" spans="2:2">
      <c r="B136" s="1825" t="s">
        <v>1542</v>
      </c>
    </row>
    <row r="137" ht="15" spans="2:11">
      <c r="B137" s="1826" t="s">
        <v>1543</v>
      </c>
      <c r="C137" s="1827"/>
      <c r="D137" s="1827"/>
      <c r="E137" s="1827"/>
      <c r="F137" s="1827"/>
      <c r="G137" s="1828"/>
      <c r="H137" s="1829"/>
      <c r="I137" s="1852" t="s">
        <v>1544</v>
      </c>
      <c r="J137" s="1827"/>
      <c r="K137" s="1853"/>
    </row>
    <row r="138" ht="15" spans="2:11">
      <c r="B138" s="1830"/>
      <c r="C138" s="1831" t="s">
        <v>1545</v>
      </c>
      <c r="D138" s="1831" t="s">
        <v>1546</v>
      </c>
      <c r="E138" s="1832" t="s">
        <v>1547</v>
      </c>
      <c r="F138" s="1833" t="s">
        <v>1548</v>
      </c>
      <c r="G138" s="1831" t="s">
        <v>1546</v>
      </c>
      <c r="H138" s="1834" t="s">
        <v>1547</v>
      </c>
      <c r="I138" s="1854"/>
      <c r="J138" s="1831" t="s">
        <v>1549</v>
      </c>
      <c r="K138" s="1834" t="s">
        <v>1550</v>
      </c>
    </row>
    <row r="139" ht="15" spans="2:11">
      <c r="B139" s="1835">
        <v>6</v>
      </c>
      <c r="C139" s="1836">
        <v>96</v>
      </c>
      <c r="D139" s="1837" t="s">
        <v>1551</v>
      </c>
      <c r="E139" s="1838">
        <v>100</v>
      </c>
      <c r="F139" s="1839">
        <v>102.5</v>
      </c>
      <c r="G139" s="1837" t="s">
        <v>1551</v>
      </c>
      <c r="H139" s="1840">
        <v>105</v>
      </c>
      <c r="I139" s="1855" t="s">
        <v>1552</v>
      </c>
      <c r="J139" s="1836">
        <v>20</v>
      </c>
      <c r="K139" s="1856">
        <f>C145/(J139-2)</f>
        <v>0.00405555555555556</v>
      </c>
    </row>
    <row r="140" ht="15" spans="2:11">
      <c r="B140" s="1841">
        <v>5</v>
      </c>
      <c r="C140" s="1842">
        <v>100</v>
      </c>
      <c r="D140" s="1842"/>
      <c r="E140" s="1843"/>
      <c r="F140" s="1844">
        <v>102</v>
      </c>
      <c r="G140" s="1842"/>
      <c r="H140" s="1845"/>
      <c r="I140" s="1857" t="s">
        <v>1553</v>
      </c>
      <c r="J140" s="473">
        <f>ROUNDUP((J139-1)/2,0)</f>
        <v>10</v>
      </c>
      <c r="K140" s="1858">
        <v>100</v>
      </c>
    </row>
    <row r="141" ht="15" spans="2:11">
      <c r="B141" s="1841">
        <v>4</v>
      </c>
      <c r="C141" s="1842">
        <v>102</v>
      </c>
      <c r="D141" s="1842"/>
      <c r="E141" s="1843"/>
      <c r="F141" s="1844">
        <v>101.5</v>
      </c>
      <c r="G141" s="1842"/>
      <c r="H141" s="1845"/>
      <c r="I141" s="1857" t="s">
        <v>1554</v>
      </c>
      <c r="J141" s="473">
        <v>1</v>
      </c>
      <c r="K141" s="1859">
        <f>ROUND(100+(J141-J140)*K139*100,1)</f>
        <v>96.4</v>
      </c>
    </row>
    <row r="142" ht="15" spans="2:11">
      <c r="B142" s="1841">
        <v>3</v>
      </c>
      <c r="C142" s="1842">
        <v>103</v>
      </c>
      <c r="D142" s="1842"/>
      <c r="E142" s="1843"/>
      <c r="F142" s="1844">
        <v>101</v>
      </c>
      <c r="G142" s="1842"/>
      <c r="H142" s="1845"/>
      <c r="I142" s="1857" t="s">
        <v>1555</v>
      </c>
      <c r="J142" s="473">
        <f>J139</f>
        <v>20</v>
      </c>
      <c r="K142" s="1860">
        <v>95</v>
      </c>
    </row>
    <row r="143" ht="15" spans="2:11">
      <c r="B143" s="1841">
        <v>2</v>
      </c>
      <c r="C143" s="1842">
        <v>100</v>
      </c>
      <c r="D143" s="1842"/>
      <c r="E143" s="1843"/>
      <c r="F143" s="1844">
        <v>100.5</v>
      </c>
      <c r="G143" s="1842"/>
      <c r="H143" s="1845"/>
      <c r="I143" s="1857" t="s">
        <v>1556</v>
      </c>
      <c r="J143" s="1842">
        <v>15</v>
      </c>
      <c r="K143" s="1859">
        <f>ROUND(100+(J143-J140)*K139*100,1)</f>
        <v>102</v>
      </c>
    </row>
    <row r="144" ht="15" spans="2:11">
      <c r="B144" s="1841">
        <v>1</v>
      </c>
      <c r="C144" s="1842">
        <v>98</v>
      </c>
      <c r="D144" s="1846" t="s">
        <v>1557</v>
      </c>
      <c r="E144" s="1843">
        <v>102</v>
      </c>
      <c r="F144" s="1847">
        <v>100</v>
      </c>
      <c r="G144" s="1846" t="s">
        <v>1557</v>
      </c>
      <c r="H144" s="1845">
        <v>105</v>
      </c>
      <c r="I144" s="1857" t="s">
        <v>1556</v>
      </c>
      <c r="J144" s="1842">
        <v>18</v>
      </c>
      <c r="K144" s="1859">
        <f>ROUND(100+(J144-J140)*K139*100,1)</f>
        <v>103.2</v>
      </c>
    </row>
    <row r="145" ht="15.75" spans="2:11">
      <c r="B145" s="1848" t="s">
        <v>1558</v>
      </c>
      <c r="C145" s="1849">
        <f>ROUND(MAX(C139:C144)/MIN(C139:C144)-1,3)</f>
        <v>0.073</v>
      </c>
      <c r="D145" s="1850"/>
      <c r="E145" s="1850"/>
      <c r="F145" s="1851" t="s">
        <v>1559</v>
      </c>
      <c r="G145" s="1749"/>
      <c r="H145" s="1754"/>
      <c r="I145" s="1861" t="s">
        <v>1556</v>
      </c>
      <c r="J145" s="1862">
        <v>8</v>
      </c>
      <c r="K145" s="1863">
        <f>ROUND(100+(J145-J140)*K139*100,1)</f>
        <v>99.2</v>
      </c>
    </row>
    <row r="147" spans="2:2">
      <c r="B147" s="1825" t="s">
        <v>1560</v>
      </c>
    </row>
    <row r="148" spans="2:2">
      <c r="B148" s="1825" t="s">
        <v>1561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J47" sqref="J47:J49"/>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5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0" customFormat="1" ht="28.5" customHeight="1" spans="1:29">
      <c r="A1" s="1541" t="s">
        <v>1470</v>
      </c>
      <c r="B1" s="1760" t="s">
        <v>1562</v>
      </c>
      <c r="C1" s="1601" t="s">
        <v>1472</v>
      </c>
      <c r="D1" s="1544"/>
      <c r="E1" s="1761"/>
      <c r="F1" s="1546"/>
      <c r="G1" s="1547" t="s">
        <v>1473</v>
      </c>
      <c r="H1" s="1548"/>
      <c r="I1" s="1548"/>
      <c r="J1" s="1548"/>
      <c r="K1" s="1599"/>
      <c r="L1" s="1600"/>
      <c r="M1" s="1601"/>
      <c r="N1" s="1601"/>
      <c r="O1" s="1601"/>
      <c r="P1" s="1766"/>
      <c r="Q1" s="1775"/>
      <c r="R1" s="1775"/>
      <c r="S1" s="1775"/>
      <c r="T1" s="1775"/>
      <c r="U1" s="1775"/>
      <c r="V1" s="1775"/>
      <c r="W1" s="1775"/>
      <c r="X1" s="1775"/>
      <c r="Y1" s="1775"/>
      <c r="Z1" s="1775"/>
      <c r="AA1" s="1775"/>
      <c r="AB1" s="1775"/>
      <c r="AC1" s="1776"/>
    </row>
    <row r="2" s="1122" customFormat="1" ht="28.5" customHeight="1" spans="1:29">
      <c r="A2" s="1549" t="s">
        <v>987</v>
      </c>
      <c r="B2" s="1550" t="b">
        <f ca="1">IF(E1="项目模式",IF(C2="——",ROUND(C49*D3/10000,0),ROUND(C49*D3/10000,0)-D2),IF(E1="单套模式",IF(C2="——",ROUND(C49*D3/10000,4),ROUND(C49*D3/10000,4)-D2)))</f>
        <v>0</v>
      </c>
      <c r="C2" s="1551"/>
      <c r="D2" s="1722" t="e">
        <f ca="1">IF(E1="项目模式",SUMIF(INDIRECT("'"&amp;F2&amp;"'"&amp;"!A:A"),"承租人权益价值",INDIRECT("'"&amp;F2&amp;"'"&amp;"!c:c")),SUMIF(INDIRECT("'"&amp;F2&amp;"'"&amp;"!A:A"),"承租人权益价值（单套）",INDIRECT("'"&amp;F2&amp;"'"&amp;"!c:c")))</f>
        <v>#REF!</v>
      </c>
      <c r="E2" s="1552" t="s">
        <v>988</v>
      </c>
      <c r="F2" s="1553"/>
      <c r="G2" s="1138"/>
      <c r="H2" s="1138"/>
      <c r="I2" s="1138"/>
      <c r="J2" s="1138"/>
      <c r="K2" s="1138"/>
      <c r="L2" s="1300"/>
      <c r="M2" s="1301"/>
      <c r="N2" s="1301"/>
      <c r="O2" s="1301"/>
      <c r="P2" s="1767"/>
      <c r="Q2" s="1683"/>
      <c r="R2" s="1683"/>
      <c r="S2" s="1683"/>
      <c r="T2" s="1683"/>
      <c r="U2" s="1683"/>
      <c r="V2" s="1683"/>
      <c r="W2" s="1683"/>
      <c r="X2" s="1683"/>
      <c r="Y2" s="1683"/>
      <c r="Z2" s="1683"/>
      <c r="AA2" s="1683"/>
      <c r="AB2" s="1683"/>
      <c r="AC2" s="1777"/>
    </row>
    <row r="3" s="1122" customFormat="1" ht="28.5" customHeight="1" spans="1:29">
      <c r="A3" s="396" t="s">
        <v>989</v>
      </c>
      <c r="B3" s="1140">
        <f ca="1">IF(C2="——",C49,ROUND(B2*10000/D3,0))</f>
        <v>0</v>
      </c>
      <c r="C3" s="1554" t="s">
        <v>1474</v>
      </c>
      <c r="D3" s="1555">
        <f>IF(D1="",'数据-汇总表'!E3,SUMIF('数据-汇总表'!$C19:$C33,D1,'数据-汇总表'!$E19:$E33))</f>
        <v>23244.54</v>
      </c>
      <c r="E3" s="1723"/>
      <c r="F3" s="1139"/>
      <c r="G3" s="1138"/>
      <c r="H3" s="1138"/>
      <c r="I3" s="1138"/>
      <c r="J3" s="1138"/>
      <c r="K3" s="1299"/>
      <c r="L3" s="1300"/>
      <c r="M3" s="1301"/>
      <c r="N3" s="1301"/>
      <c r="O3" s="1301"/>
      <c r="P3" s="1767"/>
      <c r="Q3" s="1683"/>
      <c r="R3" s="1683"/>
      <c r="S3" s="1683"/>
      <c r="T3" s="1683"/>
      <c r="U3" s="1683"/>
      <c r="V3" s="1683"/>
      <c r="W3" s="1683"/>
      <c r="X3" s="1683"/>
      <c r="Y3" s="1683"/>
      <c r="Z3" s="1683"/>
      <c r="AA3" s="1683"/>
      <c r="AB3" s="1683"/>
      <c r="AC3" s="1723"/>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44"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3" t="s">
        <v>1486</v>
      </c>
      <c r="D6" s="1504"/>
      <c r="E6" s="1505" t="s">
        <v>1486</v>
      </c>
      <c r="F6" s="1506"/>
      <c r="G6" s="1503" t="s">
        <v>1486</v>
      </c>
      <c r="H6" s="1504"/>
      <c r="I6" s="1503" t="s">
        <v>1486</v>
      </c>
      <c r="J6" s="1504"/>
      <c r="K6" s="1302" t="s">
        <v>1487</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1488</v>
      </c>
      <c r="B7" s="1161"/>
      <c r="C7" s="1162">
        <f>'数据-取费表'!B2</f>
        <v>45539</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46" si="3">D8/F8</f>
        <v>1</v>
      </c>
      <c r="AB8" s="1384">
        <f t="shared" ref="AB8:AB46" si="4">D8/H8</f>
        <v>1</v>
      </c>
      <c r="AC8" s="1384">
        <f t="shared" ref="AC8:AC46" si="5">D8/J8</f>
        <v>1</v>
      </c>
    </row>
    <row r="9" s="1123" customFormat="1" spans="1:29">
      <c r="A9" s="1168" t="s">
        <v>1493</v>
      </c>
      <c r="B9" s="1169" t="s">
        <v>1494</v>
      </c>
      <c r="C9" s="1556"/>
      <c r="D9" s="1171">
        <v>100</v>
      </c>
      <c r="E9" s="1626"/>
      <c r="F9" s="1558">
        <f>SUMIF(63:63,E9,64:64)-SUMIF(63:63,C9,64:64)+100</f>
        <v>100</v>
      </c>
      <c r="G9" s="1626"/>
      <c r="H9" s="1171">
        <f>SUMIF(63:63,G9,64:64)-SUMIF(63:63,C9,64:64)+100</f>
        <v>100</v>
      </c>
      <c r="I9" s="1626"/>
      <c r="J9" s="1171">
        <f>SUMIF(63:63,I9,64:64)-SUMIF(63:63,C9,64:64)+100</f>
        <v>100</v>
      </c>
      <c r="K9" s="1308"/>
      <c r="L9" s="1309"/>
      <c r="M9" s="1310"/>
      <c r="N9" s="1310"/>
      <c r="O9" s="1310"/>
      <c r="P9" s="1271"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559"/>
      <c r="D10" s="1175">
        <v>100</v>
      </c>
      <c r="E10" s="1629"/>
      <c r="F10" s="1560">
        <f>SUMIF(65:65,E10,66:66)-SUMIF(65:65,C10,66:66)+100</f>
        <v>100</v>
      </c>
      <c r="G10" s="1559"/>
      <c r="H10" s="1175">
        <f>SUMIF(65:65,G10,66:66)-SUMIF(65:65,C10,66:66)+100</f>
        <v>100</v>
      </c>
      <c r="I10" s="1559"/>
      <c r="J10" s="1175">
        <f>SUMIF(65:65,I10,66:66)-SUMIF(65:65,C10,66:66)+100</f>
        <v>100</v>
      </c>
      <c r="K10" s="1308"/>
      <c r="L10" s="1314"/>
      <c r="M10" s="1315"/>
      <c r="N10" s="1315"/>
      <c r="O10" s="1315"/>
      <c r="P10" s="1271"/>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1498</v>
      </c>
      <c r="C11" s="1177"/>
      <c r="D11" s="1175">
        <v>100</v>
      </c>
      <c r="E11" s="1178"/>
      <c r="F11" s="1560"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1490</v>
      </c>
      <c r="S11" s="1366" t="e">
        <f t="shared" si="0"/>
        <v>#N/A</v>
      </c>
      <c r="T11" s="1365" t="s">
        <v>1490</v>
      </c>
      <c r="U11" s="1366" t="e">
        <f t="shared" si="1"/>
        <v>#N/A</v>
      </c>
      <c r="V11" s="1365" t="s">
        <v>1490</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0">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0">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0">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68.25" spans="1:29">
      <c r="A15" s="1190" t="s">
        <v>1499</v>
      </c>
      <c r="B15" s="1509" t="s">
        <v>1563</v>
      </c>
      <c r="C15" s="1510" t="str">
        <f>估价对象房地状况!C4</f>
        <v>估价对象位于XX商圈，周边商业氛围成熟，人流量大，商业繁华度好</v>
      </c>
      <c r="D15" s="1193">
        <v>100</v>
      </c>
      <c r="E15" s="1194"/>
      <c r="F15" s="1563">
        <f>SUMIF(76:76,E16,77:77)-SUMIF(76:76,C16,77:77)+100</f>
        <v>100</v>
      </c>
      <c r="G15" s="1321"/>
      <c r="H15" s="1193">
        <f>SUMIF(76:76,G16,77:77)-SUMIF(76:76,C16,77:77)+100</f>
        <v>100</v>
      </c>
      <c r="I15" s="1194"/>
      <c r="J15" s="1193">
        <f>SUMIF(76:76,I16,77:77)-SUMIF(76:76,C16,77:77)+100</f>
        <v>100</v>
      </c>
      <c r="K15" s="1602"/>
      <c r="L15" s="1320"/>
      <c r="M15" s="1304"/>
      <c r="N15" s="1304"/>
      <c r="O15" s="1304"/>
      <c r="P15" s="1737" t="s">
        <v>1501</v>
      </c>
      <c r="Q15" s="699" t="str">
        <f t="shared" si="6"/>
        <v>商业繁华度</v>
      </c>
      <c r="R15" s="1370" t="s">
        <v>1490</v>
      </c>
      <c r="S15" s="1371">
        <f t="shared" si="0"/>
        <v>100</v>
      </c>
      <c r="T15" s="1370" t="s">
        <v>1490</v>
      </c>
      <c r="U15" s="1371">
        <f t="shared" si="1"/>
        <v>100</v>
      </c>
      <c r="V15" s="1370" t="s">
        <v>1490</v>
      </c>
      <c r="W15" s="1371">
        <f t="shared" si="2"/>
        <v>100</v>
      </c>
      <c r="X15" s="1357"/>
      <c r="Y15" s="1322" t="s">
        <v>1501</v>
      </c>
      <c r="Z15" s="1344" t="str">
        <f t="shared" si="7"/>
        <v>商业繁华度</v>
      </c>
      <c r="AA15" s="1386">
        <f t="shared" si="3"/>
        <v>1</v>
      </c>
      <c r="AB15" s="1386">
        <f t="shared" si="4"/>
        <v>1</v>
      </c>
      <c r="AC15" s="1386">
        <f t="shared" si="5"/>
        <v>1</v>
      </c>
    </row>
    <row r="16" ht="15" spans="1:29">
      <c r="A16" s="1176"/>
      <c r="B16" s="1511"/>
      <c r="C16" s="1196"/>
      <c r="D16" s="1197"/>
      <c r="E16" s="1196"/>
      <c r="F16" s="1564"/>
      <c r="G16" s="1196"/>
      <c r="H16" s="1199"/>
      <c r="I16" s="1196"/>
      <c r="J16" s="1197"/>
      <c r="K16" s="1603"/>
      <c r="L16" s="1320"/>
      <c r="M16" s="1304"/>
      <c r="N16" s="1304"/>
      <c r="O16" s="1304"/>
      <c r="P16" s="1738"/>
      <c r="Q16" s="699"/>
      <c r="R16" s="1370"/>
      <c r="S16" s="1371"/>
      <c r="T16" s="1370"/>
      <c r="U16" s="1371"/>
      <c r="V16" s="1370"/>
      <c r="W16" s="1371"/>
      <c r="X16" s="1357"/>
      <c r="Y16" s="1323"/>
      <c r="Z16" s="1344"/>
      <c r="AA16" s="1386">
        <v>1</v>
      </c>
      <c r="AB16" s="1386">
        <v>1</v>
      </c>
      <c r="AC16" s="1386">
        <v>1</v>
      </c>
    </row>
    <row r="17" ht="81" spans="1:29">
      <c r="A17" s="1176"/>
      <c r="B17" s="1512" t="s">
        <v>1502</v>
      </c>
      <c r="C17" s="1201" t="str">
        <f>估价对象房地状况!C6</f>
        <v>估价对象周边道路状况、公共交通通达情况、停车便捷程度，综合评价交通便捷度较好</v>
      </c>
      <c r="D17" s="1199">
        <v>100</v>
      </c>
      <c r="E17" s="1202"/>
      <c r="F17" s="1566">
        <f>SUMIF(78:78,E18,79:79)-SUMIF(78:78,C18,79:79)+100</f>
        <v>100</v>
      </c>
      <c r="G17" s="1324"/>
      <c r="H17" s="1203">
        <f>SUMIF(78:78,G18,79:79)-SUMIF(78:78,C18,79:79)+100</f>
        <v>100</v>
      </c>
      <c r="I17" s="1202"/>
      <c r="J17" s="1203">
        <f>SUMIF(78:78,I18,79:79)-SUMIF(78:78,C18,79:79)+100</f>
        <v>100</v>
      </c>
      <c r="K17" s="1602"/>
      <c r="L17" s="1320"/>
      <c r="M17" s="1304"/>
      <c r="N17" s="1304"/>
      <c r="O17" s="1304"/>
      <c r="P17" s="1738"/>
      <c r="Q17" s="699"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24"/>
      <c r="C18" s="1513"/>
      <c r="D18" s="1199"/>
      <c r="E18" s="1514"/>
      <c r="F18" s="1566"/>
      <c r="G18" s="1522"/>
      <c r="H18" s="1197"/>
      <c r="I18" s="1514"/>
      <c r="J18" s="1197"/>
      <c r="K18" s="1603"/>
      <c r="L18" s="1320"/>
      <c r="M18" s="1304"/>
      <c r="N18" s="1304"/>
      <c r="O18" s="1304"/>
      <c r="P18" s="1738"/>
      <c r="Q18" s="699"/>
      <c r="R18" s="1370"/>
      <c r="S18" s="1371"/>
      <c r="T18" s="1370"/>
      <c r="U18" s="1371"/>
      <c r="V18" s="1370"/>
      <c r="W18" s="1371"/>
      <c r="X18" s="1357"/>
      <c r="Y18" s="1323"/>
      <c r="Z18" s="1344"/>
      <c r="AA18" s="1386">
        <v>1</v>
      </c>
      <c r="AB18" s="1386">
        <v>1</v>
      </c>
      <c r="AC18" s="1386">
        <v>1</v>
      </c>
    </row>
    <row r="19" ht="40.5" spans="1:29">
      <c r="A19" s="1176"/>
      <c r="B19" s="1512" t="s">
        <v>1503</v>
      </c>
      <c r="C19" s="1201" t="str">
        <f>估价对象房地状况!C7</f>
        <v>估价对象所在区域公共配套设施齐备情况</v>
      </c>
      <c r="D19" s="1203">
        <v>100</v>
      </c>
      <c r="E19" s="1515"/>
      <c r="F19" s="1565">
        <f>SUMIF(80:80,E20,81:81)-SUMIF(80:80,C20,81:81)+100</f>
        <v>100</v>
      </c>
      <c r="G19" s="1523"/>
      <c r="H19" s="1199">
        <f>SUMIF(80:80,G20,81:81)-SUMIF(80:80,C20,81:81)+100</f>
        <v>100</v>
      </c>
      <c r="I19" s="1515"/>
      <c r="J19" s="1199">
        <f>SUMIF(80:80,I20,81:81)-SUMIF(80:80,C20,81:81)+100</f>
        <v>100</v>
      </c>
      <c r="K19" s="1602"/>
      <c r="L19" s="1320"/>
      <c r="M19" s="1304"/>
      <c r="N19" s="1304"/>
      <c r="O19" s="1304"/>
      <c r="P19" s="1738"/>
      <c r="Q19" s="699"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4"/>
      <c r="G20" s="1325"/>
      <c r="H20" s="1197"/>
      <c r="I20" s="1205"/>
      <c r="J20" s="1197"/>
      <c r="K20" s="1603"/>
      <c r="L20" s="1320"/>
      <c r="M20" s="1304"/>
      <c r="N20" s="1304"/>
      <c r="O20" s="1304"/>
      <c r="P20" s="1738"/>
      <c r="Q20" s="699"/>
      <c r="R20" s="1370"/>
      <c r="S20" s="1371"/>
      <c r="T20" s="1370"/>
      <c r="U20" s="1371"/>
      <c r="V20" s="1370"/>
      <c r="W20" s="1371"/>
      <c r="X20" s="1357"/>
      <c r="Y20" s="1323"/>
      <c r="Z20" s="1344"/>
      <c r="AA20" s="1386">
        <v>1</v>
      </c>
      <c r="AB20" s="1386">
        <v>1</v>
      </c>
      <c r="AC20" s="1386">
        <v>1</v>
      </c>
    </row>
    <row r="21" ht="27" spans="1:29">
      <c r="A21" s="1176"/>
      <c r="B21" s="1516" t="s">
        <v>1504</v>
      </c>
      <c r="C21" s="1201" t="str">
        <f>估价对象房地状况!C8</f>
        <v>估价对象所在区域基础设施水平</v>
      </c>
      <c r="D21" s="1203">
        <v>100</v>
      </c>
      <c r="E21" s="1515"/>
      <c r="F21" s="1565">
        <f>SUMIF(82:82,E22,83:83)-SUMIF(82:82,C22,83:83)+100</f>
        <v>100</v>
      </c>
      <c r="G21" s="1523"/>
      <c r="H21" s="1199">
        <f>SUMIF(82:82,G22,83:83)-SUMIF(82:82,C22,83:83)+100</f>
        <v>100</v>
      </c>
      <c r="I21" s="1515"/>
      <c r="J21" s="1199">
        <f>SUMIF(82:82,I22,83:83)-SUMIF(82:82,C22,83:83)+100</f>
        <v>100</v>
      </c>
      <c r="K21" s="1602"/>
      <c r="L21" s="1320"/>
      <c r="M21" s="1304"/>
      <c r="N21" s="1304"/>
      <c r="O21" s="1304"/>
      <c r="P21" s="1738"/>
      <c r="Q21" s="699"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6"/>
      <c r="C22" s="1513"/>
      <c r="D22" s="1197"/>
      <c r="E22" s="1196"/>
      <c r="F22" s="1564"/>
      <c r="G22" s="1196"/>
      <c r="H22" s="1197"/>
      <c r="I22" s="1196"/>
      <c r="J22" s="1197"/>
      <c r="K22" s="1604"/>
      <c r="L22" s="1320"/>
      <c r="M22" s="1304"/>
      <c r="N22" s="1304"/>
      <c r="O22" s="1304"/>
      <c r="P22" s="1738"/>
      <c r="Q22" s="699"/>
      <c r="R22" s="1370"/>
      <c r="S22" s="1371"/>
      <c r="T22" s="1370"/>
      <c r="U22" s="1371"/>
      <c r="V22" s="1370"/>
      <c r="W22" s="1371"/>
      <c r="X22" s="1357"/>
      <c r="Y22" s="1323"/>
      <c r="Z22" s="1344"/>
      <c r="AA22" s="1386">
        <v>1</v>
      </c>
      <c r="AB22" s="1386">
        <v>1</v>
      </c>
      <c r="AC22" s="1386">
        <v>1</v>
      </c>
    </row>
    <row r="23" ht="54" spans="1:29">
      <c r="A23" s="1176"/>
      <c r="B23" s="1512" t="s">
        <v>1505</v>
      </c>
      <c r="C23" s="696" t="str">
        <f>估价对象房地状况!C9</f>
        <v>区域自然环境：；人文环境；综合评价环境状况一般</v>
      </c>
      <c r="D23" s="1199">
        <v>100</v>
      </c>
      <c r="E23" s="1202"/>
      <c r="F23" s="1566">
        <f>SUMIF(84:84,E24,85:85)-SUMIF(84:84,C24,85:85)+100</f>
        <v>100</v>
      </c>
      <c r="G23" s="1324"/>
      <c r="H23" s="1199">
        <f>SUMIF(84:84,G24,85:85)-SUMIF(84:84,C24,85:85)+100</f>
        <v>100</v>
      </c>
      <c r="I23" s="1202"/>
      <c r="J23" s="1199">
        <f>SUMIF(84:84,I24,85:85)-SUMIF(84:84,C24,85:85)+100</f>
        <v>100</v>
      </c>
      <c r="K23" s="1602"/>
      <c r="L23" s="1320"/>
      <c r="M23" s="1304"/>
      <c r="N23" s="1304"/>
      <c r="O23" s="1304"/>
      <c r="P23" s="1738"/>
      <c r="Q23" s="699" t="str">
        <f>B23</f>
        <v>自然及人文环境</v>
      </c>
      <c r="R23" s="1370" t="s">
        <v>1490</v>
      </c>
      <c r="S23" s="1371">
        <f>F23</f>
        <v>100</v>
      </c>
      <c r="T23" s="1370" t="s">
        <v>1490</v>
      </c>
      <c r="U23" s="1371">
        <f>H23</f>
        <v>100</v>
      </c>
      <c r="V23" s="1370" t="s">
        <v>1490</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4"/>
      <c r="G24" s="1325"/>
      <c r="H24" s="1197"/>
      <c r="I24" s="1205"/>
      <c r="J24" s="1197"/>
      <c r="K24" s="1603"/>
      <c r="L24" s="1320"/>
      <c r="M24" s="1304"/>
      <c r="N24" s="1304"/>
      <c r="O24" s="1304"/>
      <c r="P24" s="1738"/>
      <c r="Q24" s="699"/>
      <c r="R24" s="1370"/>
      <c r="S24" s="1371"/>
      <c r="T24" s="1370"/>
      <c r="U24" s="1371"/>
      <c r="V24" s="1370"/>
      <c r="W24" s="1371"/>
      <c r="X24" s="1357"/>
      <c r="Y24" s="1323"/>
      <c r="Z24" s="1344"/>
      <c r="AA24" s="1386">
        <v>1</v>
      </c>
      <c r="AB24" s="1386">
        <v>1</v>
      </c>
      <c r="AC24" s="1386">
        <v>1</v>
      </c>
    </row>
    <row r="25" ht="15" spans="1:29">
      <c r="A25" s="1176"/>
      <c r="B25" s="1173" t="s">
        <v>1564</v>
      </c>
      <c r="C25" s="1210"/>
      <c r="D25" s="1185">
        <v>100</v>
      </c>
      <c r="E25" s="1210"/>
      <c r="F25" s="1567">
        <f>SUMIF(86:86,E25,87:87)-SUMIF(86:86,C25,87:87)+100</f>
        <v>100</v>
      </c>
      <c r="G25" s="1210"/>
      <c r="H25" s="1185">
        <f>SUMIF(86:86,G25,87:87)-SUMIF(86:86,C25,87:87)+100</f>
        <v>100</v>
      </c>
      <c r="I25" s="1210"/>
      <c r="J25" s="1185">
        <f>SUMIF(86:86,I25,87:87)-SUMIF(86:86,C25,87:87)+100</f>
        <v>100</v>
      </c>
      <c r="K25" s="1328"/>
      <c r="L25" s="1320"/>
      <c r="M25" s="1304"/>
      <c r="N25" s="1304"/>
      <c r="O25" s="1304"/>
      <c r="P25" s="1738"/>
      <c r="Q25" s="699" t="str">
        <f t="shared" ref="Q25:Q46" si="11">B25</f>
        <v>临街状况</v>
      </c>
      <c r="R25" s="1370" t="s">
        <v>1490</v>
      </c>
      <c r="S25" s="1371">
        <f>F25</f>
        <v>100</v>
      </c>
      <c r="T25" s="1370" t="s">
        <v>1490</v>
      </c>
      <c r="U25" s="1371">
        <f>H25</f>
        <v>100</v>
      </c>
      <c r="V25" s="1370" t="s">
        <v>1490</v>
      </c>
      <c r="W25" s="1371">
        <f>J25</f>
        <v>100</v>
      </c>
      <c r="X25" s="1357"/>
      <c r="Y25" s="1323"/>
      <c r="Z25" s="1344" t="str">
        <f>Q25</f>
        <v>临街状况</v>
      </c>
      <c r="AA25" s="1386">
        <f t="shared" si="3"/>
        <v>1</v>
      </c>
      <c r="AB25" s="1386">
        <f t="shared" si="4"/>
        <v>1</v>
      </c>
      <c r="AC25" s="1386">
        <f t="shared" si="5"/>
        <v>1</v>
      </c>
    </row>
    <row r="26" ht="15" spans="1:29">
      <c r="A26" s="1176"/>
      <c r="B26" s="1517" t="s">
        <v>1565</v>
      </c>
      <c r="C26" s="1184"/>
      <c r="D26" s="1185">
        <v>100</v>
      </c>
      <c r="E26" s="1184"/>
      <c r="F26" s="1567">
        <f>SUMIF(88:88,E26,89:89)-SUMIF(88:88,C26,89:89)+100</f>
        <v>100</v>
      </c>
      <c r="G26" s="1184"/>
      <c r="H26" s="1185">
        <f>SUMIF(88:88,G26,89:89)-SUMIF(88:88,C26,89:89)+100</f>
        <v>100</v>
      </c>
      <c r="I26" s="1184"/>
      <c r="J26" s="1185">
        <f>SUMIF(88:88,I26,89:89)-SUMIF(88:88,C26,89:89)+100</f>
        <v>100</v>
      </c>
      <c r="K26" s="1327"/>
      <c r="L26" s="1320"/>
      <c r="M26" s="1304"/>
      <c r="N26" s="1304"/>
      <c r="O26" s="1304"/>
      <c r="P26" s="1738"/>
      <c r="Q26" s="699" t="str">
        <f t="shared" si="11"/>
        <v>平面位置/可视性</v>
      </c>
      <c r="R26" s="1370" t="s">
        <v>1490</v>
      </c>
      <c r="S26" s="1371">
        <f>F26</f>
        <v>100</v>
      </c>
      <c r="T26" s="1370" t="s">
        <v>1490</v>
      </c>
      <c r="U26" s="1371">
        <f>H26</f>
        <v>100</v>
      </c>
      <c r="V26" s="1370" t="s">
        <v>1490</v>
      </c>
      <c r="W26" s="1371">
        <f>J26</f>
        <v>100</v>
      </c>
      <c r="X26" s="1357"/>
      <c r="Y26" s="1323"/>
      <c r="Z26" s="1344" t="str">
        <f>Q26</f>
        <v>平面位置/可视性</v>
      </c>
      <c r="AA26" s="1386">
        <f t="shared" si="3"/>
        <v>1</v>
      </c>
      <c r="AB26" s="1386">
        <f t="shared" si="4"/>
        <v>1</v>
      </c>
      <c r="AC26" s="1386">
        <f t="shared" si="5"/>
        <v>1</v>
      </c>
    </row>
    <row r="27" s="1123" customFormat="1" ht="15" spans="1:29">
      <c r="A27" s="1179"/>
      <c r="B27" s="1512" t="s">
        <v>1566</v>
      </c>
      <c r="C27" s="1730"/>
      <c r="D27" s="1680">
        <v>100</v>
      </c>
      <c r="E27" s="1730"/>
      <c r="F27" s="1681">
        <f>SUMIF(90:90,E27,91:91)-SUMIF(90:90,C27,91:91)+100</f>
        <v>100</v>
      </c>
      <c r="G27" s="1730"/>
      <c r="H27" s="1680">
        <f>SUMIF(90:90,G27,91:91)-SUMIF(90:90,C27,91:91)+100</f>
        <v>100</v>
      </c>
      <c r="I27" s="1730"/>
      <c r="J27" s="1680">
        <f>SUMIF(90:90,I27,91:91)-SUMIF(90:90,C27,91:91)+100</f>
        <v>100</v>
      </c>
      <c r="K27" s="1328"/>
      <c r="L27" s="1309"/>
      <c r="M27" s="1310"/>
      <c r="N27" s="1310"/>
      <c r="O27" s="1310"/>
      <c r="P27" s="1738"/>
      <c r="Q27" s="1369" t="str">
        <f t="shared" si="11"/>
        <v>人流量</v>
      </c>
      <c r="R27" s="1365" t="s">
        <v>1490</v>
      </c>
      <c r="S27" s="1366">
        <f>F27</f>
        <v>100</v>
      </c>
      <c r="T27" s="1365" t="s">
        <v>1490</v>
      </c>
      <c r="U27" s="1366">
        <f>H27</f>
        <v>100</v>
      </c>
      <c r="V27" s="1365" t="s">
        <v>1490</v>
      </c>
      <c r="W27" s="1366">
        <f>J27</f>
        <v>100</v>
      </c>
      <c r="X27" s="1367"/>
      <c r="Y27" s="1323"/>
      <c r="Z27" s="1385" t="str">
        <f>Q27</f>
        <v>人流量</v>
      </c>
      <c r="AA27" s="1386">
        <f t="shared" si="3"/>
        <v>1</v>
      </c>
      <c r="AB27" s="1386">
        <f t="shared" si="4"/>
        <v>1</v>
      </c>
      <c r="AC27" s="1386">
        <f t="shared" si="5"/>
        <v>1</v>
      </c>
    </row>
    <row r="28" ht="15" spans="1:29">
      <c r="A28" s="1176"/>
      <c r="B28" s="1173" t="s">
        <v>1567</v>
      </c>
      <c r="C28" s="1210"/>
      <c r="D28" s="1185">
        <v>100</v>
      </c>
      <c r="E28" s="1210"/>
      <c r="F28" s="1567">
        <f>SUMIF(92:92,E28,93:93)-SUMIF(92:92,C28,93:93)+100</f>
        <v>100</v>
      </c>
      <c r="G28" s="1210"/>
      <c r="H28" s="1185">
        <f>SUMIF(92:92,G28,93:93)-SUMIF(92:92,C28,93:93)+100</f>
        <v>100</v>
      </c>
      <c r="I28" s="1210"/>
      <c r="J28" s="1185">
        <f>SUMIF(92:92,I28,93:93)-SUMIF(92:92,C28,93:93)+100</f>
        <v>100</v>
      </c>
      <c r="K28" s="1327"/>
      <c r="L28" s="1320"/>
      <c r="M28" s="1304"/>
      <c r="N28" s="1304"/>
      <c r="O28" s="1304"/>
      <c r="P28" s="1738"/>
      <c r="Q28" s="699" t="str">
        <f t="shared" si="11"/>
        <v>楼层</v>
      </c>
      <c r="R28" s="1370" t="s">
        <v>1490</v>
      </c>
      <c r="S28" s="1371">
        <f t="shared" ref="S28:S46" si="12">F28</f>
        <v>100</v>
      </c>
      <c r="T28" s="1370" t="s">
        <v>1490</v>
      </c>
      <c r="U28" s="1371">
        <f t="shared" ref="U28:U46" si="13">H28</f>
        <v>100</v>
      </c>
      <c r="V28" s="1370" t="s">
        <v>1490</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7">
        <v>111</v>
      </c>
      <c r="C29" s="1184"/>
      <c r="D29" s="1185">
        <v>100</v>
      </c>
      <c r="E29" s="1184"/>
      <c r="F29" s="1567">
        <f>SUMIF(94:94,E29,95:95)-SUMIF(94:94,C29,95:95)+100</f>
        <v>100</v>
      </c>
      <c r="G29" s="1184"/>
      <c r="H29" s="1185">
        <f>SUMIF(94:94,G29,95:95)-SUMIF(94:94,C29,95:95)+100</f>
        <v>100</v>
      </c>
      <c r="I29" s="1184"/>
      <c r="J29" s="1185">
        <f>SUMIF(94:94,I29,95:95)-SUMIF(94:94,C29,95:95)+100</f>
        <v>100</v>
      </c>
      <c r="K29" s="1327"/>
      <c r="L29" s="1320"/>
      <c r="M29" s="1304"/>
      <c r="N29" s="1304"/>
      <c r="O29" s="1304"/>
      <c r="P29" s="1738"/>
      <c r="Q29" s="699">
        <f t="shared" si="11"/>
        <v>111</v>
      </c>
      <c r="R29" s="1370" t="s">
        <v>1490</v>
      </c>
      <c r="S29" s="1371">
        <f t="shared" si="12"/>
        <v>100</v>
      </c>
      <c r="T29" s="1370" t="s">
        <v>1490</v>
      </c>
      <c r="U29" s="1371">
        <f t="shared" si="13"/>
        <v>100</v>
      </c>
      <c r="V29" s="1370" t="s">
        <v>1490</v>
      </c>
      <c r="W29" s="1371">
        <f t="shared" si="14"/>
        <v>100</v>
      </c>
      <c r="X29" s="1357"/>
      <c r="Y29" s="1323"/>
      <c r="Z29" s="1344">
        <f t="shared" si="15"/>
        <v>111</v>
      </c>
      <c r="AA29" s="1386">
        <f t="shared" si="3"/>
        <v>1</v>
      </c>
      <c r="AB29" s="1386">
        <f t="shared" si="4"/>
        <v>1</v>
      </c>
      <c r="AC29" s="1386">
        <f t="shared" si="5"/>
        <v>1</v>
      </c>
    </row>
    <row r="30" ht="15" spans="1:29">
      <c r="A30" s="1176"/>
      <c r="B30" s="1517">
        <v>111</v>
      </c>
      <c r="C30" s="1184"/>
      <c r="D30" s="1185">
        <v>100</v>
      </c>
      <c r="E30" s="1184"/>
      <c r="F30" s="1567">
        <f>SUMIF(96:96,E30,97:97)-SUMIF(96:96,C30,97:97)+100</f>
        <v>100</v>
      </c>
      <c r="G30" s="1184"/>
      <c r="H30" s="1185">
        <f>SUMIF(96:96,G30,97:97)-SUMIF(96:96,C30,97:97)+100</f>
        <v>100</v>
      </c>
      <c r="I30" s="1184"/>
      <c r="J30" s="1185">
        <f>SUMIF(96:96,I30,97:97)-SUMIF(96:96,C30,97:97)+100</f>
        <v>100</v>
      </c>
      <c r="K30" s="1327"/>
      <c r="L30" s="1320"/>
      <c r="M30" s="1304"/>
      <c r="N30" s="1304"/>
      <c r="O30" s="1304"/>
      <c r="P30" s="1738"/>
      <c r="Q30" s="699">
        <f t="shared" si="11"/>
        <v>111</v>
      </c>
      <c r="R30" s="1370" t="s">
        <v>1490</v>
      </c>
      <c r="S30" s="1371">
        <f t="shared" si="12"/>
        <v>100</v>
      </c>
      <c r="T30" s="1370" t="s">
        <v>1490</v>
      </c>
      <c r="U30" s="1371">
        <f t="shared" si="13"/>
        <v>100</v>
      </c>
      <c r="V30" s="1370" t="s">
        <v>1490</v>
      </c>
      <c r="W30" s="1371">
        <f t="shared" si="14"/>
        <v>100</v>
      </c>
      <c r="X30" s="1357"/>
      <c r="Y30" s="1323"/>
      <c r="Z30" s="1344">
        <f t="shared" si="15"/>
        <v>111</v>
      </c>
      <c r="AA30" s="1386">
        <f t="shared" si="3"/>
        <v>1</v>
      </c>
      <c r="AB30" s="1386">
        <f t="shared" si="4"/>
        <v>1</v>
      </c>
      <c r="AC30" s="1386">
        <f t="shared" si="5"/>
        <v>1</v>
      </c>
    </row>
    <row r="31" ht="15.75" spans="1:29">
      <c r="A31" s="1186"/>
      <c r="B31" s="1517">
        <v>111</v>
      </c>
      <c r="C31" s="1188"/>
      <c r="D31" s="1189">
        <v>100</v>
      </c>
      <c r="E31" s="1184"/>
      <c r="F31" s="1580">
        <f>SUMIF(98:98,E31,99:99)-SUMIF(98:98,C31,99:99)+100</f>
        <v>100</v>
      </c>
      <c r="G31" s="1184"/>
      <c r="H31" s="1189">
        <f>SUMIF(98:98,G31,99:99)-SUMIF(98:98,C31,99:99)+100</f>
        <v>100</v>
      </c>
      <c r="I31" s="1184"/>
      <c r="J31" s="1189">
        <f>SUMIF(98:98,I31,99:99)-SUMIF(98:98,C31,99:99)+100</f>
        <v>100</v>
      </c>
      <c r="K31" s="1327"/>
      <c r="L31" s="1320"/>
      <c r="M31" s="1304"/>
      <c r="N31" s="1304"/>
      <c r="O31" s="1304"/>
      <c r="P31" s="1738"/>
      <c r="Q31" s="699">
        <f t="shared" si="11"/>
        <v>111</v>
      </c>
      <c r="R31" s="1370" t="s">
        <v>1490</v>
      </c>
      <c r="S31" s="1371">
        <f t="shared" si="12"/>
        <v>100</v>
      </c>
      <c r="T31" s="1370" t="s">
        <v>1490</v>
      </c>
      <c r="U31" s="1371">
        <f t="shared" si="13"/>
        <v>100</v>
      </c>
      <c r="V31" s="1370" t="s">
        <v>1490</v>
      </c>
      <c r="W31" s="1371">
        <f t="shared" si="14"/>
        <v>100</v>
      </c>
      <c r="X31" s="1357"/>
      <c r="Y31" s="1323"/>
      <c r="Z31" s="1344">
        <f t="shared" si="15"/>
        <v>111</v>
      </c>
      <c r="AA31" s="1386">
        <f t="shared" si="3"/>
        <v>1</v>
      </c>
      <c r="AB31" s="1386">
        <f t="shared" si="4"/>
        <v>1</v>
      </c>
      <c r="AC31" s="1386">
        <f t="shared" si="5"/>
        <v>1</v>
      </c>
    </row>
    <row r="32" ht="15" spans="1:29">
      <c r="A32" s="1190" t="s">
        <v>1508</v>
      </c>
      <c r="B32" s="1169" t="s">
        <v>1568</v>
      </c>
      <c r="C32" s="1762"/>
      <c r="D32" s="1226">
        <v>100</v>
      </c>
      <c r="E32" s="1762"/>
      <c r="F32" s="1567">
        <f>SUMIF(100:100,E32,101:101)-SUMIF(100:100,C32,101:101)+100</f>
        <v>100</v>
      </c>
      <c r="G32" s="1762"/>
      <c r="H32" s="1185">
        <f>SUMIF(100:100,G32,101:101)-SUMIF(100:100,C32,101:101)+100</f>
        <v>100</v>
      </c>
      <c r="I32" s="1762"/>
      <c r="J32" s="1226">
        <f>SUMIF(100:100,I32,101:101)-SUMIF(100:100,C32,101:101)+100</f>
        <v>100</v>
      </c>
      <c r="K32" s="1328"/>
      <c r="L32" s="1320"/>
      <c r="M32" s="1304"/>
      <c r="N32" s="1304"/>
      <c r="O32" s="1304"/>
      <c r="P32" s="1739" t="s">
        <v>1510</v>
      </c>
      <c r="Q32" s="699" t="str">
        <f t="shared" si="11"/>
        <v>商业类型</v>
      </c>
      <c r="R32" s="1370" t="s">
        <v>1490</v>
      </c>
      <c r="S32" s="1371">
        <f t="shared" si="12"/>
        <v>100</v>
      </c>
      <c r="T32" s="1370" t="s">
        <v>1490</v>
      </c>
      <c r="U32" s="1371">
        <f t="shared" si="13"/>
        <v>100</v>
      </c>
      <c r="V32" s="1370" t="s">
        <v>1490</v>
      </c>
      <c r="W32" s="1371">
        <f t="shared" si="14"/>
        <v>100</v>
      </c>
      <c r="X32" s="1357"/>
      <c r="Y32" s="1332" t="s">
        <v>1510</v>
      </c>
      <c r="Z32" s="1344" t="str">
        <f t="shared" si="15"/>
        <v>商业类型</v>
      </c>
      <c r="AA32" s="1386">
        <f t="shared" si="3"/>
        <v>1</v>
      </c>
      <c r="AB32" s="1386">
        <f t="shared" si="4"/>
        <v>1</v>
      </c>
      <c r="AC32" s="1386">
        <f t="shared" si="5"/>
        <v>1</v>
      </c>
    </row>
    <row r="33" s="1125" customFormat="1" ht="15" spans="1:29">
      <c r="A33" s="1232"/>
      <c r="B33" s="1173" t="s">
        <v>1511</v>
      </c>
      <c r="C33" s="1561"/>
      <c r="D33" s="1175">
        <v>100</v>
      </c>
      <c r="E33" s="1178"/>
      <c r="F33" s="1560"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0"/>
      <c r="Q33" s="1606" t="str">
        <f t="shared" si="11"/>
        <v>项目建筑规模</v>
      </c>
      <c r="R33" s="1372" t="s">
        <v>1490</v>
      </c>
      <c r="S33" s="1373" t="e">
        <f t="shared" si="12"/>
        <v>#N/A</v>
      </c>
      <c r="T33" s="1372" t="s">
        <v>1490</v>
      </c>
      <c r="U33" s="1373" t="e">
        <f t="shared" si="13"/>
        <v>#N/A</v>
      </c>
      <c r="V33" s="1372" t="s">
        <v>1490</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1512</v>
      </c>
      <c r="C34" s="1763"/>
      <c r="D34" s="1185">
        <v>100</v>
      </c>
      <c r="E34" s="1763"/>
      <c r="F34" s="1567">
        <f>SUMIF(105:105,E34,106:106)-SUMIF(105:105,C34,106:106)+100</f>
        <v>100</v>
      </c>
      <c r="G34" s="1763"/>
      <c r="H34" s="1185">
        <f>SUMIF(105:105,G34,106:106)-SUMIF(105:105,C34,106:106)+100</f>
        <v>100</v>
      </c>
      <c r="I34" s="1763"/>
      <c r="J34" s="1185">
        <f>SUMIF(105:105,I34,106:106)-SUMIF(105:105,C34,106:106)+100</f>
        <v>100</v>
      </c>
      <c r="K34" s="1328"/>
      <c r="L34" s="1320"/>
      <c r="M34" s="1304"/>
      <c r="N34" s="1304"/>
      <c r="O34" s="1304"/>
      <c r="P34" s="1740"/>
      <c r="Q34" s="699" t="str">
        <f t="shared" si="11"/>
        <v>建筑结构</v>
      </c>
      <c r="R34" s="1370" t="s">
        <v>1490</v>
      </c>
      <c r="S34" s="1371">
        <f t="shared" si="12"/>
        <v>100</v>
      </c>
      <c r="T34" s="1370" t="s">
        <v>1490</v>
      </c>
      <c r="U34" s="1371">
        <f t="shared" si="13"/>
        <v>100</v>
      </c>
      <c r="V34" s="1370" t="s">
        <v>1490</v>
      </c>
      <c r="W34" s="1371">
        <f t="shared" si="14"/>
        <v>100</v>
      </c>
      <c r="X34" s="1357"/>
      <c r="Y34" s="1332"/>
      <c r="Z34" s="1344" t="str">
        <f t="shared" si="15"/>
        <v>建筑结构</v>
      </c>
      <c r="AA34" s="1386">
        <f t="shared" si="3"/>
        <v>1</v>
      </c>
      <c r="AB34" s="1386">
        <f t="shared" si="4"/>
        <v>1</v>
      </c>
      <c r="AC34" s="1386">
        <f t="shared" si="5"/>
        <v>1</v>
      </c>
    </row>
    <row r="35" ht="15" spans="1:29">
      <c r="A35" s="1227"/>
      <c r="B35" s="1173" t="s">
        <v>1514</v>
      </c>
      <c r="C35" s="1228"/>
      <c r="D35" s="1185">
        <v>100</v>
      </c>
      <c r="E35" s="1228"/>
      <c r="F35" s="1567">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0"/>
      <c r="Q35" s="699" t="str">
        <f t="shared" si="11"/>
        <v>公共部分装修</v>
      </c>
      <c r="R35" s="1370" t="s">
        <v>1490</v>
      </c>
      <c r="S35" s="1371">
        <f t="shared" si="12"/>
        <v>100</v>
      </c>
      <c r="T35" s="1370" t="s">
        <v>1490</v>
      </c>
      <c r="U35" s="1371">
        <f t="shared" si="13"/>
        <v>100</v>
      </c>
      <c r="V35" s="1370" t="s">
        <v>1490</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634</v>
      </c>
      <c r="C36" s="1574"/>
      <c r="D36" s="1185">
        <v>100</v>
      </c>
      <c r="E36" s="1574"/>
      <c r="F36" s="1567" t="e">
        <f>LOOKUP(E36,110:110,111:111)-LOOKUP(C36,110:110,111:111)+100</f>
        <v>#N/A</v>
      </c>
      <c r="G36" s="1574"/>
      <c r="H36" s="1567" t="e">
        <f>LOOKUP(G36,110:110,111:111)-LOOKUP(C36,110:110,111:111)+100</f>
        <v>#N/A</v>
      </c>
      <c r="I36" s="1574"/>
      <c r="J36" s="1185" t="e">
        <f>LOOKUP(I36,110:110,111:111)-LOOKUP(C36,110:110,111:111)+100</f>
        <v>#N/A</v>
      </c>
      <c r="K36" s="1328"/>
      <c r="L36" s="1320"/>
      <c r="M36" s="1304"/>
      <c r="N36" s="1304"/>
      <c r="O36" s="1304"/>
      <c r="P36" s="1740"/>
      <c r="Q36" s="699" t="str">
        <f t="shared" si="11"/>
        <v>成新度</v>
      </c>
      <c r="R36" s="1370" t="s">
        <v>1490</v>
      </c>
      <c r="S36" s="1371" t="e">
        <f t="shared" si="12"/>
        <v>#N/A</v>
      </c>
      <c r="T36" s="1370" t="s">
        <v>1490</v>
      </c>
      <c r="U36" s="1371" t="e">
        <f t="shared" si="13"/>
        <v>#N/A</v>
      </c>
      <c r="V36" s="1370" t="s">
        <v>1490</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1516</v>
      </c>
      <c r="C37" s="1228"/>
      <c r="D37" s="1175">
        <v>100</v>
      </c>
      <c r="E37" s="1228"/>
      <c r="F37" s="1567">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0"/>
      <c r="Q37" s="1369" t="str">
        <f t="shared" si="11"/>
        <v>市政基础设施</v>
      </c>
      <c r="R37" s="1365" t="s">
        <v>1490</v>
      </c>
      <c r="S37" s="1366">
        <f t="shared" si="12"/>
        <v>100</v>
      </c>
      <c r="T37" s="1365" t="s">
        <v>1490</v>
      </c>
      <c r="U37" s="1366">
        <f t="shared" si="13"/>
        <v>100</v>
      </c>
      <c r="V37" s="1365" t="s">
        <v>1490</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1569</v>
      </c>
      <c r="C38" s="1228"/>
      <c r="D38" s="1185">
        <v>100</v>
      </c>
      <c r="E38" s="1228"/>
      <c r="F38" s="1567">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0" t="s">
        <v>1510</v>
      </c>
      <c r="Q38" s="699" t="str">
        <f t="shared" si="11"/>
        <v>业态</v>
      </c>
      <c r="R38" s="1370" t="s">
        <v>1490</v>
      </c>
      <c r="S38" s="1371">
        <f t="shared" si="12"/>
        <v>100</v>
      </c>
      <c r="T38" s="1370" t="s">
        <v>1490</v>
      </c>
      <c r="U38" s="1371">
        <f t="shared" si="13"/>
        <v>100</v>
      </c>
      <c r="V38" s="1370" t="s">
        <v>1490</v>
      </c>
      <c r="W38" s="1371">
        <f t="shared" si="14"/>
        <v>100</v>
      </c>
      <c r="X38" s="1357"/>
      <c r="Y38" s="1332" t="s">
        <v>1510</v>
      </c>
      <c r="Z38" s="1344" t="str">
        <f t="shared" si="15"/>
        <v>业态</v>
      </c>
      <c r="AA38" s="1386">
        <f t="shared" si="3"/>
        <v>1</v>
      </c>
      <c r="AB38" s="1386">
        <f t="shared" si="4"/>
        <v>1</v>
      </c>
      <c r="AC38" s="1386">
        <f t="shared" si="5"/>
        <v>1</v>
      </c>
    </row>
    <row r="39" ht="15" spans="1:29">
      <c r="A39" s="1227"/>
      <c r="B39" s="1173" t="s">
        <v>1570</v>
      </c>
      <c r="C39" s="1228"/>
      <c r="D39" s="1185">
        <v>100</v>
      </c>
      <c r="E39" s="1228"/>
      <c r="F39" s="1567">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0"/>
      <c r="Q39" s="699" t="str">
        <f t="shared" si="11"/>
        <v>层高</v>
      </c>
      <c r="R39" s="1370" t="s">
        <v>1490</v>
      </c>
      <c r="S39" s="1371">
        <f t="shared" si="12"/>
        <v>100</v>
      </c>
      <c r="T39" s="1370" t="s">
        <v>1490</v>
      </c>
      <c r="U39" s="1371">
        <f t="shared" si="13"/>
        <v>100</v>
      </c>
      <c r="V39" s="1370" t="s">
        <v>1490</v>
      </c>
      <c r="W39" s="1371">
        <f t="shared" si="14"/>
        <v>100</v>
      </c>
      <c r="X39" s="1357"/>
      <c r="Y39" s="1332"/>
      <c r="Z39" s="1344" t="str">
        <f t="shared" si="15"/>
        <v>层高</v>
      </c>
      <c r="AA39" s="1386">
        <f t="shared" si="3"/>
        <v>1</v>
      </c>
      <c r="AB39" s="1386">
        <f t="shared" si="4"/>
        <v>1</v>
      </c>
      <c r="AC39" s="1386">
        <f t="shared" si="5"/>
        <v>1</v>
      </c>
    </row>
    <row r="40" ht="15" spans="1:29">
      <c r="A40" s="1227"/>
      <c r="B40" s="1173" t="s">
        <v>1571</v>
      </c>
      <c r="C40" s="1764"/>
      <c r="D40" s="1185">
        <v>100</v>
      </c>
      <c r="E40" s="1765"/>
      <c r="F40" s="1567">
        <f>SUMIF(118:118,E40,119:119)-SUMIF(118:118,C40,119:119)+100</f>
        <v>100</v>
      </c>
      <c r="G40" s="1765"/>
      <c r="H40" s="1185">
        <f>SUMIF(118:118,G40,119:119)-SUMIF(118:118,C40,119:119)+100</f>
        <v>100</v>
      </c>
      <c r="I40" s="1765"/>
      <c r="J40" s="1185">
        <f>SUMIF(118:118,I40,119:119)-SUMIF(118:118,C40,119:119)+100</f>
        <v>100</v>
      </c>
      <c r="K40" s="1327"/>
      <c r="L40" s="1320"/>
      <c r="M40" s="1304"/>
      <c r="N40" s="1304"/>
      <c r="O40" s="1304"/>
      <c r="P40" s="1740"/>
      <c r="Q40" s="699" t="str">
        <f t="shared" si="11"/>
        <v>单套建筑面积</v>
      </c>
      <c r="R40" s="1370" t="s">
        <v>1490</v>
      </c>
      <c r="S40" s="1371">
        <f t="shared" si="12"/>
        <v>100</v>
      </c>
      <c r="T40" s="1370" t="s">
        <v>1490</v>
      </c>
      <c r="U40" s="1371">
        <f t="shared" si="13"/>
        <v>100</v>
      </c>
      <c r="V40" s="1370" t="s">
        <v>1490</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1572</v>
      </c>
      <c r="C41" s="1210"/>
      <c r="D41" s="1185">
        <v>100</v>
      </c>
      <c r="E41" s="1210"/>
      <c r="F41" s="1567">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0"/>
      <c r="Q41" s="1606" t="str">
        <f t="shared" si="11"/>
        <v>进深比</v>
      </c>
      <c r="R41" s="1372" t="s">
        <v>1490</v>
      </c>
      <c r="S41" s="1373">
        <f t="shared" si="12"/>
        <v>100</v>
      </c>
      <c r="T41" s="1372" t="s">
        <v>1490</v>
      </c>
      <c r="U41" s="1373">
        <f t="shared" si="13"/>
        <v>100</v>
      </c>
      <c r="V41" s="1372" t="s">
        <v>1490</v>
      </c>
      <c r="W41" s="1373">
        <f t="shared" si="14"/>
        <v>100</v>
      </c>
      <c r="X41" s="1374"/>
      <c r="Y41" s="1332"/>
      <c r="Z41" s="1387" t="str">
        <f t="shared" si="15"/>
        <v>进深比</v>
      </c>
      <c r="AA41" s="1386">
        <f t="shared" si="3"/>
        <v>1</v>
      </c>
      <c r="AB41" s="1386">
        <f t="shared" si="4"/>
        <v>1</v>
      </c>
      <c r="AC41" s="1386">
        <f t="shared" si="5"/>
        <v>1</v>
      </c>
    </row>
    <row r="42" ht="15" spans="1:29">
      <c r="A42" s="1227"/>
      <c r="B42" s="1173" t="s">
        <v>1519</v>
      </c>
      <c r="C42" s="1228"/>
      <c r="D42" s="1185">
        <v>100</v>
      </c>
      <c r="E42" s="1228"/>
      <c r="F42" s="1567">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0"/>
      <c r="Q42" s="699" t="str">
        <f t="shared" si="11"/>
        <v>内部装修</v>
      </c>
      <c r="R42" s="1370" t="s">
        <v>1490</v>
      </c>
      <c r="S42" s="1371">
        <f t="shared" si="12"/>
        <v>100</v>
      </c>
      <c r="T42" s="1370" t="s">
        <v>1490</v>
      </c>
      <c r="U42" s="1371">
        <f t="shared" si="13"/>
        <v>100</v>
      </c>
      <c r="V42" s="1370" t="s">
        <v>1490</v>
      </c>
      <c r="W42" s="1371">
        <f t="shared" si="14"/>
        <v>100</v>
      </c>
      <c r="X42" s="1357"/>
      <c r="Y42" s="1332"/>
      <c r="Z42" s="1344" t="str">
        <f t="shared" si="15"/>
        <v>内部装修</v>
      </c>
      <c r="AA42" s="1386">
        <f t="shared" si="3"/>
        <v>1</v>
      </c>
      <c r="AB42" s="1386">
        <f t="shared" si="4"/>
        <v>1</v>
      </c>
      <c r="AC42" s="1386">
        <f t="shared" si="5"/>
        <v>1</v>
      </c>
    </row>
    <row r="43" ht="15" spans="1:29">
      <c r="A43" s="1227"/>
      <c r="B43" s="1173" t="s">
        <v>1520</v>
      </c>
      <c r="C43" s="1228"/>
      <c r="D43" s="1185">
        <v>100</v>
      </c>
      <c r="E43" s="1228"/>
      <c r="F43" s="1567">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0"/>
      <c r="Q43" s="699" t="str">
        <f t="shared" si="11"/>
        <v>内部装修维护情况</v>
      </c>
      <c r="R43" s="1370" t="s">
        <v>1490</v>
      </c>
      <c r="S43" s="1371">
        <f t="shared" si="12"/>
        <v>100</v>
      </c>
      <c r="T43" s="1370" t="s">
        <v>1490</v>
      </c>
      <c r="U43" s="1371">
        <f t="shared" si="13"/>
        <v>100</v>
      </c>
      <c r="V43" s="1370" t="s">
        <v>1490</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7">
        <v>111</v>
      </c>
      <c r="C44" s="1561"/>
      <c r="D44" s="1175">
        <v>100</v>
      </c>
      <c r="E44" s="1184"/>
      <c r="F44" s="1560">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0"/>
      <c r="Q44" s="1369">
        <f t="shared" si="11"/>
        <v>111</v>
      </c>
      <c r="R44" s="1365" t="s">
        <v>1490</v>
      </c>
      <c r="S44" s="1366">
        <f t="shared" si="12"/>
        <v>100</v>
      </c>
      <c r="T44" s="1365" t="s">
        <v>1490</v>
      </c>
      <c r="U44" s="1366">
        <f t="shared" si="13"/>
        <v>100</v>
      </c>
      <c r="V44" s="1365" t="s">
        <v>1490</v>
      </c>
      <c r="W44" s="1366">
        <f t="shared" si="14"/>
        <v>100</v>
      </c>
      <c r="X44" s="1367"/>
      <c r="Y44" s="1332"/>
      <c r="Z44" s="1385">
        <f t="shared" si="15"/>
        <v>111</v>
      </c>
      <c r="AA44" s="1384">
        <f t="shared" si="3"/>
        <v>1</v>
      </c>
      <c r="AB44" s="1384">
        <f t="shared" si="4"/>
        <v>1</v>
      </c>
      <c r="AC44" s="1384">
        <f t="shared" si="5"/>
        <v>1</v>
      </c>
    </row>
    <row r="45" ht="15" spans="1:29">
      <c r="A45" s="1227"/>
      <c r="B45" s="1517">
        <v>111</v>
      </c>
      <c r="C45" s="1184"/>
      <c r="D45" s="1185">
        <v>100</v>
      </c>
      <c r="E45" s="1184"/>
      <c r="F45" s="1567">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0"/>
      <c r="Q45" s="699">
        <f t="shared" si="11"/>
        <v>111</v>
      </c>
      <c r="R45" s="1370" t="s">
        <v>1490</v>
      </c>
      <c r="S45" s="1371">
        <f t="shared" si="12"/>
        <v>100</v>
      </c>
      <c r="T45" s="1370" t="s">
        <v>1490</v>
      </c>
      <c r="U45" s="1371">
        <f t="shared" si="13"/>
        <v>100</v>
      </c>
      <c r="V45" s="1370" t="s">
        <v>1490</v>
      </c>
      <c r="W45" s="1371">
        <f t="shared" si="14"/>
        <v>100</v>
      </c>
      <c r="X45" s="1357"/>
      <c r="Y45" s="1332"/>
      <c r="Z45" s="1344">
        <f t="shared" si="15"/>
        <v>111</v>
      </c>
      <c r="AA45" s="1386">
        <f t="shared" si="3"/>
        <v>1</v>
      </c>
      <c r="AB45" s="1386">
        <f t="shared" si="4"/>
        <v>1</v>
      </c>
      <c r="AC45" s="1386">
        <f t="shared" si="5"/>
        <v>1</v>
      </c>
    </row>
    <row r="46" ht="15.75" spans="1:29">
      <c r="A46" s="1579"/>
      <c r="B46" s="1187">
        <v>111</v>
      </c>
      <c r="C46" s="1188"/>
      <c r="D46" s="1189">
        <v>100</v>
      </c>
      <c r="E46" s="1184"/>
      <c r="F46" s="1580">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1"/>
      <c r="Q46" s="699">
        <f t="shared" si="11"/>
        <v>111</v>
      </c>
      <c r="R46" s="1370" t="s">
        <v>1490</v>
      </c>
      <c r="S46" s="1371">
        <f t="shared" si="12"/>
        <v>100</v>
      </c>
      <c r="T46" s="1370" t="s">
        <v>1490</v>
      </c>
      <c r="U46" s="1371">
        <f t="shared" si="13"/>
        <v>100</v>
      </c>
      <c r="V46" s="1370" t="s">
        <v>1490</v>
      </c>
      <c r="W46" s="1371">
        <f t="shared" si="14"/>
        <v>100</v>
      </c>
      <c r="X46" s="1357"/>
      <c r="Y46" s="1697"/>
      <c r="Z46" s="1344">
        <f t="shared" si="15"/>
        <v>111</v>
      </c>
      <c r="AA46" s="1386">
        <f t="shared" si="3"/>
        <v>1</v>
      </c>
      <c r="AB46" s="1386">
        <f t="shared" si="4"/>
        <v>1</v>
      </c>
      <c r="AC46" s="1386">
        <f t="shared" si="5"/>
        <v>1</v>
      </c>
    </row>
    <row r="47" ht="15" spans="1:29">
      <c r="A47" s="1234" t="s">
        <v>1521</v>
      </c>
      <c r="B47" s="1581"/>
      <c r="C47" s="1582" t="s">
        <v>124</v>
      </c>
      <c r="D47" s="1583"/>
      <c r="E47" s="1584"/>
      <c r="F47" s="1585"/>
      <c r="G47" s="1586"/>
      <c r="H47" s="1587"/>
      <c r="I47" s="1584"/>
      <c r="J47" s="1587"/>
      <c r="K47" s="1335"/>
      <c r="L47" s="1336"/>
      <c r="M47" s="1251"/>
      <c r="N47" s="1304"/>
      <c r="O47" s="1251"/>
      <c r="P47" s="699" t="str">
        <f>A47</f>
        <v>成交单价（元/平方米）</v>
      </c>
      <c r="Q47" s="699"/>
      <c r="R47" s="1344">
        <f>E47</f>
        <v>0</v>
      </c>
      <c r="S47" s="1344"/>
      <c r="T47" s="1344">
        <f>G47</f>
        <v>0</v>
      </c>
      <c r="U47" s="1344"/>
      <c r="V47" s="1344">
        <f>I47</f>
        <v>0</v>
      </c>
      <c r="W47" s="1344"/>
      <c r="X47" s="1292"/>
      <c r="Y47" s="1388"/>
      <c r="Z47" s="1292"/>
      <c r="AA47" s="1292"/>
      <c r="AB47" s="1292"/>
      <c r="AC47" s="1292"/>
    </row>
    <row r="48" ht="15.75" spans="1:29">
      <c r="A48" s="1242" t="s">
        <v>1522</v>
      </c>
      <c r="B48" s="1588"/>
      <c r="C48" s="1589" t="e">
        <f>R49</f>
        <v>#DIV/0!</v>
      </c>
      <c r="D48" s="1245" t="s">
        <v>1523</v>
      </c>
      <c r="E48" s="1590" t="e">
        <f>R48</f>
        <v>#DIV/0!</v>
      </c>
      <c r="F48" s="1246"/>
      <c r="G48" s="1589" t="e">
        <f>T48</f>
        <v>#DIV/0!</v>
      </c>
      <c r="H48" s="1246"/>
      <c r="I48" s="1590" t="e">
        <f>V48</f>
        <v>#DIV/0!</v>
      </c>
      <c r="J48" s="1246"/>
      <c r="K48" s="1337">
        <f>F48+H48+J48</f>
        <v>0</v>
      </c>
      <c r="L48" s="1336"/>
      <c r="M48" s="1251"/>
      <c r="N48" s="1304"/>
      <c r="O48" s="1251"/>
      <c r="P48" s="699" t="str">
        <f>A48</f>
        <v>比较价值（元/平方米）</v>
      </c>
      <c r="Q48" s="69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1524</v>
      </c>
      <c r="B49" s="1249"/>
      <c r="C49" s="1591" t="e">
        <f>R49</f>
        <v>#DIV/0!</v>
      </c>
      <c r="D49" s="1591"/>
      <c r="E49" s="1591"/>
      <c r="F49" s="1591"/>
      <c r="G49" s="1591"/>
      <c r="H49" s="1591"/>
      <c r="I49" s="1591"/>
      <c r="J49" s="1591"/>
      <c r="K49" s="1338"/>
      <c r="L49" s="1336"/>
      <c r="M49" s="1251"/>
      <c r="N49" s="1304"/>
      <c r="O49" s="1251"/>
      <c r="P49" s="1339" t="str">
        <f>A49</f>
        <v>估价对象XX用房的比较价值（楼面单价，元/平方米）</v>
      </c>
      <c r="Q49" s="1376"/>
      <c r="R49" s="1713" t="e">
        <f>IF(F1="售价",ROUND(IF(D48="简单平均",AVERAGE(R48:V48),R48*F48+T48*H48+V48*J48),0),ROUND(IF(D48="简单平均",AVERAGE(R48:V48),R48*F48+T48*H48+V48*J48),1))</f>
        <v>#DIV/0!</v>
      </c>
      <c r="S49" s="1713"/>
      <c r="T49" s="1713"/>
      <c r="U49" s="1713"/>
      <c r="V49" s="1713"/>
      <c r="W49" s="1713"/>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8"/>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8"/>
      <c r="Q51" s="1251"/>
      <c r="R51" s="1251"/>
      <c r="S51" s="1251"/>
      <c r="T51" s="1251"/>
      <c r="U51" s="1251"/>
      <c r="V51" s="1251"/>
      <c r="W51" s="1251"/>
      <c r="X51" s="1251"/>
      <c r="Y51" s="1251"/>
      <c r="Z51" s="1251"/>
      <c r="AA51" s="1251"/>
      <c r="AB51" s="1251"/>
      <c r="AC51" s="1251"/>
    </row>
    <row r="52" ht="13.5" customHeight="1" spans="1:29">
      <c r="A52" s="1251"/>
      <c r="B52" s="1251"/>
      <c r="C52" s="1253" t="s">
        <v>1525</v>
      </c>
      <c r="D52" s="743"/>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8"/>
      <c r="Q52" s="1251"/>
      <c r="R52" s="1251"/>
      <c r="S52" s="1251"/>
      <c r="T52" s="1251"/>
      <c r="U52" s="1251"/>
      <c r="V52" s="1251"/>
      <c r="W52" s="1251"/>
      <c r="X52" s="1251"/>
      <c r="Y52" s="1251"/>
      <c r="Z52" s="1251"/>
      <c r="AA52" s="1251"/>
      <c r="AB52" s="1251"/>
      <c r="AC52" s="1251"/>
    </row>
    <row r="53" ht="13.5" customHeight="1" spans="1:29">
      <c r="A53" s="1251"/>
      <c r="B53" s="1251"/>
      <c r="C53" s="1253" t="s">
        <v>1526</v>
      </c>
      <c r="D53" s="742"/>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8"/>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1527</v>
      </c>
      <c r="D54" s="742"/>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69"/>
      <c r="Q54" s="1256"/>
      <c r="R54" s="1256"/>
      <c r="S54" s="1256"/>
      <c r="T54" s="1256"/>
      <c r="U54" s="1256"/>
      <c r="V54" s="1256"/>
      <c r="W54" s="1256"/>
      <c r="X54" s="1256"/>
      <c r="Y54" s="1256"/>
      <c r="Z54" s="1256"/>
      <c r="AA54" s="1256"/>
      <c r="AB54" s="1256"/>
      <c r="AC54" s="1256"/>
    </row>
    <row r="55" s="1126" customFormat="1" spans="1:29">
      <c r="A55" s="1256"/>
      <c r="B55" s="1257"/>
      <c r="C55" s="1592"/>
      <c r="D55" s="1256"/>
      <c r="E55" s="1256"/>
      <c r="F55" s="1256"/>
      <c r="G55" s="1256"/>
      <c r="H55" s="1256"/>
      <c r="I55" s="1256"/>
      <c r="J55" s="1256"/>
      <c r="K55" s="1342"/>
      <c r="L55" s="1343"/>
      <c r="M55" s="1256"/>
      <c r="N55" s="1256"/>
      <c r="O55" s="1256"/>
      <c r="P55" s="1769"/>
      <c r="Q55" s="1256"/>
      <c r="R55" s="1256"/>
      <c r="S55" s="1256"/>
      <c r="T55" s="1256"/>
      <c r="U55" s="1256"/>
      <c r="V55" s="1256"/>
      <c r="W55" s="1256"/>
      <c r="X55" s="1256"/>
      <c r="Y55" s="1256"/>
      <c r="Z55" s="1256"/>
      <c r="AA55" s="1256"/>
      <c r="AB55" s="1256"/>
      <c r="AC55" s="1256"/>
    </row>
    <row r="56" spans="1:29">
      <c r="A56" s="1251"/>
      <c r="B56" s="1257"/>
      <c r="C56" s="1592"/>
      <c r="D56" s="1251"/>
      <c r="E56" s="1251"/>
      <c r="F56" s="1251"/>
      <c r="G56" s="1251"/>
      <c r="H56" s="1251"/>
      <c r="I56" s="1251"/>
      <c r="J56" s="1251"/>
      <c r="K56" s="1340"/>
      <c r="L56" s="1341"/>
      <c r="M56" s="1251"/>
      <c r="N56" s="1251"/>
      <c r="O56" s="1251"/>
      <c r="P56" s="1768"/>
      <c r="Q56" s="1251"/>
      <c r="R56" s="1251"/>
      <c r="S56" s="1251"/>
      <c r="T56" s="1251"/>
      <c r="U56" s="1251"/>
      <c r="V56" s="1251"/>
      <c r="W56" s="1251"/>
      <c r="X56" s="1251"/>
      <c r="Y56" s="1251"/>
      <c r="Z56" s="1251"/>
      <c r="AA56" s="1251"/>
      <c r="AB56" s="1251"/>
      <c r="AC56" s="1251"/>
    </row>
    <row r="57" ht="21" spans="1:29">
      <c r="A57" s="1291" t="s">
        <v>1528</v>
      </c>
      <c r="B57" s="1292"/>
      <c r="C57" s="1293"/>
      <c r="D57" s="1293"/>
      <c r="E57" s="1293"/>
      <c r="F57" s="1294"/>
      <c r="G57" s="1294"/>
      <c r="H57" s="1293"/>
      <c r="I57" s="1293"/>
      <c r="J57" s="1293"/>
      <c r="K57" s="1350"/>
      <c r="L57" s="1536"/>
      <c r="M57" s="1352"/>
      <c r="N57" s="1352"/>
      <c r="O57" s="1352"/>
      <c r="P57" s="1770"/>
      <c r="Q57" s="1378"/>
      <c r="R57" s="1251"/>
      <c r="S57" s="1251"/>
      <c r="T57" s="1251"/>
      <c r="U57" s="1251"/>
      <c r="V57" s="1251"/>
      <c r="W57" s="1251"/>
      <c r="X57" s="1251"/>
      <c r="Y57" s="1251"/>
      <c r="Z57" s="1251"/>
      <c r="AA57" s="1251"/>
      <c r="AB57" s="1251"/>
      <c r="AC57" s="1251"/>
    </row>
    <row r="58" s="1128" customFormat="1" ht="15" spans="1:29">
      <c r="A58" s="1593" t="s">
        <v>1488</v>
      </c>
      <c r="B58" s="1594"/>
      <c r="C58" s="1595" t="str">
        <f>YEAR(C7)&amp;"-"&amp;MONTH(C7)</f>
        <v>2024-9</v>
      </c>
      <c r="D58" s="1596">
        <f>EDATE(C58,-1)</f>
        <v>45505</v>
      </c>
      <c r="E58" s="1596">
        <f t="shared" ref="E58:O58" si="16">EDATE(D58,-1)</f>
        <v>45474</v>
      </c>
      <c r="F58" s="1596">
        <f t="shared" si="16"/>
        <v>45444</v>
      </c>
      <c r="G58" s="1596">
        <f t="shared" si="16"/>
        <v>45413</v>
      </c>
      <c r="H58" s="1596">
        <f t="shared" si="16"/>
        <v>45383</v>
      </c>
      <c r="I58" s="1596">
        <f t="shared" si="16"/>
        <v>45352</v>
      </c>
      <c r="J58" s="1596">
        <f t="shared" si="16"/>
        <v>45323</v>
      </c>
      <c r="K58" s="1596">
        <f t="shared" si="16"/>
        <v>45292</v>
      </c>
      <c r="L58" s="1596">
        <f t="shared" si="16"/>
        <v>45261</v>
      </c>
      <c r="M58" s="1596">
        <f t="shared" si="16"/>
        <v>45231</v>
      </c>
      <c r="N58" s="1596">
        <f t="shared" si="16"/>
        <v>45200</v>
      </c>
      <c r="O58" s="1596">
        <f t="shared" si="16"/>
        <v>45170</v>
      </c>
      <c r="P58" s="1771"/>
      <c r="Q58" s="1497"/>
      <c r="R58" s="1497"/>
      <c r="S58" s="1497"/>
      <c r="T58" s="1497"/>
      <c r="U58" s="1497"/>
      <c r="V58" s="1497"/>
      <c r="W58" s="1497"/>
      <c r="X58" s="1497"/>
      <c r="Y58" s="1497"/>
      <c r="Z58" s="1497"/>
      <c r="AA58" s="1497"/>
      <c r="AB58" s="1497"/>
      <c r="AC58" s="1497"/>
    </row>
    <row r="59" s="1123" customFormat="1" ht="15" spans="1:29">
      <c r="A59" s="1597"/>
      <c r="B59" s="1400"/>
      <c r="C59" s="1598">
        <v>100</v>
      </c>
      <c r="D59" s="1404"/>
      <c r="E59" s="1404"/>
      <c r="F59" s="1404"/>
      <c r="G59" s="1404"/>
      <c r="H59" s="1404"/>
      <c r="I59" s="1404"/>
      <c r="J59" s="1404"/>
      <c r="K59" s="1404"/>
      <c r="L59" s="1404"/>
      <c r="M59" s="1605"/>
      <c r="N59" s="1404"/>
      <c r="O59" s="1605"/>
      <c r="P59" s="1772"/>
      <c r="Q59" s="1498"/>
      <c r="R59" s="1498"/>
      <c r="S59" s="1498"/>
      <c r="T59" s="1498"/>
      <c r="U59" s="1498"/>
      <c r="V59" s="1498"/>
      <c r="W59" s="1498"/>
      <c r="X59" s="1498"/>
      <c r="Y59" s="1498"/>
      <c r="Z59" s="1498"/>
      <c r="AA59" s="1498"/>
      <c r="AB59" s="1498"/>
      <c r="AC59" s="1498"/>
    </row>
    <row r="60" s="1123" customFormat="1" ht="15.75" spans="1:29">
      <c r="A60" s="1395" t="s">
        <v>1529</v>
      </c>
      <c r="B60" s="1396"/>
      <c r="C60" s="1397"/>
      <c r="D60" s="1398"/>
      <c r="E60" s="1398"/>
      <c r="F60" s="1398"/>
      <c r="G60" s="1398"/>
      <c r="H60" s="1398"/>
      <c r="I60" s="1398"/>
      <c r="J60" s="1398"/>
      <c r="K60" s="1398"/>
      <c r="L60" s="1398"/>
      <c r="M60" s="1444"/>
      <c r="N60" s="1398"/>
      <c r="O60" s="1444"/>
      <c r="P60" s="1772"/>
      <c r="Q60" s="1378"/>
      <c r="R60" s="1498"/>
      <c r="S60" s="1498"/>
      <c r="T60" s="1498"/>
      <c r="U60" s="1498"/>
      <c r="V60" s="1498"/>
      <c r="W60" s="1498"/>
      <c r="X60" s="1498"/>
      <c r="Y60" s="1498"/>
      <c r="Z60" s="1498"/>
      <c r="AA60" s="1498"/>
      <c r="AB60" s="1498"/>
      <c r="AC60" s="1498"/>
    </row>
    <row r="61" s="1123" customFormat="1" ht="15" spans="1:29">
      <c r="A61" s="1399" t="s">
        <v>1491</v>
      </c>
      <c r="B61" s="1400"/>
      <c r="C61" s="1401" t="s">
        <v>1530</v>
      </c>
      <c r="D61" s="1402"/>
      <c r="E61" s="1402"/>
      <c r="F61" s="1402"/>
      <c r="G61" s="1402"/>
      <c r="H61" s="1402"/>
      <c r="I61" s="1402"/>
      <c r="J61" s="1402"/>
      <c r="K61" s="1402"/>
      <c r="L61" s="1446"/>
      <c r="M61" s="1447"/>
      <c r="N61" s="1448"/>
      <c r="O61" s="1448"/>
      <c r="P61" s="1773"/>
      <c r="Q61" s="1378"/>
      <c r="R61" s="1498"/>
      <c r="S61" s="1498"/>
      <c r="T61" s="1498"/>
      <c r="U61" s="1498"/>
      <c r="V61" s="1498"/>
      <c r="W61" s="1498"/>
      <c r="X61" s="1498"/>
      <c r="Y61" s="1498"/>
      <c r="Z61" s="1498"/>
      <c r="AA61" s="1498"/>
      <c r="AB61" s="1498"/>
      <c r="AC61" s="1498"/>
    </row>
    <row r="62" s="1123" customFormat="1" ht="15.75" spans="1:29">
      <c r="A62" s="1399"/>
      <c r="B62" s="1400"/>
      <c r="C62" s="1732">
        <v>100</v>
      </c>
      <c r="D62" s="1404"/>
      <c r="E62" s="1404"/>
      <c r="F62" s="1404"/>
      <c r="G62" s="1404"/>
      <c r="H62" s="1404"/>
      <c r="I62" s="1404"/>
      <c r="J62" s="1404"/>
      <c r="K62" s="1404"/>
      <c r="L62" s="1404"/>
      <c r="M62" s="1450"/>
      <c r="N62" s="1448"/>
      <c r="O62" s="1448"/>
      <c r="P62" s="1772"/>
      <c r="Q62" s="1378"/>
      <c r="R62" s="1498"/>
      <c r="S62" s="1498"/>
      <c r="T62" s="1498"/>
      <c r="U62" s="1498"/>
      <c r="V62" s="1498"/>
      <c r="W62" s="1498"/>
      <c r="X62" s="1498"/>
      <c r="Y62" s="1498"/>
      <c r="Z62" s="1498"/>
      <c r="AA62" s="1498"/>
      <c r="AB62" s="1498"/>
      <c r="AC62" s="1498"/>
    </row>
    <row r="63" spans="1:29">
      <c r="A63" s="1405" t="s">
        <v>1531</v>
      </c>
      <c r="B63" s="1406" t="s">
        <v>1494</v>
      </c>
      <c r="C63" s="1428">
        <f>C9</f>
        <v>0</v>
      </c>
      <c r="D63" s="1333"/>
      <c r="E63" s="1333"/>
      <c r="F63" s="1333"/>
      <c r="G63" s="1333"/>
      <c r="H63" s="1333"/>
      <c r="I63" s="1333"/>
      <c r="J63" s="1333"/>
      <c r="K63" s="1451"/>
      <c r="L63" s="1452"/>
      <c r="M63" s="1453"/>
      <c r="N63" s="1454"/>
      <c r="O63" s="1454"/>
      <c r="P63" s="1774"/>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6"/>
      <c r="N64" s="1457"/>
      <c r="O64" s="1457"/>
      <c r="P64" s="1774"/>
      <c r="Q64" s="1378"/>
      <c r="R64" s="1251"/>
      <c r="S64" s="1251"/>
      <c r="T64" s="1251"/>
      <c r="U64" s="1251"/>
      <c r="V64" s="1251"/>
      <c r="W64" s="1251"/>
      <c r="X64" s="1251"/>
      <c r="Y64" s="1251"/>
      <c r="Z64" s="1251"/>
      <c r="AA64" s="1251"/>
      <c r="AB64" s="1251"/>
      <c r="AC64" s="1251"/>
    </row>
    <row r="65" ht="27.75" spans="1:29">
      <c r="A65" s="1407"/>
      <c r="B65" s="1410" t="s">
        <v>1497</v>
      </c>
      <c r="C65" s="1435"/>
      <c r="D65" s="1435"/>
      <c r="E65" s="1435"/>
      <c r="F65" s="1435"/>
      <c r="G65" s="1435"/>
      <c r="H65" s="1435"/>
      <c r="I65" s="1435"/>
      <c r="J65" s="1435"/>
      <c r="K65" s="1484"/>
      <c r="L65" s="1485"/>
      <c r="M65" s="1486"/>
      <c r="N65" s="1454"/>
      <c r="O65" s="1454"/>
      <c r="P65" s="1774"/>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6"/>
      <c r="N66" s="1457"/>
      <c r="O66" s="1457"/>
      <c r="P66" s="1774"/>
      <c r="Q66" s="1378"/>
      <c r="R66" s="1251"/>
      <c r="S66" s="1251"/>
      <c r="T66" s="1251"/>
      <c r="U66" s="1251"/>
      <c r="V66" s="1251"/>
      <c r="W66" s="1251"/>
      <c r="X66" s="1251"/>
      <c r="Y66" s="1251"/>
      <c r="Z66" s="1251"/>
      <c r="AA66" s="1251"/>
      <c r="AB66" s="1251"/>
      <c r="AC66" s="1251"/>
    </row>
    <row r="67" ht="15.75" spans="1:29">
      <c r="A67" s="1407"/>
      <c r="B67" s="1414" t="s">
        <v>1498</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7"/>
      <c r="O67" s="1457"/>
      <c r="P67" s="1774"/>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2"/>
      <c r="L68" s="1463"/>
      <c r="M68" s="1464"/>
      <c r="N68" s="1454"/>
      <c r="O68" s="1454"/>
      <c r="P68" s="1774"/>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1">
        <f t="shared" si="18"/>
        <v>100</v>
      </c>
      <c r="N69" s="1457"/>
      <c r="O69" s="1457"/>
      <c r="P69" s="1774"/>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5"/>
      <c r="M70" s="1466"/>
      <c r="N70" s="1467"/>
      <c r="O70" s="1467"/>
      <c r="P70" s="1779"/>
      <c r="Q70" s="1499"/>
      <c r="R70" s="1500"/>
      <c r="S70" s="1500"/>
      <c r="T70" s="1500"/>
      <c r="U70" s="1500"/>
      <c r="V70" s="1500"/>
      <c r="W70" s="1500"/>
      <c r="X70" s="1500"/>
      <c r="Y70" s="1500"/>
      <c r="Z70" s="1500"/>
      <c r="AA70" s="1500"/>
      <c r="AB70" s="1500"/>
      <c r="AC70" s="1500"/>
    </row>
    <row r="71" s="1125" customFormat="1" ht="15.75" spans="1:29">
      <c r="A71" s="1417"/>
      <c r="B71" s="1412"/>
      <c r="C71" s="1420"/>
      <c r="D71" s="1409"/>
      <c r="E71" s="1409"/>
      <c r="F71" s="1409"/>
      <c r="G71" s="1409"/>
      <c r="H71" s="1409"/>
      <c r="I71" s="1409"/>
      <c r="J71" s="1409"/>
      <c r="K71" s="1409"/>
      <c r="L71" s="1409"/>
      <c r="M71" s="1456"/>
      <c r="N71" s="1457"/>
      <c r="O71" s="1457"/>
      <c r="P71" s="1779"/>
      <c r="Q71" s="1499"/>
      <c r="R71" s="1500"/>
      <c r="S71" s="1500"/>
      <c r="T71" s="1500"/>
      <c r="U71" s="1500"/>
      <c r="V71" s="1500"/>
      <c r="W71" s="1500"/>
      <c r="X71" s="1500"/>
      <c r="Y71" s="1500"/>
      <c r="Z71" s="1500"/>
      <c r="AA71" s="1500"/>
      <c r="AB71" s="1500"/>
      <c r="AC71" s="1500"/>
    </row>
    <row r="72" s="1125" customFormat="1" ht="15.75" spans="1:29">
      <c r="A72" s="1417"/>
      <c r="B72" s="1410">
        <f>B13</f>
        <v>111</v>
      </c>
      <c r="C72" s="1418"/>
      <c r="D72" s="1418"/>
      <c r="E72" s="1418"/>
      <c r="F72" s="1418"/>
      <c r="G72" s="1418"/>
      <c r="H72" s="1419"/>
      <c r="I72" s="1419"/>
      <c r="J72" s="1419"/>
      <c r="K72" s="1419"/>
      <c r="L72" s="1465"/>
      <c r="M72" s="1466"/>
      <c r="N72" s="1467"/>
      <c r="O72" s="1467"/>
      <c r="P72" s="1780"/>
      <c r="Q72" s="1501"/>
      <c r="R72" s="1500"/>
      <c r="S72" s="1500"/>
      <c r="T72" s="1500"/>
      <c r="U72" s="1500"/>
      <c r="V72" s="1500"/>
      <c r="W72" s="1500"/>
      <c r="X72" s="1500"/>
      <c r="Y72" s="1500"/>
      <c r="Z72" s="1500"/>
      <c r="AA72" s="1500"/>
      <c r="AB72" s="1500"/>
      <c r="AC72" s="1500"/>
    </row>
    <row r="73" s="1125" customFormat="1" ht="15.75" spans="1:29">
      <c r="A73" s="1417"/>
      <c r="B73" s="1412"/>
      <c r="C73" s="1420"/>
      <c r="D73" s="1409"/>
      <c r="E73" s="1409"/>
      <c r="F73" s="1409"/>
      <c r="G73" s="1420"/>
      <c r="H73" s="1421"/>
      <c r="I73" s="1421"/>
      <c r="J73" s="1421"/>
      <c r="K73" s="1421"/>
      <c r="L73" s="1421"/>
      <c r="M73" s="1469"/>
      <c r="N73" s="1467"/>
      <c r="O73" s="1467"/>
      <c r="P73" s="1779"/>
      <c r="Q73" s="1499"/>
      <c r="R73" s="1500"/>
      <c r="S73" s="1500"/>
      <c r="T73" s="1500"/>
      <c r="U73" s="1500"/>
      <c r="V73" s="1500"/>
      <c r="W73" s="1500"/>
      <c r="X73" s="1500"/>
      <c r="Y73" s="1500"/>
      <c r="Z73" s="1500"/>
      <c r="AA73" s="1500"/>
      <c r="AB73" s="1500"/>
      <c r="AC73" s="1500"/>
    </row>
    <row r="74" s="1125" customFormat="1" ht="15.75" spans="1:29">
      <c r="A74" s="1417"/>
      <c r="B74" s="1414">
        <f>B14</f>
        <v>111</v>
      </c>
      <c r="C74" s="1418"/>
      <c r="D74" s="1418"/>
      <c r="E74" s="1418"/>
      <c r="F74" s="1418"/>
      <c r="G74" s="1402"/>
      <c r="H74" s="1422"/>
      <c r="I74" s="1422"/>
      <c r="J74" s="1422"/>
      <c r="K74" s="1422"/>
      <c r="L74" s="1470"/>
      <c r="M74" s="1471"/>
      <c r="N74" s="1467"/>
      <c r="O74" s="1467"/>
      <c r="P74" s="1781"/>
      <c r="Q74" s="1499"/>
      <c r="R74" s="1500"/>
      <c r="S74" s="1500"/>
      <c r="T74" s="1500"/>
      <c r="U74" s="1500"/>
      <c r="V74" s="1500"/>
      <c r="W74" s="1500"/>
      <c r="X74" s="1500"/>
      <c r="Y74" s="1500"/>
      <c r="Z74" s="1500"/>
      <c r="AA74" s="1500"/>
      <c r="AB74" s="1500"/>
      <c r="AC74" s="1500"/>
    </row>
    <row r="75" s="1125" customFormat="1" ht="15.75" spans="1:29">
      <c r="A75" s="1423"/>
      <c r="B75" s="1424"/>
      <c r="C75" s="1425"/>
      <c r="D75" s="1425"/>
      <c r="E75" s="1425"/>
      <c r="F75" s="1425"/>
      <c r="G75" s="1425"/>
      <c r="H75" s="1426"/>
      <c r="I75" s="1426"/>
      <c r="J75" s="1426"/>
      <c r="K75" s="1426"/>
      <c r="L75" s="1426"/>
      <c r="M75" s="1473"/>
      <c r="N75" s="1467"/>
      <c r="O75" s="1467"/>
      <c r="P75" s="1779"/>
      <c r="Q75" s="1499"/>
      <c r="R75" s="1500"/>
      <c r="S75" s="1500"/>
      <c r="T75" s="1500"/>
      <c r="U75" s="1500"/>
      <c r="V75" s="1500"/>
      <c r="W75" s="1500"/>
      <c r="X75" s="1500"/>
      <c r="Y75" s="1500"/>
      <c r="Z75" s="1500"/>
      <c r="AA75" s="1500"/>
      <c r="AB75" s="1500"/>
      <c r="AC75" s="1500"/>
    </row>
    <row r="76" spans="1:29">
      <c r="A76" s="1405" t="s">
        <v>1499</v>
      </c>
      <c r="B76" s="1406" t="s">
        <v>1500</v>
      </c>
      <c r="C76" s="1427" t="s">
        <v>1532</v>
      </c>
      <c r="D76" s="1427" t="s">
        <v>1533</v>
      </c>
      <c r="E76" s="1427" t="s">
        <v>1534</v>
      </c>
      <c r="F76" s="1427" t="s">
        <v>1535</v>
      </c>
      <c r="G76" s="1427" t="s">
        <v>1536</v>
      </c>
      <c r="H76" s="1428"/>
      <c r="I76" s="1428"/>
      <c r="J76" s="1428"/>
      <c r="K76" s="1474"/>
      <c r="L76" s="1475"/>
      <c r="M76" s="1476"/>
      <c r="N76" s="1454"/>
      <c r="O76" s="1454"/>
      <c r="P76" s="1782"/>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1"/>
      <c r="N77" s="1457"/>
      <c r="O77" s="1457"/>
      <c r="P77" s="1774"/>
      <c r="Q77" s="1378"/>
      <c r="R77" s="1251"/>
      <c r="S77" s="1251"/>
      <c r="T77" s="1251"/>
      <c r="U77" s="1251"/>
      <c r="V77" s="1251"/>
      <c r="W77" s="1251"/>
      <c r="X77" s="1251"/>
      <c r="Y77" s="1251"/>
      <c r="Z77" s="1251"/>
      <c r="AA77" s="1251"/>
      <c r="AB77" s="1251"/>
      <c r="AC77" s="1251"/>
    </row>
    <row r="78" ht="15.75" spans="1:29">
      <c r="A78" s="1407"/>
      <c r="B78" s="1410" t="s">
        <v>1502</v>
      </c>
      <c r="C78" s="1429" t="s">
        <v>1532</v>
      </c>
      <c r="D78" s="1429" t="s">
        <v>1533</v>
      </c>
      <c r="E78" s="1429" t="s">
        <v>1534</v>
      </c>
      <c r="F78" s="1429" t="s">
        <v>1535</v>
      </c>
      <c r="G78" s="1429" t="s">
        <v>1536</v>
      </c>
      <c r="H78" s="1411"/>
      <c r="I78" s="1411"/>
      <c r="J78" s="1411"/>
      <c r="K78" s="1458"/>
      <c r="L78" s="1459"/>
      <c r="M78" s="1460"/>
      <c r="N78" s="1454"/>
      <c r="O78" s="1454"/>
      <c r="P78" s="1774"/>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1"/>
      <c r="N79" s="1457"/>
      <c r="O79" s="1457"/>
      <c r="P79" s="1774"/>
      <c r="Q79" s="1378"/>
      <c r="R79" s="1251"/>
      <c r="S79" s="1251"/>
      <c r="T79" s="1251"/>
      <c r="U79" s="1251"/>
      <c r="V79" s="1251"/>
      <c r="W79" s="1251"/>
      <c r="X79" s="1251"/>
      <c r="Y79" s="1251"/>
      <c r="Z79" s="1251"/>
      <c r="AA79" s="1251"/>
      <c r="AB79" s="1251"/>
      <c r="AC79" s="1251"/>
    </row>
    <row r="80" ht="15.75" spans="1:29">
      <c r="A80" s="1407"/>
      <c r="B80" s="1410" t="s">
        <v>1503</v>
      </c>
      <c r="C80" s="1429" t="s">
        <v>1532</v>
      </c>
      <c r="D80" s="1429" t="s">
        <v>1533</v>
      </c>
      <c r="E80" s="1429" t="s">
        <v>1534</v>
      </c>
      <c r="F80" s="1429" t="s">
        <v>1535</v>
      </c>
      <c r="G80" s="1429" t="s">
        <v>1536</v>
      </c>
      <c r="H80" s="1411"/>
      <c r="I80" s="1411"/>
      <c r="J80" s="1411"/>
      <c r="K80" s="1458"/>
      <c r="L80" s="1459"/>
      <c r="M80" s="1460"/>
      <c r="N80" s="1454"/>
      <c r="O80" s="1454"/>
      <c r="P80" s="1774"/>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1"/>
      <c r="N81" s="1457"/>
      <c r="O81" s="1457"/>
      <c r="P81" s="1774"/>
      <c r="Q81" s="1378"/>
      <c r="R81" s="1251"/>
      <c r="S81" s="1251"/>
      <c r="T81" s="1251"/>
      <c r="U81" s="1251"/>
      <c r="V81" s="1251"/>
      <c r="W81" s="1251"/>
      <c r="X81" s="1251"/>
      <c r="Y81" s="1251"/>
      <c r="Z81" s="1251"/>
      <c r="AA81" s="1251"/>
      <c r="AB81" s="1251"/>
      <c r="AC81" s="1251"/>
    </row>
    <row r="82" ht="15.75" spans="1:29">
      <c r="A82" s="1407"/>
      <c r="B82" s="1414" t="s">
        <v>1504</v>
      </c>
      <c r="C82" s="1434" t="s">
        <v>1537</v>
      </c>
      <c r="D82" s="1434" t="s">
        <v>1538</v>
      </c>
      <c r="E82" s="1434" t="s">
        <v>1539</v>
      </c>
      <c r="F82" s="1434" t="s">
        <v>1540</v>
      </c>
      <c r="G82" s="1434" t="s">
        <v>1541</v>
      </c>
      <c r="H82" s="1411"/>
      <c r="I82" s="1411"/>
      <c r="J82" s="1411"/>
      <c r="K82" s="1411"/>
      <c r="L82" s="1411"/>
      <c r="M82" s="1611"/>
      <c r="N82" s="1457"/>
      <c r="O82" s="1457"/>
      <c r="P82" s="1774"/>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7"/>
      <c r="O83" s="1457"/>
      <c r="P83" s="1774"/>
      <c r="Q83" s="1378"/>
      <c r="R83" s="1251"/>
      <c r="S83" s="1251"/>
      <c r="T83" s="1251"/>
      <c r="U83" s="1251"/>
      <c r="V83" s="1251"/>
      <c r="W83" s="1251"/>
      <c r="X83" s="1251"/>
      <c r="Y83" s="1251"/>
      <c r="Z83" s="1251"/>
      <c r="AA83" s="1251"/>
      <c r="AB83" s="1251"/>
      <c r="AC83" s="1251"/>
    </row>
    <row r="84" ht="15.75" spans="1:29">
      <c r="A84" s="1407"/>
      <c r="B84" s="1410" t="s">
        <v>1505</v>
      </c>
      <c r="C84" s="1429" t="s">
        <v>1532</v>
      </c>
      <c r="D84" s="1429" t="s">
        <v>1533</v>
      </c>
      <c r="E84" s="1429" t="s">
        <v>1534</v>
      </c>
      <c r="F84" s="1429" t="s">
        <v>1535</v>
      </c>
      <c r="G84" s="1429" t="s">
        <v>1536</v>
      </c>
      <c r="H84" s="1411"/>
      <c r="I84" s="1411"/>
      <c r="J84" s="1411"/>
      <c r="K84" s="1458"/>
      <c r="L84" s="1459"/>
      <c r="M84" s="1460"/>
      <c r="N84" s="1454"/>
      <c r="O84" s="1454"/>
      <c r="P84" s="1774"/>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1"/>
      <c r="N85" s="1457"/>
      <c r="O85" s="1457"/>
      <c r="P85" s="1774"/>
      <c r="Q85" s="1378"/>
      <c r="R85" s="1251"/>
      <c r="S85" s="1251"/>
      <c r="T85" s="1251"/>
      <c r="U85" s="1251"/>
      <c r="V85" s="1251"/>
      <c r="W85" s="1251"/>
      <c r="X85" s="1251"/>
      <c r="Y85" s="1251"/>
      <c r="Z85" s="1251"/>
      <c r="AA85" s="1251"/>
      <c r="AB85" s="1251"/>
      <c r="AC85" s="1251"/>
    </row>
    <row r="86" s="1123" customFormat="1" ht="15.75" spans="1:29">
      <c r="A86" s="1430"/>
      <c r="B86" s="1410" t="s">
        <v>1564</v>
      </c>
      <c r="C86" s="1418"/>
      <c r="D86" s="1418"/>
      <c r="E86" s="1418"/>
      <c r="F86" s="1418"/>
      <c r="G86" s="1418"/>
      <c r="H86" s="1418"/>
      <c r="I86" s="1418"/>
      <c r="J86" s="1418"/>
      <c r="K86" s="1418"/>
      <c r="L86" s="1612"/>
      <c r="M86" s="1613"/>
      <c r="N86" s="1448"/>
      <c r="O86" s="1448"/>
      <c r="P86" s="1774"/>
      <c r="Q86" s="1378"/>
      <c r="R86" s="1498"/>
      <c r="S86" s="1498"/>
      <c r="T86" s="1498"/>
      <c r="U86" s="1498"/>
      <c r="V86" s="1498"/>
      <c r="W86" s="1498"/>
      <c r="X86" s="1498"/>
      <c r="Y86" s="1498"/>
      <c r="Z86" s="1498"/>
      <c r="AA86" s="1498"/>
      <c r="AB86" s="1498"/>
      <c r="AC86" s="1498"/>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7"/>
      <c r="O87" s="1457"/>
      <c r="P87" s="1774"/>
      <c r="Q87" s="1378"/>
      <c r="R87" s="1498"/>
      <c r="S87" s="1498"/>
      <c r="T87" s="1498"/>
      <c r="U87" s="1498"/>
      <c r="V87" s="1498"/>
      <c r="W87" s="1498"/>
      <c r="X87" s="1498"/>
      <c r="Y87" s="1498"/>
      <c r="Z87" s="1498"/>
      <c r="AA87" s="1498"/>
      <c r="AB87" s="1498"/>
      <c r="AC87" s="1498"/>
    </row>
    <row r="88" s="1123" customFormat="1" ht="15.75" spans="1:29">
      <c r="A88" s="1430"/>
      <c r="B88" s="1410" t="str">
        <f>B26</f>
        <v>平面位置/可视性</v>
      </c>
      <c r="C88" s="1418"/>
      <c r="D88" s="1418"/>
      <c r="E88" s="1418"/>
      <c r="F88" s="1755"/>
      <c r="G88" s="1418"/>
      <c r="H88" s="1418"/>
      <c r="I88" s="1418"/>
      <c r="J88" s="1418"/>
      <c r="K88" s="1418"/>
      <c r="L88" s="1418"/>
      <c r="M88" s="1613"/>
      <c r="N88" s="1448"/>
      <c r="O88" s="1448"/>
      <c r="P88" s="1774"/>
      <c r="Q88" s="1378"/>
      <c r="R88" s="1498"/>
      <c r="S88" s="1498"/>
      <c r="T88" s="1498"/>
      <c r="U88" s="1498"/>
      <c r="V88" s="1498"/>
      <c r="W88" s="1498"/>
      <c r="X88" s="1498"/>
      <c r="Y88" s="1498"/>
      <c r="Z88" s="1498"/>
      <c r="AA88" s="1498"/>
      <c r="AB88" s="1498"/>
      <c r="AC88" s="1498"/>
    </row>
    <row r="89" s="1123" customFormat="1" ht="15.75" spans="1:29">
      <c r="A89" s="1430"/>
      <c r="B89" s="1412"/>
      <c r="C89" s="1420"/>
      <c r="D89" s="1409"/>
      <c r="E89" s="1409"/>
      <c r="F89" s="1409"/>
      <c r="G89" s="1409"/>
      <c r="H89" s="1409"/>
      <c r="I89" s="1409"/>
      <c r="J89" s="1409"/>
      <c r="K89" s="1409"/>
      <c r="L89" s="1409"/>
      <c r="M89" s="1409"/>
      <c r="N89" s="1457"/>
      <c r="O89" s="1457"/>
      <c r="P89" s="1774"/>
      <c r="Q89" s="1378"/>
      <c r="R89" s="1498"/>
      <c r="S89" s="1498"/>
      <c r="T89" s="1498"/>
      <c r="U89" s="1498"/>
      <c r="V89" s="1498"/>
      <c r="W89" s="1498"/>
      <c r="X89" s="1498"/>
      <c r="Y89" s="1498"/>
      <c r="Z89" s="1498"/>
      <c r="AA89" s="1498"/>
      <c r="AB89" s="1498"/>
      <c r="AC89" s="1498"/>
    </row>
    <row r="90" s="1125" customFormat="1" ht="15.75" spans="1:29">
      <c r="A90" s="1417"/>
      <c r="B90" s="1410" t="str">
        <f>B27</f>
        <v>人流量</v>
      </c>
      <c r="C90" s="1418"/>
      <c r="D90" s="1418"/>
      <c r="E90" s="1418"/>
      <c r="F90" s="1418"/>
      <c r="G90" s="1418"/>
      <c r="H90" s="1419"/>
      <c r="I90" s="1419"/>
      <c r="J90" s="1419"/>
      <c r="K90" s="1419"/>
      <c r="L90" s="1465"/>
      <c r="M90" s="1466"/>
      <c r="N90" s="1467"/>
      <c r="O90" s="1467"/>
      <c r="P90" s="1779"/>
      <c r="Q90" s="1499"/>
      <c r="R90" s="1500"/>
      <c r="S90" s="1500"/>
      <c r="T90" s="1500"/>
      <c r="U90" s="1500"/>
      <c r="V90" s="1500"/>
      <c r="W90" s="1500"/>
      <c r="X90" s="1500"/>
      <c r="Y90" s="1500"/>
      <c r="Z90" s="1500"/>
      <c r="AA90" s="1500"/>
      <c r="AB90" s="1500"/>
      <c r="AC90" s="1500"/>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7"/>
      <c r="O91" s="1467"/>
      <c r="P91" s="1779"/>
      <c r="Q91" s="1499"/>
      <c r="R91" s="1500"/>
      <c r="S91" s="1500"/>
      <c r="T91" s="1500"/>
      <c r="U91" s="1500"/>
      <c r="V91" s="1500"/>
      <c r="W91" s="1500"/>
      <c r="X91" s="1500"/>
      <c r="Y91" s="1500"/>
      <c r="Z91" s="1500"/>
      <c r="AA91" s="1500"/>
      <c r="AB91" s="1500"/>
      <c r="AC91" s="1500"/>
    </row>
    <row r="92" ht="15.75" spans="1:29">
      <c r="A92" s="1407"/>
      <c r="B92" s="1410" t="str">
        <f>B28</f>
        <v>楼层</v>
      </c>
      <c r="C92" s="1418"/>
      <c r="D92" s="1418"/>
      <c r="E92" s="1418"/>
      <c r="F92" s="1418"/>
      <c r="G92" s="1418"/>
      <c r="H92" s="1418"/>
      <c r="I92" s="1418"/>
      <c r="J92" s="1418"/>
      <c r="K92" s="1418"/>
      <c r="L92" s="1612"/>
      <c r="M92" s="1613"/>
      <c r="N92" s="1454"/>
      <c r="O92" s="1454"/>
      <c r="P92" s="1774"/>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6"/>
      <c r="N93" s="1457"/>
      <c r="O93" s="1457"/>
      <c r="P93" s="1774"/>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4"/>
      <c r="L94" s="1485"/>
      <c r="M94" s="1486"/>
      <c r="N94" s="1454"/>
      <c r="O94" s="1454"/>
      <c r="P94" s="1774"/>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6"/>
      <c r="N95" s="1457"/>
      <c r="O95" s="1457"/>
      <c r="P95" s="1774"/>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4"/>
      <c r="L96" s="1485"/>
      <c r="M96" s="1486"/>
      <c r="N96" s="1454"/>
      <c r="O96" s="1454"/>
      <c r="P96" s="1774"/>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6"/>
      <c r="N97" s="1457"/>
      <c r="O97" s="1457"/>
      <c r="P97" s="1774"/>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7"/>
      <c r="L98" s="1488"/>
      <c r="M98" s="1489"/>
      <c r="N98" s="1454"/>
      <c r="O98" s="1454"/>
      <c r="P98" s="1774"/>
      <c r="Q98" s="1378"/>
      <c r="R98" s="1251"/>
      <c r="S98" s="1251"/>
      <c r="T98" s="1251"/>
      <c r="U98" s="1251"/>
      <c r="V98" s="1251"/>
      <c r="W98" s="1251"/>
      <c r="X98" s="1251"/>
      <c r="Y98" s="1251"/>
      <c r="Z98" s="1251"/>
      <c r="AA98" s="1251"/>
      <c r="AB98" s="1251"/>
      <c r="AC98" s="1251"/>
    </row>
    <row r="99" ht="15.75" spans="1:29">
      <c r="A99" s="1715"/>
      <c r="B99" s="1424"/>
      <c r="C99" s="1425"/>
      <c r="D99" s="1425"/>
      <c r="E99" s="1425"/>
      <c r="F99" s="1425"/>
      <c r="G99" s="1437"/>
      <c r="H99" s="1437"/>
      <c r="I99" s="1437"/>
      <c r="J99" s="1437"/>
      <c r="K99" s="1437"/>
      <c r="L99" s="1437"/>
      <c r="M99" s="1490"/>
      <c r="N99" s="1457"/>
      <c r="O99" s="1457"/>
      <c r="P99" s="1774"/>
      <c r="Q99" s="1378"/>
      <c r="R99" s="1251"/>
      <c r="S99" s="1251"/>
      <c r="T99" s="1251"/>
      <c r="U99" s="1251"/>
      <c r="V99" s="1251"/>
      <c r="W99" s="1251"/>
      <c r="X99" s="1251"/>
      <c r="Y99" s="1251"/>
      <c r="Z99" s="1251"/>
      <c r="AA99" s="1251"/>
      <c r="AB99" s="1251"/>
      <c r="AC99" s="1251"/>
    </row>
    <row r="100" spans="1:29">
      <c r="A100" s="1405" t="s">
        <v>1508</v>
      </c>
      <c r="B100" s="1406" t="s">
        <v>1568</v>
      </c>
      <c r="C100" s="1333"/>
      <c r="D100" s="1333"/>
      <c r="E100" s="1333"/>
      <c r="F100" s="1333"/>
      <c r="G100" s="1333"/>
      <c r="H100" s="1333"/>
      <c r="I100" s="1333"/>
      <c r="J100" s="1333"/>
      <c r="K100" s="1451"/>
      <c r="L100" s="1452"/>
      <c r="M100" s="1453"/>
      <c r="N100" s="1454"/>
      <c r="O100" s="1454"/>
      <c r="P100" s="1774"/>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1">
        <f t="shared" si="22"/>
        <v>100</v>
      </c>
      <c r="N101" s="1457"/>
      <c r="O101" s="1457"/>
      <c r="P101" s="1774"/>
      <c r="Q101" s="1378"/>
      <c r="R101" s="1251"/>
      <c r="S101" s="1251"/>
      <c r="T101" s="1251"/>
      <c r="U101" s="1251"/>
      <c r="V101" s="1251"/>
      <c r="W101" s="1251"/>
      <c r="X101" s="1251"/>
      <c r="Y101" s="1251"/>
      <c r="Z101" s="1251"/>
      <c r="AA101" s="1251"/>
      <c r="AB101" s="1251"/>
      <c r="AC101" s="1251"/>
    </row>
    <row r="102" ht="15.75" spans="1:29">
      <c r="A102" s="1407"/>
      <c r="B102" s="1410" t="s">
        <v>1511</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79" t="str">
        <f>M103&amp;"(含)"&amp;"-"&amp;P103</f>
        <v>(含)-</v>
      </c>
      <c r="N102" s="1448"/>
      <c r="O102" s="1448"/>
      <c r="P102" s="1774"/>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1"/>
      <c r="K103" s="1491"/>
      <c r="L103" s="1492"/>
      <c r="M103" s="1493"/>
      <c r="N103" s="1467"/>
      <c r="O103" s="1467"/>
      <c r="P103" s="1779"/>
      <c r="Q103" s="1499"/>
      <c r="R103" s="1500"/>
      <c r="S103" s="1500"/>
      <c r="T103" s="1500"/>
      <c r="U103" s="1500"/>
      <c r="V103" s="1500"/>
      <c r="W103" s="1500"/>
      <c r="X103" s="1500"/>
      <c r="Y103" s="1500"/>
      <c r="Z103" s="1500"/>
      <c r="AA103" s="1500"/>
      <c r="AB103" s="1500"/>
      <c r="AC103" s="1500"/>
    </row>
    <row r="104" s="1125" customFormat="1" ht="15.75" spans="1:29">
      <c r="A104" s="1417"/>
      <c r="B104" s="1412"/>
      <c r="C104" s="1420"/>
      <c r="D104" s="1409"/>
      <c r="E104" s="1409"/>
      <c r="F104" s="1409"/>
      <c r="G104" s="1409"/>
      <c r="H104" s="1409"/>
      <c r="I104" s="1409"/>
      <c r="J104" s="1409"/>
      <c r="K104" s="1409"/>
      <c r="L104" s="1409"/>
      <c r="M104" s="1456"/>
      <c r="N104" s="1457"/>
      <c r="O104" s="1457"/>
      <c r="P104" s="1779"/>
      <c r="Q104" s="1499"/>
      <c r="R104" s="1500"/>
      <c r="S104" s="1500"/>
      <c r="T104" s="1500"/>
      <c r="U104" s="1500"/>
      <c r="V104" s="1500"/>
      <c r="W104" s="1500"/>
      <c r="X104" s="1500"/>
      <c r="Y104" s="1500"/>
      <c r="Z104" s="1500"/>
      <c r="AA104" s="1500"/>
      <c r="AB104" s="1500"/>
      <c r="AC104" s="1500"/>
    </row>
    <row r="105" ht="15.75" spans="1:29">
      <c r="A105" s="1441"/>
      <c r="B105" s="1410" t="s">
        <v>1512</v>
      </c>
      <c r="C105" s="1418"/>
      <c r="D105" s="1418"/>
      <c r="E105" s="1435"/>
      <c r="F105" s="1435"/>
      <c r="G105" s="1435"/>
      <c r="H105" s="1435"/>
      <c r="I105" s="1435"/>
      <c r="J105" s="1435"/>
      <c r="K105" s="1484"/>
      <c r="L105" s="1485"/>
      <c r="M105" s="1486"/>
      <c r="N105" s="1454"/>
      <c r="O105" s="1454"/>
      <c r="P105" s="1774"/>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1">
        <f t="shared" si="24"/>
        <v>100</v>
      </c>
      <c r="N106" s="1457"/>
      <c r="O106" s="1457"/>
      <c r="P106" s="1774"/>
      <c r="Q106" s="1378"/>
      <c r="R106" s="1251"/>
      <c r="S106" s="1251"/>
      <c r="T106" s="1251"/>
      <c r="U106" s="1251"/>
      <c r="V106" s="1251"/>
      <c r="W106" s="1251"/>
      <c r="X106" s="1251"/>
      <c r="Y106" s="1251"/>
      <c r="Z106" s="1251"/>
      <c r="AA106" s="1251"/>
      <c r="AB106" s="1251"/>
      <c r="AC106" s="1251"/>
    </row>
    <row r="107" ht="15.75" spans="1:29">
      <c r="A107" s="1441"/>
      <c r="B107" s="1410" t="s">
        <v>1514</v>
      </c>
      <c r="C107" s="1418"/>
      <c r="D107" s="1418"/>
      <c r="E107" s="1418"/>
      <c r="F107" s="1435"/>
      <c r="G107" s="1435"/>
      <c r="H107" s="1435"/>
      <c r="I107" s="1435"/>
      <c r="J107" s="1435"/>
      <c r="K107" s="1484"/>
      <c r="L107" s="1485"/>
      <c r="M107" s="1486"/>
      <c r="N107" s="1454"/>
      <c r="O107" s="1454"/>
      <c r="P107" s="1774"/>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1">
        <f t="shared" si="25"/>
        <v>100</v>
      </c>
      <c r="N108" s="1457"/>
      <c r="O108" s="1457"/>
      <c r="P108" s="1774"/>
      <c r="Q108" s="1378"/>
      <c r="R108" s="1251"/>
      <c r="S108" s="1251"/>
      <c r="T108" s="1251"/>
      <c r="U108" s="1251"/>
      <c r="V108" s="1251"/>
      <c r="W108" s="1251"/>
      <c r="X108" s="1251"/>
      <c r="Y108" s="1251"/>
      <c r="Z108" s="1251"/>
      <c r="AA108" s="1251"/>
      <c r="AB108" s="1251"/>
      <c r="AC108" s="1251"/>
    </row>
    <row r="109" ht="15.75" spans="1:29">
      <c r="A109" s="1441"/>
      <c r="B109" s="1410" t="s">
        <v>634</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4"/>
      <c r="L109" s="1485"/>
      <c r="M109" s="1486"/>
      <c r="N109" s="1454"/>
      <c r="O109" s="1454"/>
      <c r="P109" s="1774"/>
      <c r="Q109" s="1378"/>
      <c r="R109" s="1251"/>
      <c r="S109" s="1251"/>
      <c r="T109" s="1251"/>
      <c r="U109" s="1251"/>
      <c r="V109" s="1251"/>
      <c r="W109" s="1251"/>
      <c r="X109" s="1251"/>
      <c r="Y109" s="1251"/>
      <c r="Z109" s="1251"/>
      <c r="AA109" s="1251"/>
      <c r="AB109" s="1251"/>
      <c r="AC109" s="1251"/>
    </row>
    <row r="110" ht="15" spans="1:29">
      <c r="A110" s="1441"/>
      <c r="B110" s="1414"/>
      <c r="C110" s="878">
        <v>0.5</v>
      </c>
      <c r="D110" s="878">
        <v>0.6</v>
      </c>
      <c r="E110" s="878">
        <v>0.7</v>
      </c>
      <c r="F110" s="878">
        <v>0.8</v>
      </c>
      <c r="G110" s="878">
        <v>0.9</v>
      </c>
      <c r="H110" s="878">
        <v>1.0001</v>
      </c>
      <c r="I110" s="1673"/>
      <c r="J110" s="1673"/>
      <c r="K110" s="1674"/>
      <c r="L110" s="1675"/>
      <c r="M110" s="1676"/>
      <c r="N110" s="1454"/>
      <c r="O110" s="1454"/>
      <c r="P110" s="1774"/>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7"/>
      <c r="O111" s="1457"/>
      <c r="P111" s="1774"/>
      <c r="Q111" s="1378"/>
      <c r="R111" s="1251"/>
      <c r="S111" s="1251"/>
      <c r="T111" s="1251"/>
      <c r="U111" s="1251"/>
      <c r="V111" s="1251"/>
      <c r="W111" s="1251"/>
      <c r="X111" s="1251"/>
      <c r="Y111" s="1251"/>
      <c r="Z111" s="1251"/>
      <c r="AA111" s="1251"/>
      <c r="AB111" s="1251"/>
      <c r="AC111" s="1251"/>
    </row>
    <row r="112" s="1125" customFormat="1" ht="15.75" spans="1:29">
      <c r="A112" s="1438"/>
      <c r="B112" s="1410" t="s">
        <v>1516</v>
      </c>
      <c r="C112" s="1418"/>
      <c r="D112" s="1418"/>
      <c r="E112" s="1418"/>
      <c r="F112" s="1418"/>
      <c r="G112" s="1418"/>
      <c r="H112" s="1435"/>
      <c r="I112" s="1435"/>
      <c r="J112" s="1435"/>
      <c r="K112" s="1484"/>
      <c r="L112" s="1485"/>
      <c r="M112" s="1486"/>
      <c r="N112" s="1467"/>
      <c r="O112" s="1467"/>
      <c r="P112" s="1779"/>
      <c r="Q112" s="1499"/>
      <c r="R112" s="1500"/>
      <c r="S112" s="1500"/>
      <c r="T112" s="1500"/>
      <c r="U112" s="1500"/>
      <c r="V112" s="1500"/>
      <c r="W112" s="1500"/>
      <c r="X112" s="1500"/>
      <c r="Y112" s="1500"/>
      <c r="Z112" s="1500"/>
      <c r="AA112" s="1500"/>
      <c r="AB112" s="1500"/>
      <c r="AC112" s="1500"/>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7"/>
      <c r="O113" s="1467"/>
      <c r="P113" s="1779"/>
      <c r="Q113" s="1499"/>
      <c r="R113" s="1500"/>
      <c r="S113" s="1500"/>
      <c r="T113" s="1500"/>
      <c r="U113" s="1500"/>
      <c r="V113" s="1500"/>
      <c r="W113" s="1500"/>
      <c r="X113" s="1500"/>
      <c r="Y113" s="1500"/>
      <c r="Z113" s="1500"/>
      <c r="AA113" s="1500"/>
      <c r="AB113" s="1500"/>
      <c r="AC113" s="1500"/>
    </row>
    <row r="114" ht="15.75" spans="1:29">
      <c r="A114" s="1441"/>
      <c r="B114" s="1410" t="s">
        <v>1569</v>
      </c>
      <c r="C114" s="1418"/>
      <c r="D114" s="1418"/>
      <c r="E114" s="1435"/>
      <c r="F114" s="1435"/>
      <c r="G114" s="1435"/>
      <c r="H114" s="1435"/>
      <c r="I114" s="1435"/>
      <c r="J114" s="1435"/>
      <c r="K114" s="1484"/>
      <c r="L114" s="1485"/>
      <c r="M114" s="1486"/>
      <c r="N114" s="1454"/>
      <c r="O114" s="1454"/>
      <c r="P114" s="1774"/>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1">
        <f t="shared" si="28"/>
        <v>100</v>
      </c>
      <c r="N115" s="1457"/>
      <c r="O115" s="1457"/>
      <c r="P115" s="1774"/>
      <c r="Q115" s="1378"/>
      <c r="R115" s="1251"/>
      <c r="S115" s="1251"/>
      <c r="T115" s="1251"/>
      <c r="U115" s="1251"/>
      <c r="V115" s="1251"/>
      <c r="W115" s="1251"/>
      <c r="X115" s="1251"/>
      <c r="Y115" s="1251"/>
      <c r="Z115" s="1251"/>
      <c r="AA115" s="1251"/>
      <c r="AB115" s="1251"/>
      <c r="AC115" s="1251"/>
    </row>
    <row r="116" ht="15.75" spans="1:29">
      <c r="A116" s="1441"/>
      <c r="B116" s="1410" t="s">
        <v>1570</v>
      </c>
      <c r="C116" s="1418"/>
      <c r="D116" s="1418"/>
      <c r="E116" s="1418"/>
      <c r="F116" s="1418"/>
      <c r="G116" s="1418"/>
      <c r="H116" s="1435"/>
      <c r="I116" s="1435"/>
      <c r="J116" s="1435"/>
      <c r="K116" s="1484"/>
      <c r="L116" s="1485"/>
      <c r="M116" s="1486"/>
      <c r="N116" s="1454"/>
      <c r="O116" s="1454"/>
      <c r="P116" s="1774"/>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1"/>
      <c r="N117" s="1457"/>
      <c r="O117" s="1457"/>
      <c r="P117" s="1774"/>
      <c r="Q117" s="1378"/>
      <c r="R117" s="1251"/>
      <c r="S117" s="1251"/>
      <c r="T117" s="1251"/>
      <c r="U117" s="1251"/>
      <c r="V117" s="1251"/>
      <c r="W117" s="1251"/>
      <c r="X117" s="1251"/>
      <c r="Y117" s="1251"/>
      <c r="Z117" s="1251"/>
      <c r="AA117" s="1251"/>
      <c r="AB117" s="1251"/>
      <c r="AC117" s="1251"/>
    </row>
    <row r="118" ht="15.75" spans="1:29">
      <c r="A118" s="1441"/>
      <c r="B118" s="1410" t="s">
        <v>1571</v>
      </c>
      <c r="C118" s="1778"/>
      <c r="D118" s="1778"/>
      <c r="E118" s="1778"/>
      <c r="F118" s="1778"/>
      <c r="G118" s="1778"/>
      <c r="H118" s="1419"/>
      <c r="I118" s="1419"/>
      <c r="J118" s="1419"/>
      <c r="K118" s="1419"/>
      <c r="L118" s="1465"/>
      <c r="M118" s="1466"/>
      <c r="N118" s="1454"/>
      <c r="O118" s="1454"/>
      <c r="P118" s="1774"/>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6"/>
      <c r="N119" s="1457"/>
      <c r="O119" s="1457"/>
      <c r="P119" s="1774"/>
      <c r="Q119" s="1378"/>
      <c r="R119" s="1251"/>
      <c r="S119" s="1251"/>
      <c r="T119" s="1251"/>
      <c r="U119" s="1251"/>
      <c r="V119" s="1251"/>
      <c r="W119" s="1251"/>
      <c r="X119" s="1251"/>
      <c r="Y119" s="1251"/>
      <c r="Z119" s="1251"/>
      <c r="AA119" s="1251"/>
      <c r="AB119" s="1251"/>
      <c r="AC119" s="1251"/>
    </row>
    <row r="120" s="1125" customFormat="1" ht="15.75" spans="1:29">
      <c r="A120" s="1438"/>
      <c r="B120" s="1410" t="s">
        <v>1573</v>
      </c>
      <c r="C120" s="1435"/>
      <c r="D120" s="1435"/>
      <c r="E120" s="1435"/>
      <c r="F120" s="1435"/>
      <c r="G120" s="1419"/>
      <c r="H120" s="1419"/>
      <c r="I120" s="1419"/>
      <c r="J120" s="1419"/>
      <c r="K120" s="1419"/>
      <c r="L120" s="1465"/>
      <c r="M120" s="1466"/>
      <c r="N120" s="1467"/>
      <c r="O120" s="1467"/>
      <c r="P120" s="1779"/>
      <c r="Q120" s="1499"/>
      <c r="R120" s="1500"/>
      <c r="S120" s="1500"/>
      <c r="T120" s="1500"/>
      <c r="U120" s="1500"/>
      <c r="V120" s="1500"/>
      <c r="W120" s="1500"/>
      <c r="X120" s="1500"/>
      <c r="Y120" s="1500"/>
      <c r="Z120" s="1500"/>
      <c r="AA120" s="1500"/>
      <c r="AB120" s="1500"/>
      <c r="AC120" s="1500"/>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1">
        <f t="shared" si="29"/>
        <v>100</v>
      </c>
      <c r="N121" s="1467"/>
      <c r="O121" s="1467"/>
      <c r="P121" s="1779"/>
      <c r="Q121" s="1499"/>
      <c r="R121" s="1500"/>
      <c r="S121" s="1500"/>
      <c r="T121" s="1500"/>
      <c r="U121" s="1500"/>
      <c r="V121" s="1500"/>
      <c r="W121" s="1500"/>
      <c r="X121" s="1500"/>
      <c r="Y121" s="1500"/>
      <c r="Z121" s="1500"/>
      <c r="AA121" s="1500"/>
      <c r="AB121" s="1500"/>
      <c r="AC121" s="1500"/>
    </row>
    <row r="122" ht="15.75" spans="1:29">
      <c r="A122" s="1441"/>
      <c r="B122" s="1410" t="s">
        <v>1519</v>
      </c>
      <c r="C122" s="1418"/>
      <c r="D122" s="1418"/>
      <c r="E122" s="1418"/>
      <c r="F122" s="1435"/>
      <c r="G122" s="1435"/>
      <c r="H122" s="1435"/>
      <c r="I122" s="1435"/>
      <c r="J122" s="1435"/>
      <c r="K122" s="1484"/>
      <c r="L122" s="1485"/>
      <c r="M122" s="1486"/>
      <c r="N122" s="1454"/>
      <c r="O122" s="1454"/>
      <c r="P122" s="1774"/>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1">
        <f t="shared" si="30"/>
        <v>100</v>
      </c>
      <c r="N123" s="1457"/>
      <c r="O123" s="1457"/>
      <c r="P123" s="1774"/>
      <c r="Q123" s="1378"/>
      <c r="R123" s="1251"/>
      <c r="S123" s="1251"/>
      <c r="T123" s="1251"/>
      <c r="U123" s="1251"/>
      <c r="V123" s="1251"/>
      <c r="W123" s="1251"/>
      <c r="X123" s="1251"/>
      <c r="Y123" s="1251"/>
      <c r="Z123" s="1251"/>
      <c r="AA123" s="1251"/>
      <c r="AB123" s="1251"/>
      <c r="AC123" s="1251"/>
    </row>
    <row r="124" ht="15.75" spans="1:29">
      <c r="A124" s="1441"/>
      <c r="B124" s="1410" t="s">
        <v>1520</v>
      </c>
      <c r="C124" s="1429" t="s">
        <v>1532</v>
      </c>
      <c r="D124" s="1429" t="s">
        <v>1533</v>
      </c>
      <c r="E124" s="1429" t="s">
        <v>1534</v>
      </c>
      <c r="F124" s="1429" t="s">
        <v>1535</v>
      </c>
      <c r="G124" s="1429" t="s">
        <v>1536</v>
      </c>
      <c r="H124" s="1411"/>
      <c r="I124" s="1411"/>
      <c r="J124" s="1411"/>
      <c r="K124" s="1458"/>
      <c r="L124" s="1459"/>
      <c r="M124" s="1460"/>
      <c r="N124" s="1454"/>
      <c r="O124" s="1454"/>
      <c r="P124" s="1779"/>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1"/>
      <c r="N125" s="1457"/>
      <c r="O125" s="1457"/>
      <c r="P125" s="1774"/>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5"/>
      <c r="M126" s="1466"/>
      <c r="N126" s="1467"/>
      <c r="O126" s="1467"/>
      <c r="P126" s="1779"/>
      <c r="Q126" s="1499"/>
      <c r="R126" s="1500"/>
      <c r="S126" s="1500"/>
      <c r="T126" s="1500"/>
      <c r="U126" s="1500"/>
      <c r="V126" s="1500"/>
      <c r="W126" s="1500"/>
      <c r="X126" s="1500"/>
      <c r="Y126" s="1500"/>
      <c r="Z126" s="1500"/>
      <c r="AA126" s="1500"/>
      <c r="AB126" s="1500"/>
      <c r="AC126" s="1500"/>
    </row>
    <row r="127" s="1125" customFormat="1" ht="15.75" spans="1:29">
      <c r="A127" s="1417"/>
      <c r="B127" s="1412"/>
      <c r="C127" s="1420"/>
      <c r="D127" s="1409"/>
      <c r="E127" s="1409"/>
      <c r="F127" s="1409"/>
      <c r="G127" s="1420"/>
      <c r="H127" s="1421"/>
      <c r="I127" s="1421"/>
      <c r="J127" s="1421"/>
      <c r="K127" s="1421"/>
      <c r="L127" s="1421"/>
      <c r="M127" s="1469"/>
      <c r="N127" s="1467"/>
      <c r="O127" s="1467"/>
      <c r="P127" s="1779"/>
      <c r="Q127" s="1499"/>
      <c r="R127" s="1500"/>
      <c r="S127" s="1500"/>
      <c r="T127" s="1500"/>
      <c r="U127" s="1500"/>
      <c r="V127" s="1500"/>
      <c r="W127" s="1500"/>
      <c r="X127" s="1500"/>
      <c r="Y127" s="1500"/>
      <c r="Z127" s="1500"/>
      <c r="AA127" s="1500"/>
      <c r="AB127" s="1500"/>
      <c r="AC127" s="1500"/>
    </row>
    <row r="128" ht="15.75" spans="1:29">
      <c r="A128" s="1441"/>
      <c r="B128" s="1410">
        <f>B45</f>
        <v>111</v>
      </c>
      <c r="C128" s="1418"/>
      <c r="D128" s="1418"/>
      <c r="E128" s="1418"/>
      <c r="F128" s="1418"/>
      <c r="G128" s="1435"/>
      <c r="H128" s="1435"/>
      <c r="I128" s="1435"/>
      <c r="J128" s="1435"/>
      <c r="K128" s="1484"/>
      <c r="L128" s="1485"/>
      <c r="M128" s="1486"/>
      <c r="N128" s="1454"/>
      <c r="O128" s="1454"/>
      <c r="P128" s="1774"/>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6"/>
      <c r="N129" s="1457"/>
      <c r="O129" s="1457"/>
      <c r="P129" s="1774"/>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6"/>
      <c r="M130" s="1489"/>
      <c r="N130" s="1454"/>
      <c r="O130" s="1454"/>
      <c r="P130" s="1774"/>
      <c r="Q130" s="1378"/>
      <c r="R130" s="1251"/>
      <c r="S130" s="1251"/>
      <c r="T130" s="1251"/>
      <c r="U130" s="1251"/>
      <c r="V130" s="1251"/>
      <c r="W130" s="1251"/>
      <c r="X130" s="1251"/>
      <c r="Y130" s="1251"/>
      <c r="Z130" s="1251"/>
      <c r="AA130" s="1251"/>
      <c r="AB130" s="1251"/>
      <c r="AC130" s="1251"/>
    </row>
    <row r="131" ht="15.75" spans="1:29">
      <c r="A131" s="1715"/>
      <c r="B131" s="1424"/>
      <c r="C131" s="1425"/>
      <c r="D131" s="1425"/>
      <c r="E131" s="1425"/>
      <c r="F131" s="1425"/>
      <c r="G131" s="1437"/>
      <c r="H131" s="1437"/>
      <c r="I131" s="1437"/>
      <c r="J131" s="1437"/>
      <c r="K131" s="1437"/>
      <c r="L131" s="1437"/>
      <c r="M131" s="1490"/>
      <c r="N131" s="1457"/>
      <c r="O131" s="1457"/>
      <c r="P131" s="1774"/>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J47" sqref="J47:J49"/>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1"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0" customFormat="1" ht="28.5" customHeight="1" spans="1:29">
      <c r="A1" s="1541" t="s">
        <v>1470</v>
      </c>
      <c r="B1" s="1678" t="s">
        <v>1574</v>
      </c>
      <c r="C1" s="1543" t="s">
        <v>1472</v>
      </c>
      <c r="D1" s="1544"/>
      <c r="E1" s="1545"/>
      <c r="F1" s="1546"/>
      <c r="G1" s="1547" t="s">
        <v>1473</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2" customFormat="1" ht="28.5" customHeight="1" spans="1:29">
      <c r="A2" s="1549" t="s">
        <v>987</v>
      </c>
      <c r="B2" s="1550" t="b">
        <f ca="1">IF(E1="项目模式",IF(C2="——",ROUND(C50*D3/10000,0),ROUND(C50*D3/10000,0)-D2),IF(E1="单套模式",IF(C2="——",ROUND(C50*D3/10000,4),ROUND(C50*D3/10000,4)-D2)))</f>
        <v>0</v>
      </c>
      <c r="C2" s="1551"/>
      <c r="D2" s="1722" t="e">
        <f ca="1">IF(E1="项目模式",SUMIF(INDIRECT("'"&amp;F2&amp;"'"&amp;"!A:A"),"承租人权益价值",INDIRECT("'"&amp;F2&amp;"'"&amp;"!c:c")),SUMIF(INDIRECT("'"&amp;F2&amp;"'"&amp;"!A:A"),"承租人权益价值（单套）",INDIRECT("'"&amp;F2&amp;"'"&amp;"!c:c")))</f>
        <v>#REF!</v>
      </c>
      <c r="E2" s="1552" t="s">
        <v>988</v>
      </c>
      <c r="F2" s="1553"/>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396" t="s">
        <v>989</v>
      </c>
      <c r="B3" s="1140">
        <f ca="1">IF(C2="——",C50,ROUND(B2*10000/D3,0))</f>
        <v>0</v>
      </c>
      <c r="C3" s="1554" t="s">
        <v>1474</v>
      </c>
      <c r="D3" s="1555">
        <f>IF(D1="",'数据-汇总表'!E3,SUMIF('数据-汇总表'!$C19:$C33,D1,'数据-汇总表'!$E19:$E33))</f>
        <v>23244.54</v>
      </c>
      <c r="E3" s="1723"/>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733" t="s">
        <v>1481</v>
      </c>
      <c r="Q4" s="1743"/>
      <c r="R4" s="1744" t="s">
        <v>1477</v>
      </c>
      <c r="S4" s="1745"/>
      <c r="T4" s="1744" t="s">
        <v>1478</v>
      </c>
      <c r="U4" s="1745"/>
      <c r="V4" s="1264" t="s">
        <v>1479</v>
      </c>
      <c r="W4" s="1264"/>
      <c r="X4" s="1746"/>
      <c r="Y4" s="1744" t="s">
        <v>1481</v>
      </c>
      <c r="Z4" s="1745"/>
      <c r="AA4" s="1746" t="s">
        <v>1477</v>
      </c>
      <c r="AB4" s="1746" t="s">
        <v>1478</v>
      </c>
      <c r="AC4" s="1750" t="s">
        <v>1479</v>
      </c>
    </row>
    <row r="5" ht="15" spans="1:29">
      <c r="A5" s="1148"/>
      <c r="B5" s="1149"/>
      <c r="C5" s="1150" t="s">
        <v>1482</v>
      </c>
      <c r="D5" s="1151"/>
      <c r="E5" s="1152" t="s">
        <v>1483</v>
      </c>
      <c r="F5" s="1153"/>
      <c r="G5" s="1150" t="s">
        <v>1484</v>
      </c>
      <c r="H5" s="1151"/>
      <c r="I5" s="1150" t="s">
        <v>1485</v>
      </c>
      <c r="J5" s="1151"/>
      <c r="K5" s="1302"/>
      <c r="L5" s="1303"/>
      <c r="M5" s="1304"/>
      <c r="N5" s="1304"/>
      <c r="O5" s="1304"/>
      <c r="P5" s="1734"/>
      <c r="Q5" s="1358"/>
      <c r="R5" s="1359"/>
      <c r="S5" s="1360"/>
      <c r="T5" s="1359"/>
      <c r="U5" s="1360"/>
      <c r="V5" s="1344"/>
      <c r="W5" s="1344"/>
      <c r="X5" s="1357"/>
      <c r="Y5" s="1359"/>
      <c r="Z5" s="1360"/>
      <c r="AA5" s="1357"/>
      <c r="AB5" s="1357"/>
      <c r="AC5" s="1634"/>
    </row>
    <row r="6" ht="15.75" spans="1:29">
      <c r="A6" s="1154"/>
      <c r="B6" s="1155"/>
      <c r="C6" s="1503" t="s">
        <v>1486</v>
      </c>
      <c r="D6" s="1504"/>
      <c r="E6" s="1505" t="s">
        <v>1486</v>
      </c>
      <c r="F6" s="1506"/>
      <c r="G6" s="1503" t="s">
        <v>1486</v>
      </c>
      <c r="H6" s="1504"/>
      <c r="I6" s="1503" t="s">
        <v>1486</v>
      </c>
      <c r="J6" s="1504"/>
      <c r="K6" s="1302" t="s">
        <v>1487</v>
      </c>
      <c r="L6" s="1303"/>
      <c r="M6" s="1304"/>
      <c r="N6" s="1304"/>
      <c r="O6" s="1304"/>
      <c r="P6" s="1735"/>
      <c r="Q6" s="1361"/>
      <c r="R6" s="1359"/>
      <c r="S6" s="1360"/>
      <c r="T6" s="1362"/>
      <c r="U6" s="1363"/>
      <c r="V6" s="1344"/>
      <c r="W6" s="1344"/>
      <c r="X6" s="1357"/>
      <c r="Y6" s="1362"/>
      <c r="Z6" s="1363"/>
      <c r="AA6" s="1383"/>
      <c r="AB6" s="1383"/>
      <c r="AC6" s="1751"/>
    </row>
    <row r="7" s="1123" customFormat="1" ht="15.75" spans="1:29">
      <c r="A7" s="1160" t="s">
        <v>1488</v>
      </c>
      <c r="B7" s="1161"/>
      <c r="C7" s="1162">
        <f>'数据-取费表'!B2</f>
        <v>45539</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6"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752" t="e">
        <f>D7/J7</f>
        <v>#DIV/0!</v>
      </c>
    </row>
    <row r="8" s="1123" customFormat="1" ht="15.75" spans="1:29">
      <c r="A8" s="1160" t="s">
        <v>1491</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6" t="s">
        <v>1492</v>
      </c>
      <c r="Q8" s="1368"/>
      <c r="R8" s="1365" t="s">
        <v>1490</v>
      </c>
      <c r="S8" s="1366">
        <f t="shared" si="0"/>
        <v>100</v>
      </c>
      <c r="T8" s="1365" t="s">
        <v>1490</v>
      </c>
      <c r="U8" s="1366">
        <f t="shared" si="1"/>
        <v>100</v>
      </c>
      <c r="V8" s="1365" t="s">
        <v>1490</v>
      </c>
      <c r="W8" s="1366">
        <f t="shared" si="2"/>
        <v>100</v>
      </c>
      <c r="X8" s="1367"/>
      <c r="Y8" s="1311" t="s">
        <v>1492</v>
      </c>
      <c r="Z8" s="1368"/>
      <c r="AA8" s="1384">
        <f t="shared" ref="AA8:AA47" si="3">D8/F8</f>
        <v>1</v>
      </c>
      <c r="AB8" s="1384">
        <f t="shared" ref="AB8:AB47" si="4">D8/H8</f>
        <v>1</v>
      </c>
      <c r="AC8" s="1752">
        <f t="shared" ref="AC8:AC47" si="5">D8/J8</f>
        <v>1</v>
      </c>
    </row>
    <row r="9" s="1123" customFormat="1" spans="1:29">
      <c r="A9" s="1168" t="s">
        <v>1493</v>
      </c>
      <c r="B9" s="1169" t="s">
        <v>1494</v>
      </c>
      <c r="C9" s="1556"/>
      <c r="D9" s="1171">
        <v>100</v>
      </c>
      <c r="E9" s="1557"/>
      <c r="F9" s="1171">
        <f>SUMIF(64:64,E9,65:65)-SUMIF(64:64,C9,65:65)+100</f>
        <v>100</v>
      </c>
      <c r="G9" s="1626"/>
      <c r="H9" s="1171">
        <f>SUMIF(64:64,G9,65:65)-SUMIF(64:64,C9,65:65)+100</f>
        <v>100</v>
      </c>
      <c r="I9" s="1626"/>
      <c r="J9" s="1171">
        <f>SUMIF(64:64,I9,65:65)-SUMIF(64:64,C9,65:65)+100</f>
        <v>100</v>
      </c>
      <c r="K9" s="1308"/>
      <c r="L9" s="1309"/>
      <c r="M9" s="1310"/>
      <c r="N9" s="1310"/>
      <c r="O9" s="1310"/>
      <c r="P9" s="1271"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752">
        <f t="shared" si="5"/>
        <v>1</v>
      </c>
    </row>
    <row r="10" s="1124" customFormat="1" ht="27" spans="1:29">
      <c r="A10" s="1172"/>
      <c r="B10" s="1173" t="s">
        <v>1497</v>
      </c>
      <c r="C10" s="1559"/>
      <c r="D10" s="1175">
        <v>100</v>
      </c>
      <c r="E10" s="1559"/>
      <c r="F10" s="1175">
        <f>SUMIF(66:66,E10,67:67)-SUMIF(66:66,C10,67:67)+100</f>
        <v>100</v>
      </c>
      <c r="G10" s="1629"/>
      <c r="H10" s="1175">
        <f>SUMIF(66:66,G10,67:67)-SUMIF(66:66,C10,67:67)+100</f>
        <v>100</v>
      </c>
      <c r="I10" s="1559"/>
      <c r="J10" s="1175">
        <f>SUMIF(66:66,I10,67:67)-SUMIF(66:66,C10,67:67)+100</f>
        <v>100</v>
      </c>
      <c r="K10" s="1308"/>
      <c r="L10" s="1314"/>
      <c r="M10" s="1315"/>
      <c r="N10" s="1315"/>
      <c r="O10" s="1315"/>
      <c r="P10" s="1271"/>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752">
        <f t="shared" si="5"/>
        <v>1</v>
      </c>
    </row>
    <row r="11" ht="15" spans="1:29">
      <c r="A11" s="1176"/>
      <c r="B11" s="1173" t="s">
        <v>1498</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1490</v>
      </c>
      <c r="S11" s="1366">
        <f t="shared" si="0"/>
        <v>100</v>
      </c>
      <c r="T11" s="1365" t="s">
        <v>1490</v>
      </c>
      <c r="U11" s="1366">
        <f t="shared" si="1"/>
        <v>100</v>
      </c>
      <c r="V11" s="1365" t="s">
        <v>1490</v>
      </c>
      <c r="W11" s="1366">
        <f t="shared" si="2"/>
        <v>100</v>
      </c>
      <c r="X11" s="1367"/>
      <c r="Y11" s="1369"/>
      <c r="Z11" s="1385" t="str">
        <f t="shared" si="7"/>
        <v>容积率</v>
      </c>
      <c r="AA11" s="1384">
        <f t="shared" si="3"/>
        <v>1</v>
      </c>
      <c r="AB11" s="1384">
        <f t="shared" si="4"/>
        <v>1</v>
      </c>
      <c r="AC11" s="1752">
        <f t="shared" si="5"/>
        <v>1</v>
      </c>
    </row>
    <row r="12" s="1123" customFormat="1" ht="15" spans="1:29">
      <c r="A12" s="1179"/>
      <c r="B12" s="1180">
        <v>111</v>
      </c>
      <c r="C12" s="1174"/>
      <c r="D12" s="1181">
        <v>100</v>
      </c>
      <c r="E12" s="1174"/>
      <c r="F12" s="1175">
        <f>SUMIF(71:71,E12,72:72)-SUMIF(71:71,C12,72:72)+100</f>
        <v>100</v>
      </c>
      <c r="G12" s="1724"/>
      <c r="H12" s="1175">
        <f>SUMIF(71:71,G12,72:72)-SUMIF(71:71,C12,72:72)+100</f>
        <v>100</v>
      </c>
      <c r="I12" s="1174"/>
      <c r="J12" s="1175">
        <f>SUMIF(71:71,I12,72:72)-SUMIF(71:71,C12,72:72)+100</f>
        <v>100</v>
      </c>
      <c r="K12" s="1327"/>
      <c r="L12" s="1309"/>
      <c r="M12" s="1310"/>
      <c r="N12" s="1310"/>
      <c r="O12" s="1310"/>
      <c r="P12" s="1271"/>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752">
        <f t="shared" si="5"/>
        <v>1</v>
      </c>
    </row>
    <row r="13" ht="15" spans="1:29">
      <c r="A13" s="1176"/>
      <c r="B13" s="1180">
        <v>111</v>
      </c>
      <c r="C13" s="1184"/>
      <c r="D13" s="1185">
        <v>100</v>
      </c>
      <c r="E13" s="1174"/>
      <c r="F13" s="1175">
        <f>SUMIF(73:73,E13,74:74)-SUMIF(73:73,C13,74:74)+100</f>
        <v>100</v>
      </c>
      <c r="G13" s="1724"/>
      <c r="H13" s="1185">
        <f>SUMIF(73:73,G13,74:74)-SUMIF(73:73,C13,74:74)+100</f>
        <v>100</v>
      </c>
      <c r="I13" s="1174"/>
      <c r="J13" s="1185">
        <f>SUMIF(73:73,I13,74:74)-SUMIF(73:73,C13,74:74)+100</f>
        <v>100</v>
      </c>
      <c r="K13" s="1327"/>
      <c r="L13" s="1320"/>
      <c r="M13" s="1304"/>
      <c r="N13" s="1304"/>
      <c r="O13" s="1304"/>
      <c r="P13" s="1271"/>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752">
        <f t="shared" si="5"/>
        <v>1</v>
      </c>
    </row>
    <row r="14" ht="15.75" spans="1:29">
      <c r="A14" s="1186"/>
      <c r="B14" s="1187">
        <v>111</v>
      </c>
      <c r="C14" s="1188"/>
      <c r="D14" s="1189">
        <v>100</v>
      </c>
      <c r="E14" s="1638"/>
      <c r="F14" s="1189">
        <f>SUMIF(75:75,E14,76:76)-SUMIF(75:75,C14,76:76)+100</f>
        <v>100</v>
      </c>
      <c r="G14" s="1724"/>
      <c r="H14" s="1189">
        <f>SUMIF(75:75,G14,76:76)-SUMIF(75:75,C14,76:76)+100</f>
        <v>100</v>
      </c>
      <c r="I14" s="1174"/>
      <c r="J14" s="1189">
        <f>SUMIF(75:75,I14,76:76)-SUMIF(75:75,C14,76:76)+100</f>
        <v>100</v>
      </c>
      <c r="K14" s="1327"/>
      <c r="L14" s="1320"/>
      <c r="M14" s="1304"/>
      <c r="N14" s="1304"/>
      <c r="O14" s="1304"/>
      <c r="P14" s="1271"/>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752">
        <f t="shared" si="5"/>
        <v>1</v>
      </c>
    </row>
    <row r="15" ht="68.25" spans="1:29">
      <c r="A15" s="1190" t="s">
        <v>1499</v>
      </c>
      <c r="B15" s="1191" t="s">
        <v>1575</v>
      </c>
      <c r="C15" s="1725"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2"/>
      <c r="L15" s="1320"/>
      <c r="M15" s="1304"/>
      <c r="N15" s="1304"/>
      <c r="O15" s="1304"/>
      <c r="P15" s="1737" t="s">
        <v>1501</v>
      </c>
      <c r="Q15" s="699" t="str">
        <f t="shared" si="6"/>
        <v>办公集聚程度</v>
      </c>
      <c r="R15" s="1370" t="s">
        <v>1490</v>
      </c>
      <c r="S15" s="1371">
        <f t="shared" si="0"/>
        <v>100</v>
      </c>
      <c r="T15" s="1370" t="s">
        <v>1490</v>
      </c>
      <c r="U15" s="1371">
        <f t="shared" si="1"/>
        <v>100</v>
      </c>
      <c r="V15" s="1370" t="s">
        <v>1490</v>
      </c>
      <c r="W15" s="1371">
        <f t="shared" si="2"/>
        <v>100</v>
      </c>
      <c r="X15" s="1357"/>
      <c r="Y15" s="1322" t="s">
        <v>1501</v>
      </c>
      <c r="Z15" s="1344" t="str">
        <f t="shared" si="7"/>
        <v>办公集聚程度</v>
      </c>
      <c r="AA15" s="1386">
        <f t="shared" si="3"/>
        <v>1</v>
      </c>
      <c r="AB15" s="1386">
        <f t="shared" si="4"/>
        <v>1</v>
      </c>
      <c r="AC15" s="1753">
        <f t="shared" si="5"/>
        <v>1</v>
      </c>
    </row>
    <row r="16" ht="15" spans="1:29">
      <c r="A16" s="1176"/>
      <c r="B16" s="1195"/>
      <c r="C16" s="1198"/>
      <c r="D16" s="1197"/>
      <c r="E16" s="1196"/>
      <c r="F16" s="1197"/>
      <c r="G16" s="1198"/>
      <c r="H16" s="1199"/>
      <c r="I16" s="1196"/>
      <c r="J16" s="1197"/>
      <c r="K16" s="1603"/>
      <c r="L16" s="1320"/>
      <c r="M16" s="1304"/>
      <c r="N16" s="1304"/>
      <c r="O16" s="1304"/>
      <c r="P16" s="1738"/>
      <c r="Q16" s="699"/>
      <c r="R16" s="1370"/>
      <c r="S16" s="1371"/>
      <c r="T16" s="1370"/>
      <c r="U16" s="1371"/>
      <c r="V16" s="1370"/>
      <c r="W16" s="1371"/>
      <c r="X16" s="1357"/>
      <c r="Y16" s="1323"/>
      <c r="Z16" s="1344"/>
      <c r="AA16" s="1386">
        <v>1</v>
      </c>
      <c r="AB16" s="1386">
        <v>1</v>
      </c>
      <c r="AC16" s="1753">
        <v>1</v>
      </c>
    </row>
    <row r="17" ht="67.5" spans="1:29">
      <c r="A17" s="1176"/>
      <c r="B17" s="1200" t="s">
        <v>1502</v>
      </c>
      <c r="C17" s="1726"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2"/>
      <c r="L17" s="1320"/>
      <c r="M17" s="1304"/>
      <c r="N17" s="1304"/>
      <c r="O17" s="1304"/>
      <c r="P17" s="1738"/>
      <c r="Q17" s="699"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753">
        <f t="shared" si="5"/>
        <v>1</v>
      </c>
    </row>
    <row r="18" ht="15" spans="1:29">
      <c r="A18" s="1176"/>
      <c r="B18" s="1204"/>
      <c r="C18" s="1727"/>
      <c r="D18" s="1199"/>
      <c r="E18" s="1522"/>
      <c r="F18" s="1199"/>
      <c r="G18" s="1514"/>
      <c r="H18" s="1197"/>
      <c r="I18" s="1514"/>
      <c r="J18" s="1197"/>
      <c r="K18" s="1603"/>
      <c r="L18" s="1320"/>
      <c r="M18" s="1304"/>
      <c r="N18" s="1304"/>
      <c r="O18" s="1304"/>
      <c r="P18" s="1738"/>
      <c r="Q18" s="699"/>
      <c r="R18" s="1370"/>
      <c r="S18" s="1371"/>
      <c r="T18" s="1370"/>
      <c r="U18" s="1371"/>
      <c r="V18" s="1370"/>
      <c r="W18" s="1371"/>
      <c r="X18" s="1357"/>
      <c r="Y18" s="1323"/>
      <c r="Z18" s="1344"/>
      <c r="AA18" s="1386">
        <v>1</v>
      </c>
      <c r="AB18" s="1386">
        <v>1</v>
      </c>
      <c r="AC18" s="1753">
        <v>1</v>
      </c>
    </row>
    <row r="19" ht="40.5" spans="1:29">
      <c r="A19" s="1176"/>
      <c r="B19" s="1200" t="s">
        <v>1503</v>
      </c>
      <c r="C19" s="1726" t="str">
        <f>估价对象房地状况!C7</f>
        <v>估价对象所在区域公共配套设施齐备情况</v>
      </c>
      <c r="D19" s="1203">
        <v>100</v>
      </c>
      <c r="E19" s="1523"/>
      <c r="F19" s="1203">
        <f>SUMIF(81:81,E20,82:82)-SUMIF(81:81,C20,82:82)+100</f>
        <v>100</v>
      </c>
      <c r="G19" s="1515"/>
      <c r="H19" s="1199">
        <f>SUMIF(81:81,G20,82:82)-SUMIF(81:81,C20,82:82)+100</f>
        <v>100</v>
      </c>
      <c r="I19" s="1515"/>
      <c r="J19" s="1199">
        <f>SUMIF(81:81,I20,82:82)-SUMIF(81:81,C20,82:82)+100</f>
        <v>100</v>
      </c>
      <c r="K19" s="1602"/>
      <c r="L19" s="1320"/>
      <c r="M19" s="1304"/>
      <c r="N19" s="1304"/>
      <c r="O19" s="1304"/>
      <c r="P19" s="1738"/>
      <c r="Q19" s="699"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753">
        <f t="shared" si="5"/>
        <v>1</v>
      </c>
    </row>
    <row r="20" ht="15" spans="1:29">
      <c r="A20" s="1176"/>
      <c r="B20" s="1204"/>
      <c r="C20" s="1198"/>
      <c r="D20" s="1197"/>
      <c r="E20" s="1325"/>
      <c r="F20" s="1197"/>
      <c r="G20" s="1205"/>
      <c r="H20" s="1197"/>
      <c r="I20" s="1205"/>
      <c r="J20" s="1197"/>
      <c r="K20" s="1603"/>
      <c r="L20" s="1320"/>
      <c r="M20" s="1304"/>
      <c r="N20" s="1304"/>
      <c r="O20" s="1304"/>
      <c r="P20" s="1738"/>
      <c r="Q20" s="699"/>
      <c r="R20" s="1370"/>
      <c r="S20" s="1371"/>
      <c r="T20" s="1370"/>
      <c r="U20" s="1371"/>
      <c r="V20" s="1370"/>
      <c r="W20" s="1371"/>
      <c r="X20" s="1357"/>
      <c r="Y20" s="1323"/>
      <c r="Z20" s="1344"/>
      <c r="AA20" s="1386">
        <v>1</v>
      </c>
      <c r="AB20" s="1386">
        <v>1</v>
      </c>
      <c r="AC20" s="1753">
        <v>1</v>
      </c>
    </row>
    <row r="21" ht="27" spans="1:29">
      <c r="A21" s="1176"/>
      <c r="B21" s="1207" t="s">
        <v>1504</v>
      </c>
      <c r="C21" s="1726" t="str">
        <f>估价对象房地状况!C8</f>
        <v>估价对象所在区域基础设施水平</v>
      </c>
      <c r="D21" s="1199">
        <v>100</v>
      </c>
      <c r="E21" s="1523"/>
      <c r="F21" s="1203">
        <f>SUMIF(83:83,E22,84:84)-SUMIF(83:83,C22,84:84)+100</f>
        <v>100</v>
      </c>
      <c r="G21" s="1515"/>
      <c r="H21" s="1199">
        <f>SUMIF(83:83,G22,84:84)-SUMIF(83:83,C22,84:84)+100</f>
        <v>100</v>
      </c>
      <c r="I21" s="1515"/>
      <c r="J21" s="1199">
        <f>SUMIF(83:83,I22,84:84)-SUMIF(83:83,C22,84:84)+100</f>
        <v>100</v>
      </c>
      <c r="K21" s="1602"/>
      <c r="L21" s="1320"/>
      <c r="M21" s="1304"/>
      <c r="N21" s="1304"/>
      <c r="O21" s="1304"/>
      <c r="P21" s="1738"/>
      <c r="Q21" s="699"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753">
        <f t="shared" ref="AC21" si="10">D21/J21</f>
        <v>1</v>
      </c>
    </row>
    <row r="22" ht="15" spans="1:29">
      <c r="A22" s="1176"/>
      <c r="B22" s="1207"/>
      <c r="C22" s="1727"/>
      <c r="D22" s="1197"/>
      <c r="E22" s="1196"/>
      <c r="F22" s="1197"/>
      <c r="G22" s="1198"/>
      <c r="H22" s="1197"/>
      <c r="I22" s="1198"/>
      <c r="J22" s="1197"/>
      <c r="K22" s="1604"/>
      <c r="L22" s="1320"/>
      <c r="M22" s="1304"/>
      <c r="N22" s="1304"/>
      <c r="O22" s="1304"/>
      <c r="P22" s="1738"/>
      <c r="Q22" s="699"/>
      <c r="R22" s="1370"/>
      <c r="S22" s="1371"/>
      <c r="T22" s="1370"/>
      <c r="U22" s="1371"/>
      <c r="V22" s="1370"/>
      <c r="W22" s="1371"/>
      <c r="X22" s="1357"/>
      <c r="Y22" s="1323"/>
      <c r="Z22" s="1344"/>
      <c r="AA22" s="1386">
        <v>1</v>
      </c>
      <c r="AB22" s="1386">
        <v>1</v>
      </c>
      <c r="AC22" s="1753">
        <v>1</v>
      </c>
    </row>
    <row r="23" ht="40.5" spans="1:29">
      <c r="A23" s="1176"/>
      <c r="B23" s="1200" t="s">
        <v>1576</v>
      </c>
      <c r="C23" s="1726"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2"/>
      <c r="L23" s="1320"/>
      <c r="M23" s="1304"/>
      <c r="N23" s="1304"/>
      <c r="O23" s="1304"/>
      <c r="P23" s="1738"/>
      <c r="Q23" s="699" t="str">
        <f>B23</f>
        <v>环境质量</v>
      </c>
      <c r="R23" s="1370" t="s">
        <v>1490</v>
      </c>
      <c r="S23" s="1371">
        <f>F23</f>
        <v>100</v>
      </c>
      <c r="T23" s="1370" t="s">
        <v>1490</v>
      </c>
      <c r="U23" s="1371">
        <f>H23</f>
        <v>100</v>
      </c>
      <c r="V23" s="1370" t="s">
        <v>1490</v>
      </c>
      <c r="W23" s="1371">
        <f>J23</f>
        <v>100</v>
      </c>
      <c r="X23" s="1357"/>
      <c r="Y23" s="1323"/>
      <c r="Z23" s="1344" t="str">
        <f>Q23</f>
        <v>环境质量</v>
      </c>
      <c r="AA23" s="1386">
        <f t="shared" si="3"/>
        <v>1</v>
      </c>
      <c r="AB23" s="1386">
        <f t="shared" si="4"/>
        <v>1</v>
      </c>
      <c r="AC23" s="1753">
        <f t="shared" si="5"/>
        <v>1</v>
      </c>
    </row>
    <row r="24" ht="15" spans="1:29">
      <c r="A24" s="1176"/>
      <c r="B24" s="1207"/>
      <c r="C24" s="1198"/>
      <c r="D24" s="1197"/>
      <c r="E24" s="1325"/>
      <c r="F24" s="1197"/>
      <c r="G24" s="1205"/>
      <c r="H24" s="1197"/>
      <c r="I24" s="1205"/>
      <c r="J24" s="1197"/>
      <c r="K24" s="1603"/>
      <c r="L24" s="1320"/>
      <c r="M24" s="1304"/>
      <c r="N24" s="1304"/>
      <c r="O24" s="1304"/>
      <c r="P24" s="1738"/>
      <c r="Q24" s="699"/>
      <c r="R24" s="1370"/>
      <c r="S24" s="1371"/>
      <c r="T24" s="1370"/>
      <c r="U24" s="1371"/>
      <c r="V24" s="1370"/>
      <c r="W24" s="1371"/>
      <c r="X24" s="1357"/>
      <c r="Y24" s="1323"/>
      <c r="Z24" s="1344"/>
      <c r="AA24" s="1386">
        <v>1</v>
      </c>
      <c r="AB24" s="1386">
        <v>1</v>
      </c>
      <c r="AC24" s="1753">
        <v>1</v>
      </c>
    </row>
    <row r="25" ht="27" spans="1:29">
      <c r="A25" s="1148"/>
      <c r="B25" s="1200" t="s">
        <v>1577</v>
      </c>
      <c r="C25" s="1728"/>
      <c r="D25" s="1185">
        <v>100</v>
      </c>
      <c r="E25" s="1184"/>
      <c r="F25" s="1185">
        <f>SUMIF(87:87,E26,88:88)-SUMIF(87:87,C26,88:88)+100</f>
        <v>100</v>
      </c>
      <c r="G25" s="1728"/>
      <c r="H25" s="1185">
        <f>SUMIF(87:87,G26,88:88)-SUMIF(87:87,C26,88:88)+100</f>
        <v>100</v>
      </c>
      <c r="I25" s="1184"/>
      <c r="J25" s="1185">
        <f>SUMIF(87:87,I26,88:88)-SUMIF(87:87,C26,88:88)+100</f>
        <v>100</v>
      </c>
      <c r="K25" s="1602"/>
      <c r="L25" s="1320"/>
      <c r="M25" s="1304"/>
      <c r="N25" s="1304"/>
      <c r="O25" s="1304"/>
      <c r="P25" s="1738"/>
      <c r="Q25" s="699" t="str">
        <f>B25</f>
        <v>毗邻道路的类型与等级</v>
      </c>
      <c r="R25" s="1370" t="s">
        <v>1490</v>
      </c>
      <c r="S25" s="1371">
        <f>F25</f>
        <v>100</v>
      </c>
      <c r="T25" s="1370" t="s">
        <v>1490</v>
      </c>
      <c r="U25" s="1371">
        <f>H25</f>
        <v>100</v>
      </c>
      <c r="V25" s="1370" t="s">
        <v>1490</v>
      </c>
      <c r="W25" s="1371">
        <f>J25</f>
        <v>100</v>
      </c>
      <c r="X25" s="1357"/>
      <c r="Y25" s="1323"/>
      <c r="Z25" s="1344" t="str">
        <f>Q25</f>
        <v>毗邻道路的类型与等级</v>
      </c>
      <c r="AA25" s="1386">
        <f t="shared" si="3"/>
        <v>1</v>
      </c>
      <c r="AB25" s="1386">
        <f t="shared" si="4"/>
        <v>1</v>
      </c>
      <c r="AC25" s="1753">
        <f t="shared" si="5"/>
        <v>1</v>
      </c>
    </row>
    <row r="26" ht="15" spans="1:29">
      <c r="A26" s="1148"/>
      <c r="B26" s="1204"/>
      <c r="C26" s="1211"/>
      <c r="D26" s="1185"/>
      <c r="E26" s="1210"/>
      <c r="F26" s="1185"/>
      <c r="G26" s="1211"/>
      <c r="H26" s="1185"/>
      <c r="I26" s="1210"/>
      <c r="J26" s="1185"/>
      <c r="K26" s="1603"/>
      <c r="L26" s="1320"/>
      <c r="M26" s="1304"/>
      <c r="N26" s="1304"/>
      <c r="O26" s="1304"/>
      <c r="P26" s="1738"/>
      <c r="Q26" s="699"/>
      <c r="R26" s="1370"/>
      <c r="S26" s="1371"/>
      <c r="T26" s="1370"/>
      <c r="U26" s="1371"/>
      <c r="V26" s="1370"/>
      <c r="W26" s="1371"/>
      <c r="X26" s="1357"/>
      <c r="Y26" s="1323"/>
      <c r="Z26" s="1344"/>
      <c r="AA26" s="1386">
        <v>1</v>
      </c>
      <c r="AB26" s="1386">
        <v>1</v>
      </c>
      <c r="AC26" s="1753">
        <v>1</v>
      </c>
    </row>
    <row r="27" ht="15" spans="1:29">
      <c r="A27" s="1176"/>
      <c r="B27" s="1204" t="s">
        <v>1567</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8"/>
      <c r="Q27" s="699" t="str">
        <f t="shared" ref="Q27:Q47" si="11">B27</f>
        <v>楼层</v>
      </c>
      <c r="R27" s="1370" t="s">
        <v>1490</v>
      </c>
      <c r="S27" s="1371">
        <f>F27</f>
        <v>100</v>
      </c>
      <c r="T27" s="1370" t="s">
        <v>1490</v>
      </c>
      <c r="U27" s="1371">
        <f>H27</f>
        <v>100</v>
      </c>
      <c r="V27" s="1370" t="s">
        <v>1490</v>
      </c>
      <c r="W27" s="1371">
        <f>J27</f>
        <v>100</v>
      </c>
      <c r="X27" s="1357"/>
      <c r="Y27" s="1323"/>
      <c r="Z27" s="1344" t="str">
        <f>Q27</f>
        <v>楼层</v>
      </c>
      <c r="AA27" s="1386">
        <f t="shared" si="3"/>
        <v>1</v>
      </c>
      <c r="AB27" s="1386">
        <f t="shared" si="4"/>
        <v>1</v>
      </c>
      <c r="AC27" s="1753">
        <f t="shared" si="5"/>
        <v>1</v>
      </c>
    </row>
    <row r="28" s="1123" customFormat="1" ht="15" spans="1:29">
      <c r="A28" s="1179"/>
      <c r="B28" s="1200" t="s">
        <v>1507</v>
      </c>
      <c r="C28" s="1729"/>
      <c r="D28" s="1680">
        <v>100</v>
      </c>
      <c r="E28" s="1730"/>
      <c r="F28" s="1680">
        <f>SUMIF(91:91,E28,92:92)-SUMIF(91:91,C28,92:92)+100</f>
        <v>100</v>
      </c>
      <c r="G28" s="1729"/>
      <c r="H28" s="1680">
        <f>SUMIF(91:91,G28,92:92)-SUMIF(91:91,C28,92:92)+100</f>
        <v>100</v>
      </c>
      <c r="I28" s="1730"/>
      <c r="J28" s="1680">
        <f>SUMIF(91:91,I28,92:92)-SUMIF(91:91,C28,92:92)+100</f>
        <v>100</v>
      </c>
      <c r="K28" s="1328"/>
      <c r="L28" s="1309"/>
      <c r="M28" s="1310"/>
      <c r="N28" s="1310"/>
      <c r="O28" s="1310"/>
      <c r="P28" s="1738"/>
      <c r="Q28" s="1369" t="str">
        <f t="shared" si="11"/>
        <v>朝向</v>
      </c>
      <c r="R28" s="1365" t="s">
        <v>1490</v>
      </c>
      <c r="S28" s="1366">
        <f>F28</f>
        <v>100</v>
      </c>
      <c r="T28" s="1365" t="s">
        <v>1490</v>
      </c>
      <c r="U28" s="1366">
        <f>H28</f>
        <v>100</v>
      </c>
      <c r="V28" s="1365" t="s">
        <v>1490</v>
      </c>
      <c r="W28" s="1366">
        <f>J28</f>
        <v>100</v>
      </c>
      <c r="X28" s="1367"/>
      <c r="Y28" s="1323"/>
      <c r="Z28" s="1385" t="str">
        <f>Q28</f>
        <v>朝向</v>
      </c>
      <c r="AA28" s="1386">
        <f t="shared" si="3"/>
        <v>1</v>
      </c>
      <c r="AB28" s="1386">
        <f t="shared" si="4"/>
        <v>1</v>
      </c>
      <c r="AC28" s="1753">
        <f t="shared" si="5"/>
        <v>1</v>
      </c>
    </row>
    <row r="29" ht="15" spans="1:29">
      <c r="A29" s="1176"/>
      <c r="B29" s="1215">
        <v>111</v>
      </c>
      <c r="C29" s="1728"/>
      <c r="D29" s="1185">
        <v>100</v>
      </c>
      <c r="E29" s="1174"/>
      <c r="F29" s="1185">
        <f>SUMIF(93:93,E29,94:94)-SUMIF(93:93,C29,94:94)+100</f>
        <v>100</v>
      </c>
      <c r="G29" s="1724"/>
      <c r="H29" s="1185">
        <f>SUMIF(93:93,G29,94:94)-SUMIF(93:93,C29,94:94)+100</f>
        <v>100</v>
      </c>
      <c r="I29" s="1174"/>
      <c r="J29" s="1185">
        <f>SUMIF(93:93,I29,94:94)-SUMIF(93:93,C29,94:94)+100</f>
        <v>100</v>
      </c>
      <c r="K29" s="1327"/>
      <c r="L29" s="1320"/>
      <c r="M29" s="1304"/>
      <c r="N29" s="1304"/>
      <c r="O29" s="1304"/>
      <c r="P29" s="1738"/>
      <c r="Q29" s="699">
        <f t="shared" si="11"/>
        <v>111</v>
      </c>
      <c r="R29" s="1370" t="s">
        <v>1490</v>
      </c>
      <c r="S29" s="1371">
        <f t="shared" ref="S29:S47" si="12">F29</f>
        <v>100</v>
      </c>
      <c r="T29" s="1370" t="s">
        <v>1490</v>
      </c>
      <c r="U29" s="1371">
        <f t="shared" ref="U29:U47" si="13">H29</f>
        <v>100</v>
      </c>
      <c r="V29" s="1370" t="s">
        <v>1490</v>
      </c>
      <c r="W29" s="1371">
        <f t="shared" ref="W29:W47" si="14">J29</f>
        <v>100</v>
      </c>
      <c r="X29" s="1357"/>
      <c r="Y29" s="1323"/>
      <c r="Z29" s="1344">
        <f t="shared" ref="Z29:Z47" si="15">Q29</f>
        <v>111</v>
      </c>
      <c r="AA29" s="1386">
        <f t="shared" si="3"/>
        <v>1</v>
      </c>
      <c r="AB29" s="1386">
        <f t="shared" si="4"/>
        <v>1</v>
      </c>
      <c r="AC29" s="1753">
        <f t="shared" si="5"/>
        <v>1</v>
      </c>
    </row>
    <row r="30" ht="15" spans="1:29">
      <c r="A30" s="1176"/>
      <c r="B30" s="1215">
        <v>111</v>
      </c>
      <c r="C30" s="1728"/>
      <c r="D30" s="1185">
        <v>100</v>
      </c>
      <c r="E30" s="1174"/>
      <c r="F30" s="1185">
        <f>SUMIF(95:95,E30,96:96)-SUMIF(95:95,C30,96:96)+100</f>
        <v>100</v>
      </c>
      <c r="G30" s="1724"/>
      <c r="H30" s="1185">
        <f>SUMIF(95:95,G30,96:96)-SUMIF(95:95,C30,96:96)+100</f>
        <v>100</v>
      </c>
      <c r="I30" s="1174"/>
      <c r="J30" s="1185">
        <f>SUMIF(95:95,I30,96:96)-SUMIF(95:95,C30,96:96)+100</f>
        <v>100</v>
      </c>
      <c r="K30" s="1327"/>
      <c r="L30" s="1320"/>
      <c r="M30" s="1304"/>
      <c r="N30" s="1304"/>
      <c r="O30" s="1304"/>
      <c r="P30" s="1738"/>
      <c r="Q30" s="699">
        <f t="shared" si="11"/>
        <v>111</v>
      </c>
      <c r="R30" s="1370" t="s">
        <v>1490</v>
      </c>
      <c r="S30" s="1371">
        <f t="shared" si="12"/>
        <v>100</v>
      </c>
      <c r="T30" s="1370" t="s">
        <v>1490</v>
      </c>
      <c r="U30" s="1371">
        <f t="shared" si="13"/>
        <v>100</v>
      </c>
      <c r="V30" s="1370" t="s">
        <v>1490</v>
      </c>
      <c r="W30" s="1371">
        <f t="shared" si="14"/>
        <v>100</v>
      </c>
      <c r="X30" s="1357"/>
      <c r="Y30" s="1323"/>
      <c r="Z30" s="1344">
        <f t="shared" si="15"/>
        <v>111</v>
      </c>
      <c r="AA30" s="1386">
        <f t="shared" si="3"/>
        <v>1</v>
      </c>
      <c r="AB30" s="1386">
        <f t="shared" si="4"/>
        <v>1</v>
      </c>
      <c r="AC30" s="1753">
        <f t="shared" si="5"/>
        <v>1</v>
      </c>
    </row>
    <row r="31" ht="15" spans="1:29">
      <c r="A31" s="1176"/>
      <c r="B31" s="1215">
        <v>111</v>
      </c>
      <c r="C31" s="1728"/>
      <c r="D31" s="1185">
        <v>100</v>
      </c>
      <c r="E31" s="1174"/>
      <c r="F31" s="1185">
        <f>SUMIF(97:97,E31,98:98)-SUMIF(97:97,C31,98:98)+100</f>
        <v>100</v>
      </c>
      <c r="G31" s="1724"/>
      <c r="H31" s="1185">
        <f>SUMIF(97:97,G31,98:98)-SUMIF(97:97,C31,98:98)+100</f>
        <v>100</v>
      </c>
      <c r="I31" s="1174"/>
      <c r="J31" s="1185">
        <f>SUMIF(97:97,I31,98:98)-SUMIF(97:97,C31,98:98)+100</f>
        <v>100</v>
      </c>
      <c r="K31" s="1327"/>
      <c r="L31" s="1320"/>
      <c r="M31" s="1304"/>
      <c r="N31" s="1304"/>
      <c r="O31" s="1304"/>
      <c r="P31" s="1738"/>
      <c r="Q31" s="699">
        <f t="shared" si="11"/>
        <v>111</v>
      </c>
      <c r="R31" s="1370" t="s">
        <v>1490</v>
      </c>
      <c r="S31" s="1371">
        <f t="shared" si="12"/>
        <v>100</v>
      </c>
      <c r="T31" s="1370" t="s">
        <v>1490</v>
      </c>
      <c r="U31" s="1371">
        <f t="shared" si="13"/>
        <v>100</v>
      </c>
      <c r="V31" s="1370" t="s">
        <v>1490</v>
      </c>
      <c r="W31" s="1371">
        <f t="shared" si="14"/>
        <v>100</v>
      </c>
      <c r="X31" s="1357"/>
      <c r="Y31" s="1323"/>
      <c r="Z31" s="1344">
        <f t="shared" si="15"/>
        <v>111</v>
      </c>
      <c r="AA31" s="1386">
        <f t="shared" si="3"/>
        <v>1</v>
      </c>
      <c r="AB31" s="1386">
        <f t="shared" si="4"/>
        <v>1</v>
      </c>
      <c r="AC31" s="1753">
        <f t="shared" si="5"/>
        <v>1</v>
      </c>
    </row>
    <row r="32" ht="15.75" spans="1:29">
      <c r="A32" s="1186"/>
      <c r="B32" s="1636">
        <v>111</v>
      </c>
      <c r="C32" s="1731"/>
      <c r="D32" s="1189">
        <v>100</v>
      </c>
      <c r="E32" s="1638"/>
      <c r="F32" s="1189">
        <f>SUMIF(99:99,E32,100:100)-SUMIF(99:99,C32,100:100)+100</f>
        <v>100</v>
      </c>
      <c r="G32" s="1724"/>
      <c r="H32" s="1189">
        <f>SUMIF(99:99,G32,100:100)-SUMIF(99:99,C32,100:100)+100</f>
        <v>100</v>
      </c>
      <c r="I32" s="1174"/>
      <c r="J32" s="1189">
        <f>SUMIF(99:99,I32,100:100)-SUMIF(99:99,C32,100:100)+100</f>
        <v>100</v>
      </c>
      <c r="K32" s="1327"/>
      <c r="L32" s="1320"/>
      <c r="M32" s="1304"/>
      <c r="N32" s="1304"/>
      <c r="O32" s="1304"/>
      <c r="P32" s="1738"/>
      <c r="Q32" s="699">
        <f t="shared" si="11"/>
        <v>111</v>
      </c>
      <c r="R32" s="1370" t="s">
        <v>1490</v>
      </c>
      <c r="S32" s="1371">
        <f t="shared" si="12"/>
        <v>100</v>
      </c>
      <c r="T32" s="1370" t="s">
        <v>1490</v>
      </c>
      <c r="U32" s="1371">
        <f t="shared" si="13"/>
        <v>100</v>
      </c>
      <c r="V32" s="1370" t="s">
        <v>1490</v>
      </c>
      <c r="W32" s="1371">
        <f t="shared" si="14"/>
        <v>100</v>
      </c>
      <c r="X32" s="1357"/>
      <c r="Y32" s="1323"/>
      <c r="Z32" s="1344">
        <f t="shared" si="15"/>
        <v>111</v>
      </c>
      <c r="AA32" s="1386">
        <f t="shared" si="3"/>
        <v>1</v>
      </c>
      <c r="AB32" s="1386">
        <f t="shared" si="4"/>
        <v>1</v>
      </c>
      <c r="AC32" s="1753">
        <f t="shared" si="5"/>
        <v>1</v>
      </c>
    </row>
    <row r="33" ht="15" spans="1:29">
      <c r="A33" s="1190" t="s">
        <v>1508</v>
      </c>
      <c r="B33" s="1169" t="s">
        <v>1509</v>
      </c>
      <c r="C33" s="1572"/>
      <c r="D33" s="1226">
        <v>100</v>
      </c>
      <c r="E33" s="1572"/>
      <c r="F33" s="1567">
        <f>SUMIF(101:101,E33,102:102)-SUMIF(101:101,C33,102:102)+100</f>
        <v>100</v>
      </c>
      <c r="G33" s="1572"/>
      <c r="H33" s="1185">
        <f>SUMIF(101:101,G33,102:102)-SUMIF(101:101,C33,102:102)+100</f>
        <v>100</v>
      </c>
      <c r="I33" s="1572"/>
      <c r="J33" s="1226">
        <f>SUMIF(101:101,I33,102:102)-SUMIF(101:101,C33,102:102)+100</f>
        <v>100</v>
      </c>
      <c r="K33" s="1328"/>
      <c r="L33" s="1320"/>
      <c r="M33" s="1304"/>
      <c r="N33" s="1304"/>
      <c r="O33" s="1304"/>
      <c r="P33" s="1739" t="s">
        <v>1510</v>
      </c>
      <c r="Q33" s="699" t="str">
        <f t="shared" si="11"/>
        <v>建筑类型</v>
      </c>
      <c r="R33" s="1370" t="s">
        <v>1490</v>
      </c>
      <c r="S33" s="1371">
        <f t="shared" si="12"/>
        <v>100</v>
      </c>
      <c r="T33" s="1370" t="s">
        <v>1490</v>
      </c>
      <c r="U33" s="1371">
        <f t="shared" si="13"/>
        <v>100</v>
      </c>
      <c r="V33" s="1370" t="s">
        <v>1490</v>
      </c>
      <c r="W33" s="1371">
        <f t="shared" si="14"/>
        <v>100</v>
      </c>
      <c r="X33" s="1357"/>
      <c r="Y33" s="1332" t="s">
        <v>1510</v>
      </c>
      <c r="Z33" s="1344" t="str">
        <f t="shared" si="15"/>
        <v>建筑类型</v>
      </c>
      <c r="AA33" s="1386">
        <f t="shared" si="3"/>
        <v>1</v>
      </c>
      <c r="AB33" s="1386">
        <f t="shared" si="4"/>
        <v>1</v>
      </c>
      <c r="AC33" s="1753">
        <f t="shared" si="5"/>
        <v>1</v>
      </c>
    </row>
    <row r="34" s="1125" customFormat="1" ht="15" spans="1:29">
      <c r="A34" s="1232"/>
      <c r="B34" s="1173" t="s">
        <v>1511</v>
      </c>
      <c r="C34" s="1561"/>
      <c r="D34" s="1175">
        <v>100</v>
      </c>
      <c r="E34" s="1178"/>
      <c r="F34" s="1560"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0"/>
      <c r="Q34" s="1606" t="str">
        <f t="shared" si="11"/>
        <v>项目建筑规模</v>
      </c>
      <c r="R34" s="1372" t="s">
        <v>1490</v>
      </c>
      <c r="S34" s="1373" t="e">
        <f t="shared" si="12"/>
        <v>#N/A</v>
      </c>
      <c r="T34" s="1372" t="s">
        <v>1490</v>
      </c>
      <c r="U34" s="1373" t="e">
        <f t="shared" si="13"/>
        <v>#N/A</v>
      </c>
      <c r="V34" s="1372" t="s">
        <v>1490</v>
      </c>
      <c r="W34" s="1373" t="e">
        <f t="shared" si="14"/>
        <v>#N/A</v>
      </c>
      <c r="X34" s="1374"/>
      <c r="Y34" s="1332"/>
      <c r="Z34" s="1387" t="str">
        <f t="shared" si="15"/>
        <v>项目建筑规模</v>
      </c>
      <c r="AA34" s="1386" t="e">
        <f t="shared" si="3"/>
        <v>#N/A</v>
      </c>
      <c r="AB34" s="1386" t="e">
        <f t="shared" si="4"/>
        <v>#N/A</v>
      </c>
      <c r="AC34" s="1753" t="e">
        <f t="shared" si="5"/>
        <v>#N/A</v>
      </c>
    </row>
    <row r="35" ht="15" spans="1:29">
      <c r="A35" s="1227"/>
      <c r="B35" s="1173" t="s">
        <v>1512</v>
      </c>
      <c r="C35" s="1577"/>
      <c r="D35" s="1185">
        <v>100</v>
      </c>
      <c r="E35" s="1577"/>
      <c r="F35" s="1567">
        <f>SUMIF(106:106,E35,107:107)-SUMIF(106:106,C35,107:107)+100</f>
        <v>100</v>
      </c>
      <c r="G35" s="1577"/>
      <c r="H35" s="1185">
        <f>SUMIF(106:106,G35,107:107)-SUMIF(106:106,C35,107:107)+100</f>
        <v>100</v>
      </c>
      <c r="I35" s="1577"/>
      <c r="J35" s="1185">
        <f>SUMIF(106:106,I35,107:107)-SUMIF(106:106,C35,107:107)+100</f>
        <v>100</v>
      </c>
      <c r="K35" s="1328"/>
      <c r="L35" s="1320"/>
      <c r="M35" s="1304"/>
      <c r="N35" s="1304"/>
      <c r="O35" s="1304"/>
      <c r="P35" s="1740"/>
      <c r="Q35" s="699" t="str">
        <f t="shared" si="11"/>
        <v>建筑结构</v>
      </c>
      <c r="R35" s="1370" t="s">
        <v>1490</v>
      </c>
      <c r="S35" s="1371">
        <f t="shared" si="12"/>
        <v>100</v>
      </c>
      <c r="T35" s="1370" t="s">
        <v>1490</v>
      </c>
      <c r="U35" s="1371">
        <f t="shared" si="13"/>
        <v>100</v>
      </c>
      <c r="V35" s="1370" t="s">
        <v>1490</v>
      </c>
      <c r="W35" s="1371">
        <f t="shared" si="14"/>
        <v>100</v>
      </c>
      <c r="X35" s="1357"/>
      <c r="Y35" s="1332"/>
      <c r="Z35" s="1344" t="str">
        <f t="shared" si="15"/>
        <v>建筑结构</v>
      </c>
      <c r="AA35" s="1386">
        <f t="shared" si="3"/>
        <v>1</v>
      </c>
      <c r="AB35" s="1386">
        <f t="shared" si="4"/>
        <v>1</v>
      </c>
      <c r="AC35" s="1753">
        <f t="shared" si="5"/>
        <v>1</v>
      </c>
    </row>
    <row r="36" ht="15" spans="1:29">
      <c r="A36" s="1227"/>
      <c r="B36" s="1173" t="s">
        <v>1514</v>
      </c>
      <c r="C36" s="1577"/>
      <c r="D36" s="1185">
        <v>100</v>
      </c>
      <c r="E36" s="1577"/>
      <c r="F36" s="1567">
        <f>SUMIF(108:108,E36,109:109)-SUMIF(108:108,C36,109:109)+100</f>
        <v>100</v>
      </c>
      <c r="G36" s="1577"/>
      <c r="H36" s="1185">
        <f>SUMIF(108:108,G36,109:109)-SUMIF(108:108,C36,109:109)+100</f>
        <v>100</v>
      </c>
      <c r="I36" s="1577"/>
      <c r="J36" s="1185">
        <f>SUMIF(108:108,I36,109:109)-SUMIF(108:108,C36,109:109)+100</f>
        <v>100</v>
      </c>
      <c r="K36" s="1328"/>
      <c r="L36" s="1320"/>
      <c r="M36" s="1304"/>
      <c r="N36" s="1304"/>
      <c r="O36" s="1304"/>
      <c r="P36" s="1740"/>
      <c r="Q36" s="699" t="str">
        <f t="shared" si="11"/>
        <v>公共部分装修</v>
      </c>
      <c r="R36" s="1370" t="s">
        <v>1490</v>
      </c>
      <c r="S36" s="1371">
        <f t="shared" si="12"/>
        <v>100</v>
      </c>
      <c r="T36" s="1370" t="s">
        <v>1490</v>
      </c>
      <c r="U36" s="1371">
        <f t="shared" si="13"/>
        <v>100</v>
      </c>
      <c r="V36" s="1370" t="s">
        <v>1490</v>
      </c>
      <c r="W36" s="1371">
        <f t="shared" si="14"/>
        <v>100</v>
      </c>
      <c r="X36" s="1357"/>
      <c r="Y36" s="1332"/>
      <c r="Z36" s="1344" t="str">
        <f t="shared" si="15"/>
        <v>公共部分装修</v>
      </c>
      <c r="AA36" s="1386">
        <f t="shared" si="3"/>
        <v>1</v>
      </c>
      <c r="AB36" s="1386">
        <f t="shared" si="4"/>
        <v>1</v>
      </c>
      <c r="AC36" s="1753">
        <f t="shared" si="5"/>
        <v>1</v>
      </c>
    </row>
    <row r="37" ht="15" spans="1:29">
      <c r="A37" s="1227"/>
      <c r="B37" s="1173" t="s">
        <v>634</v>
      </c>
      <c r="C37" s="1574"/>
      <c r="D37" s="1185">
        <v>100</v>
      </c>
      <c r="E37" s="1574"/>
      <c r="F37" s="1567" t="e">
        <f>LOOKUP(E37,111:111,112:112)-LOOKUP(C37,111:111,112:112)+100</f>
        <v>#N/A</v>
      </c>
      <c r="G37" s="1574"/>
      <c r="H37" s="1567" t="e">
        <f>LOOKUP(G37,111:111,112:112)-LOOKUP(C37,111:111,112:112)+100</f>
        <v>#N/A</v>
      </c>
      <c r="I37" s="1574"/>
      <c r="J37" s="1185" t="e">
        <f>LOOKUP(I37,111:111,112:112)-LOOKUP(C37,111:111,112:112)+100</f>
        <v>#N/A</v>
      </c>
      <c r="K37" s="1328"/>
      <c r="L37" s="1320"/>
      <c r="M37" s="1304"/>
      <c r="N37" s="1304"/>
      <c r="O37" s="1304"/>
      <c r="P37" s="1740"/>
      <c r="Q37" s="699" t="str">
        <f t="shared" si="11"/>
        <v>成新度</v>
      </c>
      <c r="R37" s="1370" t="s">
        <v>1490</v>
      </c>
      <c r="S37" s="1371" t="e">
        <f t="shared" si="12"/>
        <v>#N/A</v>
      </c>
      <c r="T37" s="1370" t="s">
        <v>1490</v>
      </c>
      <c r="U37" s="1371" t="e">
        <f t="shared" si="13"/>
        <v>#N/A</v>
      </c>
      <c r="V37" s="1370" t="s">
        <v>1490</v>
      </c>
      <c r="W37" s="1371" t="e">
        <f t="shared" si="14"/>
        <v>#N/A</v>
      </c>
      <c r="X37" s="1357"/>
      <c r="Y37" s="1332"/>
      <c r="Z37" s="1344" t="str">
        <f t="shared" si="15"/>
        <v>成新度</v>
      </c>
      <c r="AA37" s="1386" t="e">
        <f t="shared" si="3"/>
        <v>#N/A</v>
      </c>
      <c r="AB37" s="1386" t="e">
        <f t="shared" si="4"/>
        <v>#N/A</v>
      </c>
      <c r="AC37" s="1753" t="e">
        <f t="shared" si="5"/>
        <v>#N/A</v>
      </c>
    </row>
    <row r="38" s="1123" customFormat="1" ht="15" spans="1:29">
      <c r="A38" s="1229"/>
      <c r="B38" s="1173" t="s">
        <v>1578</v>
      </c>
      <c r="C38" s="1577"/>
      <c r="D38" s="1175">
        <v>100</v>
      </c>
      <c r="E38" s="1577"/>
      <c r="F38" s="1567">
        <f>SUMIF(113:113,E38,114:114)-SUMIF(113:113,C38,114:114)+100</f>
        <v>100</v>
      </c>
      <c r="G38" s="1577"/>
      <c r="H38" s="1185">
        <f>SUMIF(113:113,G38,114:114)-SUMIF(113:113,C38,114:114)+100</f>
        <v>100</v>
      </c>
      <c r="I38" s="1577"/>
      <c r="J38" s="1185">
        <f>SUMIF(113:113,I38,114:114)-SUMIF(113:113,C38,114:114)+100</f>
        <v>100</v>
      </c>
      <c r="K38" s="1328"/>
      <c r="L38" s="1309"/>
      <c r="M38" s="1310"/>
      <c r="N38" s="1310"/>
      <c r="O38" s="1310"/>
      <c r="P38" s="1740"/>
      <c r="Q38" s="1369" t="str">
        <f t="shared" si="11"/>
        <v>写字楼等级</v>
      </c>
      <c r="R38" s="1365" t="s">
        <v>1490</v>
      </c>
      <c r="S38" s="1366">
        <f t="shared" si="12"/>
        <v>100</v>
      </c>
      <c r="T38" s="1365" t="s">
        <v>1490</v>
      </c>
      <c r="U38" s="1366">
        <f t="shared" si="13"/>
        <v>100</v>
      </c>
      <c r="V38" s="1365" t="s">
        <v>1490</v>
      </c>
      <c r="W38" s="1366">
        <f t="shared" si="14"/>
        <v>100</v>
      </c>
      <c r="X38" s="1367"/>
      <c r="Y38" s="1332"/>
      <c r="Z38" s="1385" t="str">
        <f t="shared" si="15"/>
        <v>写字楼等级</v>
      </c>
      <c r="AA38" s="1384">
        <f t="shared" si="3"/>
        <v>1</v>
      </c>
      <c r="AB38" s="1384">
        <f t="shared" si="4"/>
        <v>1</v>
      </c>
      <c r="AC38" s="1752">
        <f t="shared" si="5"/>
        <v>1</v>
      </c>
    </row>
    <row r="39" ht="15" spans="1:29">
      <c r="A39" s="1227"/>
      <c r="B39" s="1173" t="s">
        <v>1515</v>
      </c>
      <c r="C39" s="1577"/>
      <c r="D39" s="1185">
        <v>100</v>
      </c>
      <c r="E39" s="1577"/>
      <c r="F39" s="1567">
        <f>SUMIF(115:115,E39,116:116)-SUMIF(115:115,C39,116:116)+100</f>
        <v>100</v>
      </c>
      <c r="G39" s="1577"/>
      <c r="H39" s="1185">
        <f>SUMIF(115:115,G39,116:116)-SUMIF(115:115,C39,116:116)+100</f>
        <v>100</v>
      </c>
      <c r="I39" s="1577"/>
      <c r="J39" s="1185">
        <f>SUMIF(115:115,I39,116:116)-SUMIF(115:115,C39,116:116)+100</f>
        <v>100</v>
      </c>
      <c r="K39" s="1328"/>
      <c r="L39" s="1320"/>
      <c r="M39" s="1304"/>
      <c r="N39" s="1304"/>
      <c r="O39" s="1304"/>
      <c r="P39" s="1740" t="s">
        <v>1510</v>
      </c>
      <c r="Q39" s="699" t="str">
        <f t="shared" si="11"/>
        <v>物业管理</v>
      </c>
      <c r="R39" s="1370" t="s">
        <v>1490</v>
      </c>
      <c r="S39" s="1371">
        <f t="shared" si="12"/>
        <v>100</v>
      </c>
      <c r="T39" s="1370" t="s">
        <v>1490</v>
      </c>
      <c r="U39" s="1371">
        <f t="shared" si="13"/>
        <v>100</v>
      </c>
      <c r="V39" s="1370" t="s">
        <v>1490</v>
      </c>
      <c r="W39" s="1371">
        <f t="shared" si="14"/>
        <v>100</v>
      </c>
      <c r="X39" s="1357"/>
      <c r="Y39" s="1332" t="s">
        <v>1510</v>
      </c>
      <c r="Z39" s="1344" t="str">
        <f t="shared" si="15"/>
        <v>物业管理</v>
      </c>
      <c r="AA39" s="1386">
        <f t="shared" si="3"/>
        <v>1</v>
      </c>
      <c r="AB39" s="1386">
        <f t="shared" si="4"/>
        <v>1</v>
      </c>
      <c r="AC39" s="1753">
        <f t="shared" si="5"/>
        <v>1</v>
      </c>
    </row>
    <row r="40" ht="15" spans="1:29">
      <c r="A40" s="1227"/>
      <c r="B40" s="1173" t="s">
        <v>1516</v>
      </c>
      <c r="C40" s="1577"/>
      <c r="D40" s="1185">
        <v>100</v>
      </c>
      <c r="E40" s="1577"/>
      <c r="F40" s="1567">
        <f>SUMIF(117:117,E40,118:118)-SUMIF(117:117,C40,118:118)+100</f>
        <v>100</v>
      </c>
      <c r="G40" s="1577"/>
      <c r="H40" s="1185">
        <f>SUMIF(117:117,G40,118:118)-SUMIF(117:117,C40,118:118)+100</f>
        <v>100</v>
      </c>
      <c r="I40" s="1577"/>
      <c r="J40" s="1185">
        <f>SUMIF(117:117,I40,118:118)-SUMIF(117:117,C40,118:118)+100</f>
        <v>100</v>
      </c>
      <c r="K40" s="1328"/>
      <c r="L40" s="1320"/>
      <c r="M40" s="1304"/>
      <c r="N40" s="1304"/>
      <c r="O40" s="1304"/>
      <c r="P40" s="1740"/>
      <c r="Q40" s="699" t="str">
        <f t="shared" si="11"/>
        <v>市政基础设施</v>
      </c>
      <c r="R40" s="1370" t="s">
        <v>1490</v>
      </c>
      <c r="S40" s="1371">
        <f t="shared" si="12"/>
        <v>100</v>
      </c>
      <c r="T40" s="1370" t="s">
        <v>1490</v>
      </c>
      <c r="U40" s="1371">
        <f t="shared" si="13"/>
        <v>100</v>
      </c>
      <c r="V40" s="1370" t="s">
        <v>1490</v>
      </c>
      <c r="W40" s="1371">
        <f t="shared" si="14"/>
        <v>100</v>
      </c>
      <c r="X40" s="1357"/>
      <c r="Y40" s="1332"/>
      <c r="Z40" s="1344" t="str">
        <f t="shared" si="15"/>
        <v>市政基础设施</v>
      </c>
      <c r="AA40" s="1386">
        <f t="shared" si="3"/>
        <v>1</v>
      </c>
      <c r="AB40" s="1386">
        <f t="shared" si="4"/>
        <v>1</v>
      </c>
      <c r="AC40" s="1753">
        <f t="shared" si="5"/>
        <v>1</v>
      </c>
    </row>
    <row r="41" ht="15" spans="1:29">
      <c r="A41" s="1227"/>
      <c r="B41" s="1173" t="s">
        <v>1570</v>
      </c>
      <c r="C41" s="1210"/>
      <c r="D41" s="1185">
        <v>100</v>
      </c>
      <c r="E41" s="1210"/>
      <c r="F41" s="1567">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0"/>
      <c r="Q41" s="699" t="str">
        <f t="shared" si="11"/>
        <v>层高</v>
      </c>
      <c r="R41" s="1370" t="s">
        <v>1490</v>
      </c>
      <c r="S41" s="1371">
        <f t="shared" si="12"/>
        <v>100</v>
      </c>
      <c r="T41" s="1370" t="s">
        <v>1490</v>
      </c>
      <c r="U41" s="1371">
        <f t="shared" si="13"/>
        <v>100</v>
      </c>
      <c r="V41" s="1370" t="s">
        <v>1490</v>
      </c>
      <c r="W41" s="1371">
        <f t="shared" si="14"/>
        <v>100</v>
      </c>
      <c r="X41" s="1357"/>
      <c r="Y41" s="1332"/>
      <c r="Z41" s="1344" t="str">
        <f t="shared" si="15"/>
        <v>层高</v>
      </c>
      <c r="AA41" s="1386">
        <f t="shared" si="3"/>
        <v>1</v>
      </c>
      <c r="AB41" s="1386">
        <f t="shared" si="4"/>
        <v>1</v>
      </c>
      <c r="AC41" s="1753">
        <f t="shared" si="5"/>
        <v>1</v>
      </c>
    </row>
    <row r="42" s="1125" customFormat="1" ht="15" spans="1:29">
      <c r="A42" s="1232"/>
      <c r="B42" s="1339" t="s">
        <v>1579</v>
      </c>
      <c r="C42" s="1184"/>
      <c r="D42" s="1185">
        <v>100</v>
      </c>
      <c r="E42" s="1184"/>
      <c r="F42" s="1567">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0"/>
      <c r="Q42" s="1606" t="str">
        <f t="shared" si="11"/>
        <v>单套建筑面积</v>
      </c>
      <c r="R42" s="1372" t="s">
        <v>1490</v>
      </c>
      <c r="S42" s="1373">
        <f t="shared" si="12"/>
        <v>100</v>
      </c>
      <c r="T42" s="1372" t="s">
        <v>1490</v>
      </c>
      <c r="U42" s="1373">
        <f t="shared" si="13"/>
        <v>100</v>
      </c>
      <c r="V42" s="1372" t="s">
        <v>1490</v>
      </c>
      <c r="W42" s="1373">
        <f t="shared" si="14"/>
        <v>100</v>
      </c>
      <c r="X42" s="1374"/>
      <c r="Y42" s="1332"/>
      <c r="Z42" s="1387" t="str">
        <f t="shared" si="15"/>
        <v>单套建筑面积</v>
      </c>
      <c r="AA42" s="1386">
        <f t="shared" si="3"/>
        <v>1</v>
      </c>
      <c r="AB42" s="1386">
        <f t="shared" si="4"/>
        <v>1</v>
      </c>
      <c r="AC42" s="1753">
        <f t="shared" si="5"/>
        <v>1</v>
      </c>
    </row>
    <row r="43" ht="15" spans="1:29">
      <c r="A43" s="1227"/>
      <c r="B43" s="1173" t="s">
        <v>1519</v>
      </c>
      <c r="C43" s="1577"/>
      <c r="D43" s="1185">
        <v>100</v>
      </c>
      <c r="E43" s="1577"/>
      <c r="F43" s="1567">
        <f>SUMIF(123:123,E43,124:124)-SUMIF(123:123,C43,124:124)+100</f>
        <v>100</v>
      </c>
      <c r="G43" s="1577"/>
      <c r="H43" s="1185">
        <f>SUMIF(123:123,G43,124:124)-SUMIF(123:123,C43,124:124)+100</f>
        <v>100</v>
      </c>
      <c r="I43" s="1577"/>
      <c r="J43" s="1185">
        <f>SUMIF(123:123,I43,124:124)-SUMIF(123:123,C43,124:124)+100</f>
        <v>100</v>
      </c>
      <c r="K43" s="1328"/>
      <c r="L43" s="1320"/>
      <c r="M43" s="1304"/>
      <c r="N43" s="1304"/>
      <c r="O43" s="1304"/>
      <c r="P43" s="1740"/>
      <c r="Q43" s="699" t="str">
        <f t="shared" si="11"/>
        <v>内部装修</v>
      </c>
      <c r="R43" s="1370" t="s">
        <v>1490</v>
      </c>
      <c r="S43" s="1371">
        <f t="shared" si="12"/>
        <v>100</v>
      </c>
      <c r="T43" s="1370" t="s">
        <v>1490</v>
      </c>
      <c r="U43" s="1371">
        <f t="shared" si="13"/>
        <v>100</v>
      </c>
      <c r="V43" s="1370" t="s">
        <v>1490</v>
      </c>
      <c r="W43" s="1371">
        <f t="shared" si="14"/>
        <v>100</v>
      </c>
      <c r="X43" s="1357"/>
      <c r="Y43" s="1332"/>
      <c r="Z43" s="1344" t="str">
        <f t="shared" si="15"/>
        <v>内部装修</v>
      </c>
      <c r="AA43" s="1386">
        <f t="shared" si="3"/>
        <v>1</v>
      </c>
      <c r="AB43" s="1386">
        <f t="shared" si="4"/>
        <v>1</v>
      </c>
      <c r="AC43" s="1753">
        <f t="shared" si="5"/>
        <v>1</v>
      </c>
    </row>
    <row r="44" ht="15" spans="1:29">
      <c r="A44" s="1227"/>
      <c r="B44" s="1173" t="s">
        <v>1520</v>
      </c>
      <c r="C44" s="1577"/>
      <c r="D44" s="1185">
        <v>100</v>
      </c>
      <c r="E44" s="1228"/>
      <c r="F44" s="1567">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0"/>
      <c r="Q44" s="699" t="str">
        <f t="shared" si="11"/>
        <v>内部装修维护情况</v>
      </c>
      <c r="R44" s="1370" t="s">
        <v>1490</v>
      </c>
      <c r="S44" s="1371">
        <f t="shared" si="12"/>
        <v>100</v>
      </c>
      <c r="T44" s="1370" t="s">
        <v>1490</v>
      </c>
      <c r="U44" s="1371">
        <f t="shared" si="13"/>
        <v>100</v>
      </c>
      <c r="V44" s="1370" t="s">
        <v>1490</v>
      </c>
      <c r="W44" s="1371">
        <f t="shared" si="14"/>
        <v>100</v>
      </c>
      <c r="X44" s="1357"/>
      <c r="Y44" s="1332"/>
      <c r="Z44" s="1344" t="str">
        <f t="shared" si="15"/>
        <v>内部装修维护情况</v>
      </c>
      <c r="AA44" s="1386">
        <f t="shared" si="3"/>
        <v>1</v>
      </c>
      <c r="AB44" s="1386">
        <f t="shared" si="4"/>
        <v>1</v>
      </c>
      <c r="AC44" s="1753">
        <f t="shared" si="5"/>
        <v>1</v>
      </c>
    </row>
    <row r="45" s="1123" customFormat="1" ht="15" spans="1:29">
      <c r="A45" s="1229"/>
      <c r="B45" s="1517">
        <v>111</v>
      </c>
      <c r="C45" s="1561"/>
      <c r="D45" s="1175">
        <v>100</v>
      </c>
      <c r="E45" s="1174"/>
      <c r="F45" s="1560">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0"/>
      <c r="Q45" s="1369">
        <f t="shared" si="11"/>
        <v>111</v>
      </c>
      <c r="R45" s="1365" t="s">
        <v>1490</v>
      </c>
      <c r="S45" s="1366">
        <f t="shared" si="12"/>
        <v>100</v>
      </c>
      <c r="T45" s="1365" t="s">
        <v>1490</v>
      </c>
      <c r="U45" s="1366">
        <f t="shared" si="13"/>
        <v>100</v>
      </c>
      <c r="V45" s="1365" t="s">
        <v>1490</v>
      </c>
      <c r="W45" s="1366">
        <f t="shared" si="14"/>
        <v>100</v>
      </c>
      <c r="X45" s="1367"/>
      <c r="Y45" s="1332"/>
      <c r="Z45" s="1385">
        <f t="shared" si="15"/>
        <v>111</v>
      </c>
      <c r="AA45" s="1384">
        <f t="shared" si="3"/>
        <v>1</v>
      </c>
      <c r="AB45" s="1384">
        <f t="shared" si="4"/>
        <v>1</v>
      </c>
      <c r="AC45" s="1752">
        <f t="shared" si="5"/>
        <v>1</v>
      </c>
    </row>
    <row r="46" ht="15" spans="1:29">
      <c r="A46" s="1227"/>
      <c r="B46" s="1517">
        <v>111</v>
      </c>
      <c r="C46" s="1184"/>
      <c r="D46" s="1185">
        <v>100</v>
      </c>
      <c r="E46" s="1174"/>
      <c r="F46" s="1567">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0"/>
      <c r="Q46" s="699">
        <f t="shared" si="11"/>
        <v>111</v>
      </c>
      <c r="R46" s="1370" t="s">
        <v>1490</v>
      </c>
      <c r="S46" s="1371">
        <f t="shared" si="12"/>
        <v>100</v>
      </c>
      <c r="T46" s="1370" t="s">
        <v>1490</v>
      </c>
      <c r="U46" s="1371">
        <f t="shared" si="13"/>
        <v>100</v>
      </c>
      <c r="V46" s="1370" t="s">
        <v>1490</v>
      </c>
      <c r="W46" s="1371">
        <f t="shared" si="14"/>
        <v>100</v>
      </c>
      <c r="X46" s="1357"/>
      <c r="Y46" s="1332"/>
      <c r="Z46" s="1344">
        <f t="shared" si="15"/>
        <v>111</v>
      </c>
      <c r="AA46" s="1386">
        <f t="shared" si="3"/>
        <v>1</v>
      </c>
      <c r="AB46" s="1386">
        <f t="shared" si="4"/>
        <v>1</v>
      </c>
      <c r="AC46" s="1753">
        <f t="shared" si="5"/>
        <v>1</v>
      </c>
    </row>
    <row r="47" ht="15.75" spans="1:29">
      <c r="A47" s="1579"/>
      <c r="B47" s="1187">
        <v>111</v>
      </c>
      <c r="C47" s="1188"/>
      <c r="D47" s="1189">
        <v>100</v>
      </c>
      <c r="E47" s="1174"/>
      <c r="F47" s="1580">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1"/>
      <c r="Q47" s="699">
        <f t="shared" si="11"/>
        <v>111</v>
      </c>
      <c r="R47" s="1370" t="s">
        <v>1490</v>
      </c>
      <c r="S47" s="1371">
        <f t="shared" si="12"/>
        <v>100</v>
      </c>
      <c r="T47" s="1370" t="s">
        <v>1490</v>
      </c>
      <c r="U47" s="1371">
        <f t="shared" si="13"/>
        <v>100</v>
      </c>
      <c r="V47" s="1370" t="s">
        <v>1490</v>
      </c>
      <c r="W47" s="1371">
        <f t="shared" si="14"/>
        <v>100</v>
      </c>
      <c r="X47" s="1357"/>
      <c r="Y47" s="1697"/>
      <c r="Z47" s="1344">
        <f t="shared" si="15"/>
        <v>111</v>
      </c>
      <c r="AA47" s="1386">
        <f t="shared" si="3"/>
        <v>1</v>
      </c>
      <c r="AB47" s="1386">
        <f t="shared" si="4"/>
        <v>1</v>
      </c>
      <c r="AC47" s="1753">
        <f t="shared" si="5"/>
        <v>1</v>
      </c>
    </row>
    <row r="48" ht="15" spans="1:29">
      <c r="A48" s="1234" t="s">
        <v>1521</v>
      </c>
      <c r="B48" s="1581"/>
      <c r="C48" s="1582" t="s">
        <v>124</v>
      </c>
      <c r="D48" s="1583"/>
      <c r="E48" s="1584"/>
      <c r="F48" s="1585"/>
      <c r="G48" s="1586"/>
      <c r="H48" s="1587"/>
      <c r="I48" s="1584"/>
      <c r="J48" s="1241"/>
      <c r="K48" s="1335"/>
      <c r="L48" s="1336"/>
      <c r="M48" s="1304"/>
      <c r="N48" s="1304"/>
      <c r="O48" s="1304"/>
      <c r="P48" s="1271" t="str">
        <f>A48</f>
        <v>成交单价（元/平方米）</v>
      </c>
      <c r="Q48" s="699"/>
      <c r="R48" s="1386">
        <f>E48</f>
        <v>0</v>
      </c>
      <c r="S48" s="1386"/>
      <c r="T48" s="1386">
        <f>G48</f>
        <v>0</v>
      </c>
      <c r="U48" s="1386"/>
      <c r="V48" s="1386">
        <f>I48</f>
        <v>0</v>
      </c>
      <c r="W48" s="1386"/>
      <c r="X48" s="1511"/>
      <c r="Y48" s="1388"/>
      <c r="Z48" s="1511"/>
      <c r="AA48" s="1511"/>
      <c r="AB48" s="1511"/>
      <c r="AC48" s="1195"/>
    </row>
    <row r="49" ht="15.75" spans="1:29">
      <c r="A49" s="1242" t="s">
        <v>1522</v>
      </c>
      <c r="B49" s="1588"/>
      <c r="C49" s="1589" t="e">
        <f>R50</f>
        <v>#DIV/0!</v>
      </c>
      <c r="D49" s="1245" t="s">
        <v>1523</v>
      </c>
      <c r="E49" s="1590" t="e">
        <f>R49</f>
        <v>#DIV/0!</v>
      </c>
      <c r="F49" s="1246"/>
      <c r="G49" s="1589" t="e">
        <f>T49</f>
        <v>#DIV/0!</v>
      </c>
      <c r="H49" s="1246"/>
      <c r="I49" s="1590" t="e">
        <f>V49</f>
        <v>#DIV/0!</v>
      </c>
      <c r="J49" s="1246"/>
      <c r="K49" s="1337">
        <f>F49+H49+J49</f>
        <v>0</v>
      </c>
      <c r="L49" s="1336"/>
      <c r="M49" s="1304"/>
      <c r="N49" s="1304"/>
      <c r="O49" s="1304"/>
      <c r="P49" s="1271" t="str">
        <f>A49</f>
        <v>比较价值（元/平方米）</v>
      </c>
      <c r="Q49" s="699"/>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1"/>
      <c r="Y49" s="1511"/>
      <c r="Z49" s="1511"/>
      <c r="AA49" s="1511"/>
      <c r="AB49" s="1511"/>
      <c r="AC49" s="1195"/>
    </row>
    <row r="50" ht="15.75" spans="1:29">
      <c r="A50" s="1248" t="s">
        <v>1524</v>
      </c>
      <c r="B50" s="1249"/>
      <c r="C50" s="1591" t="e">
        <f>R50</f>
        <v>#DIV/0!</v>
      </c>
      <c r="D50" s="1591"/>
      <c r="E50" s="1591"/>
      <c r="F50" s="1591"/>
      <c r="G50" s="1591"/>
      <c r="H50" s="1591"/>
      <c r="I50" s="1591"/>
      <c r="J50" s="1250"/>
      <c r="K50" s="1338"/>
      <c r="L50" s="1336"/>
      <c r="M50" s="1304"/>
      <c r="N50" s="1304"/>
      <c r="O50" s="1304"/>
      <c r="P50" s="1742" t="str">
        <f>A50</f>
        <v>估价对象XX用房的比较价值（楼面单价，元/平方米）</v>
      </c>
      <c r="Q50" s="1747"/>
      <c r="R50" s="1748" t="e">
        <f>IF(F1="售价",ROUND(IF(D49="简单平均",AVERAGE(R49:V49),R49*F49+T49*H49+V49*J49),0),ROUND(IF(D49="简单平均",AVERAGE(R49:V49),R49*F49+T49*H49+V49*J49),1))</f>
        <v>#DIV/0!</v>
      </c>
      <c r="S50" s="1748"/>
      <c r="T50" s="1748"/>
      <c r="U50" s="1748"/>
      <c r="V50" s="1748"/>
      <c r="W50" s="1748"/>
      <c r="X50" s="1749"/>
      <c r="Y50" s="1749"/>
      <c r="Z50" s="1749"/>
      <c r="AA50" s="1749"/>
      <c r="AB50" s="1749"/>
      <c r="AC50" s="1754"/>
    </row>
    <row r="51" spans="1:29">
      <c r="A51" s="1251"/>
      <c r="B51" s="1251"/>
      <c r="C51" s="1251"/>
      <c r="D51" s="1251"/>
      <c r="E51" s="1251"/>
      <c r="F51" s="1251"/>
      <c r="G51" s="1252"/>
      <c r="H51" s="1251"/>
      <c r="I51" s="1251"/>
      <c r="J51" s="1251"/>
      <c r="K51" s="1340"/>
      <c r="L51" s="1341"/>
      <c r="M51" s="1251"/>
      <c r="N51" s="1251"/>
      <c r="O51" s="1251"/>
      <c r="P51" s="1659"/>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59"/>
      <c r="Q52" s="1251"/>
      <c r="R52" s="1251"/>
      <c r="S52" s="1251"/>
      <c r="T52" s="1251"/>
      <c r="U52" s="1251"/>
      <c r="V52" s="1251"/>
      <c r="W52" s="1251"/>
      <c r="X52" s="1251"/>
      <c r="Y52" s="1251"/>
      <c r="Z52" s="1251"/>
      <c r="AA52" s="1251"/>
      <c r="AB52" s="1251"/>
      <c r="AC52" s="1251"/>
    </row>
    <row r="53" ht="13.5" customHeight="1" spans="1:29">
      <c r="A53" s="1251"/>
      <c r="B53" s="1251"/>
      <c r="C53" s="1253" t="s">
        <v>1525</v>
      </c>
      <c r="D53" s="743"/>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59"/>
      <c r="Q53" s="1251"/>
      <c r="R53" s="1251"/>
      <c r="S53" s="1251"/>
      <c r="T53" s="1251"/>
      <c r="U53" s="1251"/>
      <c r="V53" s="1251"/>
      <c r="W53" s="1251"/>
      <c r="X53" s="1251"/>
      <c r="Y53" s="1251"/>
      <c r="Z53" s="1251"/>
      <c r="AA53" s="1251"/>
      <c r="AB53" s="1251"/>
      <c r="AC53" s="1251"/>
    </row>
    <row r="54" ht="13.5" customHeight="1" spans="1:29">
      <c r="A54" s="1251"/>
      <c r="B54" s="1251"/>
      <c r="C54" s="1253" t="s">
        <v>1526</v>
      </c>
      <c r="D54" s="742"/>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59"/>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1527</v>
      </c>
      <c r="D55" s="742"/>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0"/>
      <c r="Q55" s="1256"/>
      <c r="R55" s="1256"/>
      <c r="S55" s="1256"/>
      <c r="T55" s="1256"/>
      <c r="U55" s="1256"/>
      <c r="V55" s="1256"/>
      <c r="W55" s="1256"/>
      <c r="X55" s="1256"/>
      <c r="Y55" s="1256"/>
      <c r="Z55" s="1256"/>
      <c r="AA55" s="1256"/>
      <c r="AB55" s="1256"/>
      <c r="AC55" s="1256"/>
    </row>
    <row r="56" s="1126" customFormat="1" spans="1:29">
      <c r="A56" s="1256"/>
      <c r="B56" s="1257"/>
      <c r="C56" s="1592"/>
      <c r="D56" s="1256"/>
      <c r="E56" s="1256"/>
      <c r="F56" s="1256"/>
      <c r="G56" s="1256"/>
      <c r="H56" s="1256"/>
      <c r="I56" s="1256"/>
      <c r="J56" s="1256"/>
      <c r="K56" s="1342"/>
      <c r="L56" s="1343"/>
      <c r="M56" s="1256"/>
      <c r="N56" s="1256"/>
      <c r="O56" s="1256"/>
      <c r="P56" s="1660"/>
      <c r="Q56" s="1256"/>
      <c r="R56" s="1256"/>
      <c r="S56" s="1256"/>
      <c r="T56" s="1256"/>
      <c r="U56" s="1256"/>
      <c r="V56" s="1256"/>
      <c r="W56" s="1256"/>
      <c r="X56" s="1256"/>
      <c r="Y56" s="1256"/>
      <c r="Z56" s="1256"/>
      <c r="AA56" s="1256"/>
      <c r="AB56" s="1256"/>
      <c r="AC56" s="1256"/>
    </row>
    <row r="57" spans="1:29">
      <c r="A57" s="1251"/>
      <c r="B57" s="1257"/>
      <c r="C57" s="1592"/>
      <c r="D57" s="1251"/>
      <c r="E57" s="1251"/>
      <c r="F57" s="1251"/>
      <c r="G57" s="1251"/>
      <c r="H57" s="1251"/>
      <c r="I57" s="1251"/>
      <c r="J57" s="1251"/>
      <c r="K57" s="1340"/>
      <c r="L57" s="1341"/>
      <c r="M57" s="1251"/>
      <c r="N57" s="1251"/>
      <c r="O57" s="1251"/>
      <c r="P57" s="1659"/>
      <c r="Q57" s="1251"/>
      <c r="R57" s="1251"/>
      <c r="S57" s="1251"/>
      <c r="T57" s="1251"/>
      <c r="U57" s="1251"/>
      <c r="V57" s="1251"/>
      <c r="W57" s="1251"/>
      <c r="X57" s="1251"/>
      <c r="Y57" s="1251"/>
      <c r="Z57" s="1251"/>
      <c r="AA57" s="1251"/>
      <c r="AB57" s="1251"/>
      <c r="AC57" s="1251"/>
    </row>
    <row r="58" ht="21" spans="1:29">
      <c r="A58" s="1291" t="s">
        <v>1528</v>
      </c>
      <c r="B58" s="1292"/>
      <c r="C58" s="1293"/>
      <c r="D58" s="1293"/>
      <c r="E58" s="1293"/>
      <c r="F58" s="1294"/>
      <c r="G58" s="1294"/>
      <c r="H58" s="1293"/>
      <c r="I58" s="1293"/>
      <c r="J58" s="1293"/>
      <c r="K58" s="1350"/>
      <c r="L58" s="1536"/>
      <c r="M58" s="1352"/>
      <c r="N58" s="1353"/>
      <c r="O58" s="1353"/>
      <c r="P58" s="1661"/>
      <c r="Q58" s="1378"/>
      <c r="R58" s="1251"/>
      <c r="S58" s="1251"/>
      <c r="T58" s="1251"/>
      <c r="U58" s="1251"/>
      <c r="V58" s="1251"/>
      <c r="W58" s="1251"/>
      <c r="X58" s="1251"/>
      <c r="Y58" s="1251"/>
      <c r="Z58" s="1251"/>
      <c r="AA58" s="1251"/>
      <c r="AB58" s="1251"/>
      <c r="AC58" s="1251"/>
    </row>
    <row r="59" s="1128" customFormat="1" ht="15" spans="1:29">
      <c r="A59" s="1593" t="s">
        <v>1488</v>
      </c>
      <c r="B59" s="1594"/>
      <c r="C59" s="1595" t="str">
        <f>YEAR(C7)&amp;"-"&amp;MONTH(C7)</f>
        <v>2024-9</v>
      </c>
      <c r="D59" s="1596">
        <f>EDATE(C59,-1)</f>
        <v>45505</v>
      </c>
      <c r="E59" s="1596">
        <f>EDATE(D59,-1)</f>
        <v>45474</v>
      </c>
      <c r="F59" s="1596">
        <f t="shared" ref="F59:O59" si="16">EDATE(E59,-1)</f>
        <v>45444</v>
      </c>
      <c r="G59" s="1596">
        <f t="shared" si="16"/>
        <v>45413</v>
      </c>
      <c r="H59" s="1596">
        <f t="shared" si="16"/>
        <v>45383</v>
      </c>
      <c r="I59" s="1596">
        <f t="shared" si="16"/>
        <v>45352</v>
      </c>
      <c r="J59" s="1596">
        <f t="shared" si="16"/>
        <v>45323</v>
      </c>
      <c r="K59" s="1596">
        <f t="shared" si="16"/>
        <v>45292</v>
      </c>
      <c r="L59" s="1596">
        <f t="shared" si="16"/>
        <v>45261</v>
      </c>
      <c r="M59" s="1596">
        <f t="shared" si="16"/>
        <v>45231</v>
      </c>
      <c r="N59" s="1596">
        <f t="shared" si="16"/>
        <v>45200</v>
      </c>
      <c r="O59" s="1596">
        <f t="shared" si="16"/>
        <v>45170</v>
      </c>
      <c r="P59" s="1662"/>
      <c r="Q59" s="1497"/>
      <c r="R59" s="1497"/>
      <c r="S59" s="1497"/>
      <c r="T59" s="1497"/>
      <c r="U59" s="1497"/>
      <c r="V59" s="1497"/>
      <c r="W59" s="1497"/>
      <c r="X59" s="1497"/>
      <c r="Y59" s="1497"/>
      <c r="Z59" s="1497"/>
      <c r="AA59" s="1497"/>
      <c r="AB59" s="1497"/>
      <c r="AC59" s="1497"/>
    </row>
    <row r="60" s="1123" customFormat="1" ht="15" spans="1:29">
      <c r="A60" s="1597"/>
      <c r="B60" s="1400"/>
      <c r="C60" s="1598">
        <v>100</v>
      </c>
      <c r="D60" s="1404"/>
      <c r="E60" s="1404"/>
      <c r="F60" s="1404"/>
      <c r="G60" s="1404"/>
      <c r="H60" s="1404"/>
      <c r="I60" s="1404"/>
      <c r="J60" s="1404"/>
      <c r="K60" s="1404"/>
      <c r="L60" s="1404"/>
      <c r="M60" s="1605"/>
      <c r="N60" s="1404"/>
      <c r="O60" s="1605"/>
      <c r="P60" s="1663"/>
      <c r="Q60" s="1498"/>
      <c r="R60" s="1498"/>
      <c r="S60" s="1498"/>
      <c r="T60" s="1498"/>
      <c r="U60" s="1498"/>
      <c r="V60" s="1498"/>
      <c r="W60" s="1498"/>
      <c r="X60" s="1498"/>
      <c r="Y60" s="1498"/>
      <c r="Z60" s="1498"/>
      <c r="AA60" s="1498"/>
      <c r="AB60" s="1498"/>
      <c r="AC60" s="1498"/>
    </row>
    <row r="61" s="1123" customFormat="1" ht="15.75" spans="1:29">
      <c r="A61" s="1395" t="s">
        <v>1529</v>
      </c>
      <c r="B61" s="1396"/>
      <c r="C61" s="1397"/>
      <c r="D61" s="1398"/>
      <c r="E61" s="1398"/>
      <c r="F61" s="1398"/>
      <c r="G61" s="1398"/>
      <c r="H61" s="1398"/>
      <c r="I61" s="1398"/>
      <c r="J61" s="1398"/>
      <c r="K61" s="1398"/>
      <c r="L61" s="1398"/>
      <c r="M61" s="1444"/>
      <c r="N61" s="1398"/>
      <c r="O61" s="1444"/>
      <c r="P61" s="1663"/>
      <c r="Q61" s="1378"/>
      <c r="R61" s="1498"/>
      <c r="S61" s="1498"/>
      <c r="T61" s="1498"/>
      <c r="U61" s="1498"/>
      <c r="V61" s="1498"/>
      <c r="W61" s="1498"/>
      <c r="X61" s="1498"/>
      <c r="Y61" s="1498"/>
      <c r="Z61" s="1498"/>
      <c r="AA61" s="1498"/>
      <c r="AB61" s="1498"/>
      <c r="AC61" s="1498"/>
    </row>
    <row r="62" s="1123" customFormat="1" ht="15" spans="1:29">
      <c r="A62" s="1399" t="s">
        <v>1491</v>
      </c>
      <c r="B62" s="1400"/>
      <c r="C62" s="1401" t="s">
        <v>1530</v>
      </c>
      <c r="D62" s="1402"/>
      <c r="E62" s="1402"/>
      <c r="F62" s="1402"/>
      <c r="G62" s="1402"/>
      <c r="H62" s="1402"/>
      <c r="I62" s="1402"/>
      <c r="J62" s="1402"/>
      <c r="K62" s="1402"/>
      <c r="L62" s="1446"/>
      <c r="M62" s="1447"/>
      <c r="N62" s="1448"/>
      <c r="O62" s="1448"/>
      <c r="P62" s="1664"/>
      <c r="Q62" s="1378"/>
      <c r="R62" s="1498"/>
      <c r="S62" s="1498"/>
      <c r="T62" s="1498"/>
      <c r="U62" s="1498"/>
      <c r="V62" s="1498"/>
      <c r="W62" s="1498"/>
      <c r="X62" s="1498"/>
      <c r="Y62" s="1498"/>
      <c r="Z62" s="1498"/>
      <c r="AA62" s="1498"/>
      <c r="AB62" s="1498"/>
      <c r="AC62" s="1498"/>
    </row>
    <row r="63" s="1123" customFormat="1" ht="15.75" spans="1:29">
      <c r="A63" s="1399"/>
      <c r="B63" s="1400"/>
      <c r="C63" s="1732">
        <v>100</v>
      </c>
      <c r="D63" s="1404"/>
      <c r="E63" s="1404"/>
      <c r="F63" s="1404"/>
      <c r="G63" s="1404"/>
      <c r="H63" s="1404"/>
      <c r="I63" s="1404"/>
      <c r="J63" s="1404"/>
      <c r="K63" s="1404"/>
      <c r="L63" s="1404"/>
      <c r="M63" s="1450"/>
      <c r="N63" s="1448"/>
      <c r="O63" s="1448"/>
      <c r="P63" s="1663"/>
      <c r="Q63" s="1378"/>
      <c r="R63" s="1498"/>
      <c r="S63" s="1498"/>
      <c r="T63" s="1498"/>
      <c r="U63" s="1498"/>
      <c r="V63" s="1498"/>
      <c r="W63" s="1498"/>
      <c r="X63" s="1498"/>
      <c r="Y63" s="1498"/>
      <c r="Z63" s="1498"/>
      <c r="AA63" s="1498"/>
      <c r="AB63" s="1498"/>
      <c r="AC63" s="1498"/>
    </row>
    <row r="64" spans="1:29">
      <c r="A64" s="1405" t="s">
        <v>1531</v>
      </c>
      <c r="B64" s="1406" t="s">
        <v>1494</v>
      </c>
      <c r="C64" s="1428">
        <f>C9</f>
        <v>0</v>
      </c>
      <c r="D64" s="1333"/>
      <c r="E64" s="1333"/>
      <c r="F64" s="1333"/>
      <c r="G64" s="1333"/>
      <c r="H64" s="1333"/>
      <c r="I64" s="1333"/>
      <c r="J64" s="1333"/>
      <c r="K64" s="1451"/>
      <c r="L64" s="1452"/>
      <c r="M64" s="1453"/>
      <c r="N64" s="1454"/>
      <c r="O64" s="1454"/>
      <c r="P64" s="1665"/>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6"/>
      <c r="N65" s="1457"/>
      <c r="O65" s="1457"/>
      <c r="P65" s="1665"/>
      <c r="Q65" s="1378"/>
      <c r="R65" s="1251"/>
      <c r="S65" s="1251"/>
      <c r="T65" s="1251"/>
      <c r="U65" s="1251"/>
      <c r="V65" s="1251"/>
      <c r="W65" s="1251"/>
      <c r="X65" s="1251"/>
      <c r="Y65" s="1251"/>
      <c r="Z65" s="1251"/>
      <c r="AA65" s="1251"/>
      <c r="AB65" s="1251"/>
      <c r="AC65" s="1251"/>
    </row>
    <row r="66" ht="27.75" spans="1:29">
      <c r="A66" s="1407"/>
      <c r="B66" s="1410" t="s">
        <v>1497</v>
      </c>
      <c r="C66" s="1435"/>
      <c r="D66" s="1435"/>
      <c r="E66" s="1435"/>
      <c r="F66" s="1435"/>
      <c r="G66" s="1435"/>
      <c r="H66" s="1435"/>
      <c r="I66" s="1435"/>
      <c r="J66" s="1435"/>
      <c r="K66" s="1484"/>
      <c r="L66" s="1485"/>
      <c r="M66" s="1486"/>
      <c r="N66" s="1454"/>
      <c r="O66" s="1454"/>
      <c r="P66" s="1665"/>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6"/>
      <c r="N67" s="1457"/>
      <c r="O67" s="1457"/>
      <c r="P67" s="1665"/>
      <c r="Q67" s="1378"/>
      <c r="R67" s="1251"/>
      <c r="S67" s="1251"/>
      <c r="T67" s="1251"/>
      <c r="U67" s="1251"/>
      <c r="V67" s="1251"/>
      <c r="W67" s="1251"/>
      <c r="X67" s="1251"/>
      <c r="Y67" s="1251"/>
      <c r="Z67" s="1251"/>
      <c r="AA67" s="1251"/>
      <c r="AB67" s="1251"/>
      <c r="AC67" s="1251"/>
    </row>
    <row r="68" ht="15.75" spans="1:29">
      <c r="A68" s="1407"/>
      <c r="B68" s="1414" t="s">
        <v>1498</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7"/>
      <c r="O68" s="1457"/>
      <c r="P68" s="1665"/>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2"/>
      <c r="L69" s="1463"/>
      <c r="M69" s="1464"/>
      <c r="N69" s="1454"/>
      <c r="O69" s="1454"/>
      <c r="P69" s="1665"/>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1">
        <f t="shared" si="18"/>
        <v>100</v>
      </c>
      <c r="N70" s="1457"/>
      <c r="O70" s="1457"/>
      <c r="P70" s="1665"/>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5"/>
      <c r="M71" s="1466"/>
      <c r="N71" s="1467"/>
      <c r="O71" s="1467"/>
      <c r="P71" s="1666"/>
      <c r="Q71" s="1499"/>
      <c r="R71" s="1500"/>
      <c r="S71" s="1500"/>
      <c r="T71" s="1500"/>
      <c r="U71" s="1500"/>
      <c r="V71" s="1500"/>
      <c r="W71" s="1500"/>
      <c r="X71" s="1500"/>
      <c r="Y71" s="1500"/>
      <c r="Z71" s="1500"/>
      <c r="AA71" s="1500"/>
      <c r="AB71" s="1500"/>
      <c r="AC71" s="1500"/>
    </row>
    <row r="72" s="1125" customFormat="1" ht="15.75" spans="1:29">
      <c r="A72" s="1417"/>
      <c r="B72" s="1412"/>
      <c r="C72" s="1420"/>
      <c r="D72" s="1409"/>
      <c r="E72" s="1409"/>
      <c r="F72" s="1409"/>
      <c r="G72" s="1409"/>
      <c r="H72" s="1409"/>
      <c r="I72" s="1409"/>
      <c r="J72" s="1409"/>
      <c r="K72" s="1409"/>
      <c r="L72" s="1409"/>
      <c r="M72" s="1456"/>
      <c r="N72" s="1457"/>
      <c r="O72" s="1457"/>
      <c r="P72" s="1666"/>
      <c r="Q72" s="1499"/>
      <c r="R72" s="1500"/>
      <c r="S72" s="1500"/>
      <c r="T72" s="1500"/>
      <c r="U72" s="1500"/>
      <c r="V72" s="1500"/>
      <c r="W72" s="1500"/>
      <c r="X72" s="1500"/>
      <c r="Y72" s="1500"/>
      <c r="Z72" s="1500"/>
      <c r="AA72" s="1500"/>
      <c r="AB72" s="1500"/>
      <c r="AC72" s="1500"/>
    </row>
    <row r="73" s="1125" customFormat="1" ht="15.75" spans="1:29">
      <c r="A73" s="1417"/>
      <c r="B73" s="1410">
        <f>B13</f>
        <v>111</v>
      </c>
      <c r="C73" s="1418"/>
      <c r="D73" s="1418"/>
      <c r="E73" s="1418"/>
      <c r="F73" s="1418"/>
      <c r="G73" s="1418"/>
      <c r="H73" s="1419"/>
      <c r="I73" s="1419"/>
      <c r="J73" s="1419"/>
      <c r="K73" s="1419"/>
      <c r="L73" s="1465"/>
      <c r="M73" s="1466"/>
      <c r="N73" s="1467"/>
      <c r="O73" s="1467"/>
      <c r="P73" s="1667"/>
      <c r="Q73" s="1501"/>
      <c r="R73" s="1500"/>
      <c r="S73" s="1500"/>
      <c r="T73" s="1500"/>
      <c r="U73" s="1500"/>
      <c r="V73" s="1500"/>
      <c r="W73" s="1500"/>
      <c r="X73" s="1500"/>
      <c r="Y73" s="1500"/>
      <c r="Z73" s="1500"/>
      <c r="AA73" s="1500"/>
      <c r="AB73" s="1500"/>
      <c r="AC73" s="1500"/>
    </row>
    <row r="74" s="1125" customFormat="1" ht="15.75" spans="1:29">
      <c r="A74" s="1417"/>
      <c r="B74" s="1412"/>
      <c r="C74" s="1420"/>
      <c r="D74" s="1420"/>
      <c r="E74" s="1420"/>
      <c r="F74" s="1420"/>
      <c r="G74" s="1420"/>
      <c r="H74" s="1421"/>
      <c r="I74" s="1421"/>
      <c r="J74" s="1421"/>
      <c r="K74" s="1421"/>
      <c r="L74" s="1421"/>
      <c r="M74" s="1469"/>
      <c r="N74" s="1467"/>
      <c r="O74" s="1467"/>
      <c r="P74" s="1666"/>
      <c r="Q74" s="1499"/>
      <c r="R74" s="1500"/>
      <c r="S74" s="1500"/>
      <c r="T74" s="1500"/>
      <c r="U74" s="1500"/>
      <c r="V74" s="1500"/>
      <c r="W74" s="1500"/>
      <c r="X74" s="1500"/>
      <c r="Y74" s="1500"/>
      <c r="Z74" s="1500"/>
      <c r="AA74" s="1500"/>
      <c r="AB74" s="1500"/>
      <c r="AC74" s="1500"/>
    </row>
    <row r="75" s="1125" customFormat="1" ht="15.75" spans="1:29">
      <c r="A75" s="1417"/>
      <c r="B75" s="1414">
        <f>B14</f>
        <v>111</v>
      </c>
      <c r="C75" s="1402"/>
      <c r="D75" s="1402"/>
      <c r="E75" s="1402"/>
      <c r="F75" s="1402"/>
      <c r="G75" s="1402"/>
      <c r="H75" s="1422"/>
      <c r="I75" s="1422"/>
      <c r="J75" s="1422"/>
      <c r="K75" s="1422"/>
      <c r="L75" s="1470"/>
      <c r="M75" s="1471"/>
      <c r="N75" s="1467"/>
      <c r="O75" s="1467"/>
      <c r="P75" s="1756"/>
      <c r="Q75" s="1499"/>
      <c r="R75" s="1500"/>
      <c r="S75" s="1500"/>
      <c r="T75" s="1500"/>
      <c r="U75" s="1500"/>
      <c r="V75" s="1500"/>
      <c r="W75" s="1500"/>
      <c r="X75" s="1500"/>
      <c r="Y75" s="1500"/>
      <c r="Z75" s="1500"/>
      <c r="AA75" s="1500"/>
      <c r="AB75" s="1500"/>
      <c r="AC75" s="1500"/>
    </row>
    <row r="76" s="1125" customFormat="1" ht="15.75" spans="1:29">
      <c r="A76" s="1423"/>
      <c r="B76" s="1424"/>
      <c r="C76" s="1425"/>
      <c r="D76" s="1425"/>
      <c r="E76" s="1425"/>
      <c r="F76" s="1425"/>
      <c r="G76" s="1425"/>
      <c r="H76" s="1426"/>
      <c r="I76" s="1426"/>
      <c r="J76" s="1426"/>
      <c r="K76" s="1426"/>
      <c r="L76" s="1426"/>
      <c r="M76" s="1473"/>
      <c r="N76" s="1467"/>
      <c r="O76" s="1467"/>
      <c r="P76" s="1666"/>
      <c r="Q76" s="1499"/>
      <c r="R76" s="1500"/>
      <c r="S76" s="1500"/>
      <c r="T76" s="1500"/>
      <c r="U76" s="1500"/>
      <c r="V76" s="1500"/>
      <c r="W76" s="1500"/>
      <c r="X76" s="1500"/>
      <c r="Y76" s="1500"/>
      <c r="Z76" s="1500"/>
      <c r="AA76" s="1500"/>
      <c r="AB76" s="1500"/>
      <c r="AC76" s="1500"/>
    </row>
    <row r="77" spans="1:29">
      <c r="A77" s="1405" t="s">
        <v>1499</v>
      </c>
      <c r="B77" s="1406" t="s">
        <v>1575</v>
      </c>
      <c r="C77" s="1427" t="s">
        <v>1532</v>
      </c>
      <c r="D77" s="1427" t="s">
        <v>1533</v>
      </c>
      <c r="E77" s="1427" t="s">
        <v>1534</v>
      </c>
      <c r="F77" s="1427" t="s">
        <v>1535</v>
      </c>
      <c r="G77" s="1427" t="s">
        <v>1536</v>
      </c>
      <c r="H77" s="1428"/>
      <c r="I77" s="1428"/>
      <c r="J77" s="1428"/>
      <c r="K77" s="1474"/>
      <c r="L77" s="1475"/>
      <c r="M77" s="1476"/>
      <c r="N77" s="1454"/>
      <c r="O77" s="1454"/>
      <c r="P77" s="1668"/>
      <c r="Q77" s="1378"/>
      <c r="R77" s="1251"/>
      <c r="S77" s="1251"/>
      <c r="T77" s="1251"/>
      <c r="U77" s="1251"/>
      <c r="V77" s="1251"/>
      <c r="W77" s="1251"/>
      <c r="X77" s="1251"/>
      <c r="Y77" s="1251"/>
      <c r="Z77" s="1251"/>
      <c r="AA77" s="1251"/>
      <c r="AB77" s="1251"/>
      <c r="AC77" s="1251"/>
    </row>
    <row r="78" ht="15.75" spans="1:29">
      <c r="A78" s="1407"/>
      <c r="B78" s="1412"/>
      <c r="C78" s="1413">
        <v>100</v>
      </c>
      <c r="D78" s="1413">
        <f>C78-$K15</f>
        <v>100</v>
      </c>
      <c r="E78" s="1413">
        <f>D78-$K15</f>
        <v>100</v>
      </c>
      <c r="F78" s="1413">
        <f>E78-$K15</f>
        <v>100</v>
      </c>
      <c r="G78" s="1413">
        <f>F78-$K15</f>
        <v>100</v>
      </c>
      <c r="H78" s="1413"/>
      <c r="I78" s="1413"/>
      <c r="J78" s="1413"/>
      <c r="K78" s="1413"/>
      <c r="L78" s="1413"/>
      <c r="M78" s="1461"/>
      <c r="N78" s="1457"/>
      <c r="O78" s="1457"/>
      <c r="P78" s="1665"/>
      <c r="Q78" s="1378"/>
      <c r="R78" s="1251"/>
      <c r="S78" s="1251"/>
      <c r="T78" s="1251"/>
      <c r="U78" s="1251"/>
      <c r="V78" s="1251"/>
      <c r="W78" s="1251"/>
      <c r="X78" s="1251"/>
      <c r="Y78" s="1251"/>
      <c r="Z78" s="1251"/>
      <c r="AA78" s="1251"/>
      <c r="AB78" s="1251"/>
      <c r="AC78" s="1251"/>
    </row>
    <row r="79" ht="15.75" spans="1:29">
      <c r="A79" s="1407"/>
      <c r="B79" s="1410" t="s">
        <v>1502</v>
      </c>
      <c r="C79" s="1429" t="s">
        <v>1532</v>
      </c>
      <c r="D79" s="1429" t="s">
        <v>1533</v>
      </c>
      <c r="E79" s="1429" t="s">
        <v>1534</v>
      </c>
      <c r="F79" s="1429" t="s">
        <v>1535</v>
      </c>
      <c r="G79" s="1429" t="s">
        <v>1536</v>
      </c>
      <c r="H79" s="1411"/>
      <c r="I79" s="1411"/>
      <c r="J79" s="1411"/>
      <c r="K79" s="1458"/>
      <c r="L79" s="1459"/>
      <c r="M79" s="1460"/>
      <c r="N79" s="1454"/>
      <c r="O79" s="1454"/>
      <c r="P79" s="1665"/>
      <c r="Q79" s="1378"/>
      <c r="R79" s="1251"/>
      <c r="S79" s="1251"/>
      <c r="T79" s="1251"/>
      <c r="U79" s="1251"/>
      <c r="V79" s="1251"/>
      <c r="W79" s="1251"/>
      <c r="X79" s="1251"/>
      <c r="Y79" s="1251"/>
      <c r="Z79" s="1251"/>
      <c r="AA79" s="1251"/>
      <c r="AB79" s="1251"/>
      <c r="AC79" s="1251"/>
    </row>
    <row r="80" ht="15.75" spans="1:29">
      <c r="A80" s="1407"/>
      <c r="B80" s="1412"/>
      <c r="C80" s="1413">
        <v>100</v>
      </c>
      <c r="D80" s="1413">
        <f>C80-$K17</f>
        <v>100</v>
      </c>
      <c r="E80" s="1413">
        <f>D80-$K17</f>
        <v>100</v>
      </c>
      <c r="F80" s="1413">
        <f>E80-$K17</f>
        <v>100</v>
      </c>
      <c r="G80" s="1413">
        <f>F80-$K17</f>
        <v>100</v>
      </c>
      <c r="H80" s="1413"/>
      <c r="I80" s="1413"/>
      <c r="J80" s="1413"/>
      <c r="K80" s="1413"/>
      <c r="L80" s="1413"/>
      <c r="M80" s="1461"/>
      <c r="N80" s="1457"/>
      <c r="O80" s="1457"/>
      <c r="P80" s="1665"/>
      <c r="Q80" s="1378"/>
      <c r="R80" s="1251"/>
      <c r="S80" s="1251"/>
      <c r="T80" s="1251"/>
      <c r="U80" s="1251"/>
      <c r="V80" s="1251"/>
      <c r="W80" s="1251"/>
      <c r="X80" s="1251"/>
      <c r="Y80" s="1251"/>
      <c r="Z80" s="1251"/>
      <c r="AA80" s="1251"/>
      <c r="AB80" s="1251"/>
      <c r="AC80" s="1251"/>
    </row>
    <row r="81" ht="15.75" spans="1:29">
      <c r="A81" s="1407"/>
      <c r="B81" s="1410" t="s">
        <v>1503</v>
      </c>
      <c r="C81" s="1429" t="s">
        <v>1532</v>
      </c>
      <c r="D81" s="1429" t="s">
        <v>1533</v>
      </c>
      <c r="E81" s="1429" t="s">
        <v>1534</v>
      </c>
      <c r="F81" s="1429" t="s">
        <v>1535</v>
      </c>
      <c r="G81" s="1429" t="s">
        <v>1536</v>
      </c>
      <c r="H81" s="1411"/>
      <c r="I81" s="1411"/>
      <c r="J81" s="1411"/>
      <c r="K81" s="1458"/>
      <c r="L81" s="1459"/>
      <c r="M81" s="1460"/>
      <c r="N81" s="1454"/>
      <c r="O81" s="1454"/>
      <c r="P81" s="1665"/>
      <c r="Q81" s="1378"/>
      <c r="R81" s="1251"/>
      <c r="S81" s="1251"/>
      <c r="T81" s="1251"/>
      <c r="U81" s="1251"/>
      <c r="V81" s="1251"/>
      <c r="W81" s="1251"/>
      <c r="X81" s="1251"/>
      <c r="Y81" s="1251"/>
      <c r="Z81" s="1251"/>
      <c r="AA81" s="1251"/>
      <c r="AB81" s="1251"/>
      <c r="AC81" s="1251"/>
    </row>
    <row r="82" ht="15.75" spans="1:29">
      <c r="A82" s="1407"/>
      <c r="B82" s="1412"/>
      <c r="C82" s="1413">
        <v>100</v>
      </c>
      <c r="D82" s="1413">
        <f>C82-$K19</f>
        <v>100</v>
      </c>
      <c r="E82" s="1413">
        <f>D82-$K19</f>
        <v>100</v>
      </c>
      <c r="F82" s="1413">
        <f>E82-$K19</f>
        <v>100</v>
      </c>
      <c r="G82" s="1413">
        <f>F82-$K19</f>
        <v>100</v>
      </c>
      <c r="H82" s="1413"/>
      <c r="I82" s="1413"/>
      <c r="J82" s="1413"/>
      <c r="K82" s="1413"/>
      <c r="L82" s="1413"/>
      <c r="M82" s="1461"/>
      <c r="N82" s="1457"/>
      <c r="O82" s="1457"/>
      <c r="P82" s="1665"/>
      <c r="Q82" s="1378"/>
      <c r="R82" s="1251"/>
      <c r="S82" s="1251"/>
      <c r="T82" s="1251"/>
      <c r="U82" s="1251"/>
      <c r="V82" s="1251"/>
      <c r="W82" s="1251"/>
      <c r="X82" s="1251"/>
      <c r="Y82" s="1251"/>
      <c r="Z82" s="1251"/>
      <c r="AA82" s="1251"/>
      <c r="AB82" s="1251"/>
      <c r="AC82" s="1251"/>
    </row>
    <row r="83" ht="15.75" spans="1:29">
      <c r="A83" s="1407"/>
      <c r="B83" s="1414" t="s">
        <v>1504</v>
      </c>
      <c r="C83" s="1434" t="s">
        <v>1537</v>
      </c>
      <c r="D83" s="1434" t="s">
        <v>1538</v>
      </c>
      <c r="E83" s="1434" t="s">
        <v>1539</v>
      </c>
      <c r="F83" s="1434" t="s">
        <v>1540</v>
      </c>
      <c r="G83" s="1434" t="s">
        <v>1541</v>
      </c>
      <c r="H83" s="1411"/>
      <c r="I83" s="1411"/>
      <c r="J83" s="1411"/>
      <c r="K83" s="1411"/>
      <c r="L83" s="1411"/>
      <c r="M83" s="1611"/>
      <c r="N83" s="1457"/>
      <c r="O83" s="1457"/>
      <c r="P83" s="1665"/>
      <c r="Q83" s="1378"/>
      <c r="R83" s="1251"/>
      <c r="S83" s="1251"/>
      <c r="T83" s="1251"/>
      <c r="U83" s="1251"/>
      <c r="V83" s="1251"/>
      <c r="W83" s="1251"/>
      <c r="X83" s="1251"/>
      <c r="Y83" s="1251"/>
      <c r="Z83" s="1251"/>
      <c r="AA83" s="1251"/>
      <c r="AB83" s="1251"/>
      <c r="AC83" s="1251"/>
    </row>
    <row r="84" ht="15.75" spans="1:29">
      <c r="A84" s="1407"/>
      <c r="B84" s="1414"/>
      <c r="C84" s="1413">
        <v>100</v>
      </c>
      <c r="D84" s="1413">
        <f>C84-$K21</f>
        <v>100</v>
      </c>
      <c r="E84" s="1413">
        <f>D84-$K21</f>
        <v>100</v>
      </c>
      <c r="F84" s="1413">
        <f>E84-$K21</f>
        <v>100</v>
      </c>
      <c r="G84" s="1413">
        <f>F84-$K21</f>
        <v>100</v>
      </c>
      <c r="H84" s="1434"/>
      <c r="I84" s="1434"/>
      <c r="J84" s="1434"/>
      <c r="K84" s="1434"/>
      <c r="L84" s="1434"/>
      <c r="M84" s="1199"/>
      <c r="N84" s="1457"/>
      <c r="O84" s="1457"/>
      <c r="P84" s="1665"/>
      <c r="Q84" s="1378"/>
      <c r="R84" s="1251"/>
      <c r="S84" s="1251"/>
      <c r="T84" s="1251"/>
      <c r="U84" s="1251"/>
      <c r="V84" s="1251"/>
      <c r="W84" s="1251"/>
      <c r="X84" s="1251"/>
      <c r="Y84" s="1251"/>
      <c r="Z84" s="1251"/>
      <c r="AA84" s="1251"/>
      <c r="AB84" s="1251"/>
      <c r="AC84" s="1251"/>
    </row>
    <row r="85" ht="15.75" spans="1:29">
      <c r="A85" s="1407"/>
      <c r="B85" s="1410" t="s">
        <v>1576</v>
      </c>
      <c r="C85" s="1429" t="s">
        <v>1532</v>
      </c>
      <c r="D85" s="1429" t="s">
        <v>1533</v>
      </c>
      <c r="E85" s="1429" t="s">
        <v>1534</v>
      </c>
      <c r="F85" s="1429" t="s">
        <v>1535</v>
      </c>
      <c r="G85" s="1429" t="s">
        <v>1536</v>
      </c>
      <c r="H85" s="1411"/>
      <c r="I85" s="1411"/>
      <c r="J85" s="1411"/>
      <c r="K85" s="1458"/>
      <c r="L85" s="1459"/>
      <c r="M85" s="1460"/>
      <c r="N85" s="1454"/>
      <c r="O85" s="1454"/>
      <c r="P85" s="1665"/>
      <c r="Q85" s="1378"/>
      <c r="R85" s="1251"/>
      <c r="S85" s="1251"/>
      <c r="T85" s="1251"/>
      <c r="U85" s="1251"/>
      <c r="V85" s="1251"/>
      <c r="W85" s="1251"/>
      <c r="X85" s="1251"/>
      <c r="Y85" s="1251"/>
      <c r="Z85" s="1251"/>
      <c r="AA85" s="1251"/>
      <c r="AB85" s="1251"/>
      <c r="AC85" s="1251"/>
    </row>
    <row r="86" ht="15.75" spans="1:29">
      <c r="A86" s="1407"/>
      <c r="B86" s="1412"/>
      <c r="C86" s="1413">
        <v>100</v>
      </c>
      <c r="D86" s="1413">
        <f>C86-$K23</f>
        <v>100</v>
      </c>
      <c r="E86" s="1413">
        <f>D86-$K23</f>
        <v>100</v>
      </c>
      <c r="F86" s="1413">
        <f>E86-$K23</f>
        <v>100</v>
      </c>
      <c r="G86" s="1413">
        <f>F86-$K23</f>
        <v>100</v>
      </c>
      <c r="H86" s="1413"/>
      <c r="I86" s="1413"/>
      <c r="J86" s="1413"/>
      <c r="K86" s="1413"/>
      <c r="L86" s="1413"/>
      <c r="M86" s="1461"/>
      <c r="N86" s="1457"/>
      <c r="O86" s="1457"/>
      <c r="P86" s="1665"/>
      <c r="Q86" s="1378"/>
      <c r="R86" s="1251"/>
      <c r="S86" s="1251"/>
      <c r="T86" s="1251"/>
      <c r="U86" s="1251"/>
      <c r="V86" s="1251"/>
      <c r="W86" s="1251"/>
      <c r="X86" s="1251"/>
      <c r="Y86" s="1251"/>
      <c r="Z86" s="1251"/>
      <c r="AA86" s="1251"/>
      <c r="AB86" s="1251"/>
      <c r="AC86" s="1251"/>
    </row>
    <row r="87" s="1123" customFormat="1" ht="27.75" spans="1:29">
      <c r="A87" s="1430"/>
      <c r="B87" s="1410" t="s">
        <v>1577</v>
      </c>
      <c r="C87" s="1418"/>
      <c r="D87" s="1418"/>
      <c r="E87" s="1418"/>
      <c r="F87" s="1418"/>
      <c r="G87" s="1418"/>
      <c r="H87" s="1418"/>
      <c r="I87" s="1418"/>
      <c r="J87" s="1418"/>
      <c r="K87" s="1418"/>
      <c r="L87" s="1612"/>
      <c r="M87" s="1613"/>
      <c r="N87" s="1448"/>
      <c r="O87" s="1448"/>
      <c r="P87" s="1665"/>
      <c r="Q87" s="1378"/>
      <c r="R87" s="1498"/>
      <c r="S87" s="1498"/>
      <c r="T87" s="1498"/>
      <c r="U87" s="1498"/>
      <c r="V87" s="1498"/>
      <c r="W87" s="1498"/>
      <c r="X87" s="1498"/>
      <c r="Y87" s="1498"/>
      <c r="Z87" s="1498"/>
      <c r="AA87" s="1498"/>
      <c r="AB87" s="1498"/>
      <c r="AC87" s="1498"/>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7"/>
      <c r="O88" s="1457"/>
      <c r="P88" s="1665"/>
      <c r="Q88" s="1378"/>
      <c r="R88" s="1498"/>
      <c r="S88" s="1498"/>
      <c r="T88" s="1498"/>
      <c r="U88" s="1498"/>
      <c r="V88" s="1498"/>
      <c r="W88" s="1498"/>
      <c r="X88" s="1498"/>
      <c r="Y88" s="1498"/>
      <c r="Z88" s="1498"/>
      <c r="AA88" s="1498"/>
      <c r="AB88" s="1498"/>
      <c r="AC88" s="1498"/>
    </row>
    <row r="89" s="1123" customFormat="1" ht="15.75" spans="1:29">
      <c r="A89" s="1430"/>
      <c r="B89" s="1410" t="str">
        <f>B27</f>
        <v>楼层</v>
      </c>
      <c r="C89" s="1418"/>
      <c r="D89" s="1418"/>
      <c r="E89" s="1418"/>
      <c r="F89" s="1755"/>
      <c r="G89" s="1418"/>
      <c r="H89" s="1418"/>
      <c r="I89" s="1418"/>
      <c r="J89" s="1418"/>
      <c r="K89" s="1418"/>
      <c r="L89" s="1418"/>
      <c r="M89" s="1613"/>
      <c r="N89" s="1448"/>
      <c r="O89" s="1448"/>
      <c r="P89" s="1665"/>
      <c r="Q89" s="1378"/>
      <c r="R89" s="1498"/>
      <c r="S89" s="1498"/>
      <c r="T89" s="1498"/>
      <c r="U89" s="1498"/>
      <c r="V89" s="1498"/>
      <c r="W89" s="1498"/>
      <c r="X89" s="1498"/>
      <c r="Y89" s="1498"/>
      <c r="Z89" s="1498"/>
      <c r="AA89" s="1498"/>
      <c r="AB89" s="1498"/>
      <c r="AC89" s="1498"/>
    </row>
    <row r="90" s="1123" customFormat="1" ht="15.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7"/>
      <c r="O90" s="1457"/>
      <c r="P90" s="1665"/>
      <c r="Q90" s="1378"/>
      <c r="R90" s="1498"/>
      <c r="S90" s="1498"/>
      <c r="T90" s="1498"/>
      <c r="U90" s="1498"/>
      <c r="V90" s="1498"/>
      <c r="W90" s="1498"/>
      <c r="X90" s="1498"/>
      <c r="Y90" s="1498"/>
      <c r="Z90" s="1498"/>
      <c r="AA90" s="1498"/>
      <c r="AB90" s="1498"/>
      <c r="AC90" s="1498"/>
    </row>
    <row r="91" s="1125" customFormat="1" ht="15.75" spans="1:29">
      <c r="A91" s="1417"/>
      <c r="B91" s="1410" t="str">
        <f>B28</f>
        <v>朝向</v>
      </c>
      <c r="C91" s="1418"/>
      <c r="D91" s="1418"/>
      <c r="E91" s="1418"/>
      <c r="F91" s="1418"/>
      <c r="G91" s="1418"/>
      <c r="H91" s="1419"/>
      <c r="I91" s="1419"/>
      <c r="J91" s="1419"/>
      <c r="K91" s="1419"/>
      <c r="L91" s="1465"/>
      <c r="M91" s="1466"/>
      <c r="N91" s="1467"/>
      <c r="O91" s="1467"/>
      <c r="P91" s="1666"/>
      <c r="Q91" s="1499"/>
      <c r="R91" s="1500"/>
      <c r="S91" s="1500"/>
      <c r="T91" s="1500"/>
      <c r="U91" s="1500"/>
      <c r="V91" s="1500"/>
      <c r="W91" s="1500"/>
      <c r="X91" s="1500"/>
      <c r="Y91" s="1500"/>
      <c r="Z91" s="1500"/>
      <c r="AA91" s="1500"/>
      <c r="AB91" s="1500"/>
      <c r="AC91" s="1500"/>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7"/>
      <c r="O92" s="1467"/>
      <c r="P92" s="1666"/>
      <c r="Q92" s="1499"/>
      <c r="R92" s="1500"/>
      <c r="S92" s="1500"/>
      <c r="T92" s="1500"/>
      <c r="U92" s="1500"/>
      <c r="V92" s="1500"/>
      <c r="W92" s="1500"/>
      <c r="X92" s="1500"/>
      <c r="Y92" s="1500"/>
      <c r="Z92" s="1500"/>
      <c r="AA92" s="1500"/>
      <c r="AB92" s="1500"/>
      <c r="AC92" s="1500"/>
    </row>
    <row r="93" ht="15.75" spans="1:29">
      <c r="A93" s="1407"/>
      <c r="B93" s="1410">
        <f>B29</f>
        <v>111</v>
      </c>
      <c r="C93" s="1418"/>
      <c r="D93" s="1418"/>
      <c r="E93" s="1418"/>
      <c r="F93" s="1418"/>
      <c r="G93" s="1418"/>
      <c r="H93" s="1418"/>
      <c r="I93" s="1418"/>
      <c r="J93" s="1418"/>
      <c r="K93" s="1418"/>
      <c r="L93" s="1612"/>
      <c r="M93" s="1613"/>
      <c r="N93" s="1454"/>
      <c r="O93" s="1454"/>
      <c r="P93" s="1665"/>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6"/>
      <c r="N94" s="1457"/>
      <c r="O94" s="1457"/>
      <c r="P94" s="1665"/>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4"/>
      <c r="L95" s="1485"/>
      <c r="M95" s="1486"/>
      <c r="N95" s="1454"/>
      <c r="O95" s="1454"/>
      <c r="P95" s="1665"/>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6"/>
      <c r="N96" s="1457"/>
      <c r="O96" s="1457"/>
      <c r="P96" s="1665"/>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4"/>
      <c r="L97" s="1485"/>
      <c r="M97" s="1486"/>
      <c r="N97" s="1454"/>
      <c r="O97" s="1454"/>
      <c r="P97" s="1665"/>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6"/>
      <c r="N98" s="1457"/>
      <c r="O98" s="1457"/>
      <c r="P98" s="1665"/>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7"/>
      <c r="L99" s="1488"/>
      <c r="M99" s="1489"/>
      <c r="N99" s="1454"/>
      <c r="O99" s="1454"/>
      <c r="P99" s="1665"/>
      <c r="Q99" s="1378"/>
      <c r="R99" s="1251"/>
      <c r="S99" s="1251"/>
      <c r="T99" s="1251"/>
      <c r="U99" s="1251"/>
      <c r="V99" s="1251"/>
      <c r="W99" s="1251"/>
      <c r="X99" s="1251"/>
      <c r="Y99" s="1251"/>
      <c r="Z99" s="1251"/>
      <c r="AA99" s="1251"/>
      <c r="AB99" s="1251"/>
      <c r="AC99" s="1251"/>
    </row>
    <row r="100" ht="15.75" spans="1:29">
      <c r="A100" s="1715"/>
      <c r="B100" s="1424"/>
      <c r="C100" s="1425"/>
      <c r="D100" s="1425"/>
      <c r="E100" s="1425"/>
      <c r="F100" s="1425"/>
      <c r="G100" s="1437"/>
      <c r="H100" s="1437"/>
      <c r="I100" s="1437"/>
      <c r="J100" s="1437"/>
      <c r="K100" s="1437"/>
      <c r="L100" s="1437"/>
      <c r="M100" s="1490"/>
      <c r="N100" s="1457"/>
      <c r="O100" s="1457"/>
      <c r="P100" s="1665"/>
      <c r="Q100" s="1378"/>
      <c r="R100" s="1251"/>
      <c r="S100" s="1251"/>
      <c r="T100" s="1251"/>
      <c r="U100" s="1251"/>
      <c r="V100" s="1251"/>
      <c r="W100" s="1251"/>
      <c r="X100" s="1251"/>
      <c r="Y100" s="1251"/>
      <c r="Z100" s="1251"/>
      <c r="AA100" s="1251"/>
      <c r="AB100" s="1251"/>
      <c r="AC100" s="1251"/>
    </row>
    <row r="101" spans="1:29">
      <c r="A101" s="1405" t="s">
        <v>1508</v>
      </c>
      <c r="B101" s="1406" t="s">
        <v>1509</v>
      </c>
      <c r="C101" s="1333"/>
      <c r="D101" s="1333"/>
      <c r="E101" s="1333"/>
      <c r="F101" s="1333"/>
      <c r="G101" s="1333"/>
      <c r="H101" s="1333"/>
      <c r="I101" s="1333"/>
      <c r="J101" s="1333"/>
      <c r="K101" s="1451"/>
      <c r="L101" s="1452"/>
      <c r="M101" s="1453"/>
      <c r="N101" s="1454"/>
      <c r="O101" s="1454"/>
      <c r="P101" s="1665"/>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1">
        <f t="shared" si="22"/>
        <v>100</v>
      </c>
      <c r="N102" s="1457"/>
      <c r="O102" s="1457"/>
      <c r="P102" s="1665"/>
      <c r="Q102" s="1378"/>
      <c r="R102" s="1251"/>
      <c r="S102" s="1251"/>
      <c r="T102" s="1251"/>
      <c r="U102" s="1251"/>
      <c r="V102" s="1251"/>
      <c r="W102" s="1251"/>
      <c r="X102" s="1251"/>
      <c r="Y102" s="1251"/>
      <c r="Z102" s="1251"/>
      <c r="AA102" s="1251"/>
      <c r="AB102" s="1251"/>
      <c r="AC102" s="1251"/>
    </row>
    <row r="103" ht="15.75" spans="1:29">
      <c r="A103" s="1407"/>
      <c r="B103" s="1410" t="s">
        <v>1511</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79" t="str">
        <f>M104&amp;"(含)"&amp;"-"&amp;P104</f>
        <v>(含)-</v>
      </c>
      <c r="N103" s="1448"/>
      <c r="O103" s="1448"/>
      <c r="P103" s="1665"/>
      <c r="Q103" s="1378"/>
      <c r="R103" s="1251"/>
      <c r="S103" s="1251"/>
      <c r="T103" s="1251"/>
      <c r="U103" s="1251"/>
      <c r="V103" s="1251"/>
      <c r="W103" s="1251"/>
      <c r="X103" s="1251"/>
      <c r="Y103" s="1251"/>
      <c r="Z103" s="1251"/>
      <c r="AA103" s="1251"/>
      <c r="AB103" s="1251"/>
      <c r="AC103" s="1251"/>
    </row>
    <row r="104" s="1125" customFormat="1" ht="15" spans="1:29">
      <c r="A104" s="1438"/>
      <c r="B104" s="1439"/>
      <c r="C104" s="1394"/>
      <c r="D104" s="1394"/>
      <c r="E104" s="1394"/>
      <c r="F104" s="1394"/>
      <c r="G104" s="1394"/>
      <c r="H104" s="1394"/>
      <c r="I104" s="1394"/>
      <c r="J104" s="1491"/>
      <c r="K104" s="1491"/>
      <c r="L104" s="1492"/>
      <c r="M104" s="1493"/>
      <c r="N104" s="1467"/>
      <c r="O104" s="1467"/>
      <c r="P104" s="1666"/>
      <c r="Q104" s="1499"/>
      <c r="R104" s="1500"/>
      <c r="S104" s="1500"/>
      <c r="T104" s="1500"/>
      <c r="U104" s="1500"/>
      <c r="V104" s="1500"/>
      <c r="W104" s="1500"/>
      <c r="X104" s="1500"/>
      <c r="Y104" s="1500"/>
      <c r="Z104" s="1500"/>
      <c r="AA104" s="1500"/>
      <c r="AB104" s="1500"/>
      <c r="AC104" s="1500"/>
    </row>
    <row r="105" s="1125" customFormat="1" ht="15.75" spans="1:29">
      <c r="A105" s="1417"/>
      <c r="B105" s="1412"/>
      <c r="C105" s="1420"/>
      <c r="D105" s="1409"/>
      <c r="E105" s="1409"/>
      <c r="F105" s="1409"/>
      <c r="G105" s="1409"/>
      <c r="H105" s="1409"/>
      <c r="I105" s="1409"/>
      <c r="J105" s="1409"/>
      <c r="K105" s="1409"/>
      <c r="L105" s="1409"/>
      <c r="M105" s="1456"/>
      <c r="N105" s="1457"/>
      <c r="O105" s="1457"/>
      <c r="P105" s="1666"/>
      <c r="Q105" s="1499"/>
      <c r="R105" s="1500"/>
      <c r="S105" s="1500"/>
      <c r="T105" s="1500"/>
      <c r="U105" s="1500"/>
      <c r="V105" s="1500"/>
      <c r="W105" s="1500"/>
      <c r="X105" s="1500"/>
      <c r="Y105" s="1500"/>
      <c r="Z105" s="1500"/>
      <c r="AA105" s="1500"/>
      <c r="AB105" s="1500"/>
      <c r="AC105" s="1500"/>
    </row>
    <row r="106" ht="15.75" spans="1:29">
      <c r="A106" s="1441"/>
      <c r="B106" s="1410" t="s">
        <v>1512</v>
      </c>
      <c r="C106" s="1418"/>
      <c r="D106" s="1418"/>
      <c r="E106" s="1435"/>
      <c r="F106" s="1435"/>
      <c r="G106" s="1435"/>
      <c r="H106" s="1435"/>
      <c r="I106" s="1435"/>
      <c r="J106" s="1435"/>
      <c r="K106" s="1484"/>
      <c r="L106" s="1485"/>
      <c r="M106" s="1486"/>
      <c r="N106" s="1454"/>
      <c r="O106" s="1454"/>
      <c r="P106" s="1665"/>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1">
        <f t="shared" si="24"/>
        <v>100</v>
      </c>
      <c r="N107" s="1457"/>
      <c r="O107" s="1457"/>
      <c r="P107" s="1665"/>
      <c r="Q107" s="1378"/>
      <c r="R107" s="1251"/>
      <c r="S107" s="1251"/>
      <c r="T107" s="1251"/>
      <c r="U107" s="1251"/>
      <c r="V107" s="1251"/>
      <c r="W107" s="1251"/>
      <c r="X107" s="1251"/>
      <c r="Y107" s="1251"/>
      <c r="Z107" s="1251"/>
      <c r="AA107" s="1251"/>
      <c r="AB107" s="1251"/>
      <c r="AC107" s="1251"/>
    </row>
    <row r="108" ht="15.75" spans="1:29">
      <c r="A108" s="1441"/>
      <c r="B108" s="1410" t="s">
        <v>1514</v>
      </c>
      <c r="C108" s="1418"/>
      <c r="D108" s="1418"/>
      <c r="E108" s="1418"/>
      <c r="F108" s="1435"/>
      <c r="G108" s="1435"/>
      <c r="H108" s="1435"/>
      <c r="I108" s="1435"/>
      <c r="J108" s="1435"/>
      <c r="K108" s="1484"/>
      <c r="L108" s="1485"/>
      <c r="M108" s="1486"/>
      <c r="N108" s="1454"/>
      <c r="O108" s="1454"/>
      <c r="P108" s="1665"/>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1">
        <f t="shared" si="25"/>
        <v>100</v>
      </c>
      <c r="N109" s="1457"/>
      <c r="O109" s="1457"/>
      <c r="P109" s="1665"/>
      <c r="Q109" s="1378"/>
      <c r="R109" s="1251"/>
      <c r="S109" s="1251"/>
      <c r="T109" s="1251"/>
      <c r="U109" s="1251"/>
      <c r="V109" s="1251"/>
      <c r="W109" s="1251"/>
      <c r="X109" s="1251"/>
      <c r="Y109" s="1251"/>
      <c r="Z109" s="1251"/>
      <c r="AA109" s="1251"/>
      <c r="AB109" s="1251"/>
      <c r="AC109" s="1251"/>
    </row>
    <row r="110" ht="15.75" spans="1:29">
      <c r="A110" s="1441"/>
      <c r="B110" s="1410" t="s">
        <v>634</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4"/>
      <c r="L110" s="1485"/>
      <c r="M110" s="1486"/>
      <c r="N110" s="1454"/>
      <c r="O110" s="1454"/>
      <c r="P110" s="1665"/>
      <c r="Q110" s="1378"/>
      <c r="R110" s="1251"/>
      <c r="S110" s="1251"/>
      <c r="T110" s="1251"/>
      <c r="U110" s="1251"/>
      <c r="V110" s="1251"/>
      <c r="W110" s="1251"/>
      <c r="X110" s="1251"/>
      <c r="Y110" s="1251"/>
      <c r="Z110" s="1251"/>
      <c r="AA110" s="1251"/>
      <c r="AB110" s="1251"/>
      <c r="AC110" s="1251"/>
    </row>
    <row r="111" ht="15" spans="1:29">
      <c r="A111" s="1441"/>
      <c r="B111" s="1414"/>
      <c r="C111" s="878">
        <v>0.5</v>
      </c>
      <c r="D111" s="878">
        <v>0.6</v>
      </c>
      <c r="E111" s="878">
        <v>0.7</v>
      </c>
      <c r="F111" s="878">
        <v>0.8</v>
      </c>
      <c r="G111" s="878">
        <v>0.9</v>
      </c>
      <c r="H111" s="878">
        <v>1.0001</v>
      </c>
      <c r="I111" s="1673"/>
      <c r="J111" s="1673"/>
      <c r="K111" s="1674"/>
      <c r="L111" s="1675"/>
      <c r="M111" s="1676"/>
      <c r="N111" s="1454"/>
      <c r="O111" s="1454"/>
      <c r="P111" s="1665"/>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7"/>
      <c r="O112" s="1457"/>
      <c r="P112" s="1665"/>
      <c r="Q112" s="1378"/>
      <c r="R112" s="1251"/>
      <c r="S112" s="1251"/>
      <c r="T112" s="1251"/>
      <c r="U112" s="1251"/>
      <c r="V112" s="1251"/>
      <c r="W112" s="1251"/>
      <c r="X112" s="1251"/>
      <c r="Y112" s="1251"/>
      <c r="Z112" s="1251"/>
      <c r="AA112" s="1251"/>
      <c r="AB112" s="1251"/>
      <c r="AC112" s="1251"/>
    </row>
    <row r="113" s="1125" customFormat="1" ht="15.75" spans="1:29">
      <c r="A113" s="1438"/>
      <c r="B113" s="1410" t="s">
        <v>1578</v>
      </c>
      <c r="C113" s="1418"/>
      <c r="D113" s="1418"/>
      <c r="E113" s="1418"/>
      <c r="F113" s="1418"/>
      <c r="G113" s="1418"/>
      <c r="H113" s="1435"/>
      <c r="I113" s="1435"/>
      <c r="J113" s="1435"/>
      <c r="K113" s="1484"/>
      <c r="L113" s="1485"/>
      <c r="M113" s="1486"/>
      <c r="N113" s="1467"/>
      <c r="O113" s="1467"/>
      <c r="P113" s="1666"/>
      <c r="Q113" s="1499"/>
      <c r="R113" s="1500"/>
      <c r="S113" s="1500"/>
      <c r="T113" s="1500"/>
      <c r="U113" s="1500"/>
      <c r="V113" s="1500"/>
      <c r="W113" s="1500"/>
      <c r="X113" s="1500"/>
      <c r="Y113" s="1500"/>
      <c r="Z113" s="1500"/>
      <c r="AA113" s="1500"/>
      <c r="AB113" s="1500"/>
      <c r="AC113" s="1500"/>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7"/>
      <c r="O114" s="1467"/>
      <c r="P114" s="1666"/>
      <c r="Q114" s="1499"/>
      <c r="R114" s="1500"/>
      <c r="S114" s="1500"/>
      <c r="T114" s="1500"/>
      <c r="U114" s="1500"/>
      <c r="V114" s="1500"/>
      <c r="W114" s="1500"/>
      <c r="X114" s="1500"/>
      <c r="Y114" s="1500"/>
      <c r="Z114" s="1500"/>
      <c r="AA114" s="1500"/>
      <c r="AB114" s="1500"/>
      <c r="AC114" s="1500"/>
    </row>
    <row r="115" ht="15.75" spans="1:29">
      <c r="A115" s="1441"/>
      <c r="B115" s="1410" t="s">
        <v>1515</v>
      </c>
      <c r="C115" s="1418"/>
      <c r="D115" s="1418"/>
      <c r="E115" s="1435"/>
      <c r="F115" s="1435"/>
      <c r="G115" s="1435"/>
      <c r="H115" s="1435"/>
      <c r="I115" s="1435"/>
      <c r="J115" s="1435"/>
      <c r="K115" s="1484"/>
      <c r="L115" s="1485"/>
      <c r="M115" s="1486"/>
      <c r="N115" s="1454"/>
      <c r="O115" s="1454"/>
      <c r="P115" s="1665"/>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1">
        <f t="shared" si="28"/>
        <v>100</v>
      </c>
      <c r="N116" s="1457"/>
      <c r="O116" s="1457"/>
      <c r="P116" s="1665"/>
      <c r="Q116" s="1378"/>
      <c r="R116" s="1251"/>
      <c r="S116" s="1251"/>
      <c r="T116" s="1251"/>
      <c r="U116" s="1251"/>
      <c r="V116" s="1251"/>
      <c r="W116" s="1251"/>
      <c r="X116" s="1251"/>
      <c r="Y116" s="1251"/>
      <c r="Z116" s="1251"/>
      <c r="AA116" s="1251"/>
      <c r="AB116" s="1251"/>
      <c r="AC116" s="1251"/>
    </row>
    <row r="117" ht="15.75" spans="1:29">
      <c r="A117" s="1441"/>
      <c r="B117" s="1410" t="s">
        <v>1516</v>
      </c>
      <c r="C117" s="1418"/>
      <c r="D117" s="1418"/>
      <c r="E117" s="1418"/>
      <c r="F117" s="1418"/>
      <c r="G117" s="1418"/>
      <c r="H117" s="1435"/>
      <c r="I117" s="1435"/>
      <c r="J117" s="1435"/>
      <c r="K117" s="1484"/>
      <c r="L117" s="1485"/>
      <c r="M117" s="1486"/>
      <c r="N117" s="1454"/>
      <c r="O117" s="1454"/>
      <c r="P117" s="1665"/>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1"/>
      <c r="N118" s="1457"/>
      <c r="O118" s="1457"/>
      <c r="P118" s="1665"/>
      <c r="Q118" s="1378"/>
      <c r="R118" s="1251"/>
      <c r="S118" s="1251"/>
      <c r="T118" s="1251"/>
      <c r="U118" s="1251"/>
      <c r="V118" s="1251"/>
      <c r="W118" s="1251"/>
      <c r="X118" s="1251"/>
      <c r="Y118" s="1251"/>
      <c r="Z118" s="1251"/>
      <c r="AA118" s="1251"/>
      <c r="AB118" s="1251"/>
      <c r="AC118" s="1251"/>
    </row>
    <row r="119" ht="15.75" spans="1:29">
      <c r="A119" s="1441"/>
      <c r="B119" s="1609" t="s">
        <v>1580</v>
      </c>
      <c r="C119" s="1435"/>
      <c r="D119" s="1435"/>
      <c r="E119" s="1435"/>
      <c r="F119" s="1435"/>
      <c r="G119" s="1435"/>
      <c r="H119" s="1435"/>
      <c r="I119" s="1435"/>
      <c r="J119" s="1435"/>
      <c r="K119" s="1435"/>
      <c r="L119" s="1757"/>
      <c r="M119" s="1758"/>
      <c r="N119" s="1457"/>
      <c r="O119" s="1457"/>
      <c r="P119" s="1677"/>
      <c r="Q119" s="1620"/>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7"/>
      <c r="O120" s="1457"/>
      <c r="P120" s="1665"/>
      <c r="Q120" s="1378"/>
      <c r="R120" s="1251"/>
      <c r="S120" s="1251"/>
      <c r="T120" s="1251"/>
      <c r="U120" s="1251"/>
      <c r="V120" s="1251"/>
      <c r="W120" s="1251"/>
      <c r="X120" s="1251"/>
      <c r="Y120" s="1251"/>
      <c r="Z120" s="1251"/>
      <c r="AA120" s="1251"/>
      <c r="AB120" s="1251"/>
      <c r="AC120" s="1251"/>
    </row>
    <row r="121" s="1125" customFormat="1" ht="15.75" spans="1:29">
      <c r="A121" s="1438"/>
      <c r="B121" s="1410" t="s">
        <v>1571</v>
      </c>
      <c r="C121" s="1418"/>
      <c r="D121" s="1418"/>
      <c r="E121" s="1418"/>
      <c r="F121" s="1435"/>
      <c r="G121" s="1419"/>
      <c r="H121" s="1419"/>
      <c r="I121" s="1419"/>
      <c r="J121" s="1419"/>
      <c r="K121" s="1419"/>
      <c r="L121" s="1465"/>
      <c r="M121" s="1466"/>
      <c r="N121" s="1467"/>
      <c r="O121" s="1467"/>
      <c r="P121" s="1666"/>
      <c r="Q121" s="1499"/>
      <c r="R121" s="1500"/>
      <c r="S121" s="1500"/>
      <c r="T121" s="1500"/>
      <c r="U121" s="1500"/>
      <c r="V121" s="1500"/>
      <c r="W121" s="1500"/>
      <c r="X121" s="1500"/>
      <c r="Y121" s="1500"/>
      <c r="Z121" s="1500"/>
      <c r="AA121" s="1500"/>
      <c r="AB121" s="1500"/>
      <c r="AC121" s="1500"/>
    </row>
    <row r="122" s="1125" customFormat="1" ht="15.75" spans="1:29">
      <c r="A122" s="1417"/>
      <c r="B122" s="1408"/>
      <c r="C122" s="1420"/>
      <c r="D122" s="1420"/>
      <c r="E122" s="1420"/>
      <c r="F122" s="1420"/>
      <c r="G122" s="1420"/>
      <c r="H122" s="1420"/>
      <c r="I122" s="1420"/>
      <c r="J122" s="1420"/>
      <c r="K122" s="1420"/>
      <c r="L122" s="1420"/>
      <c r="M122" s="1420"/>
      <c r="N122" s="1467"/>
      <c r="O122" s="1467"/>
      <c r="P122" s="1666"/>
      <c r="Q122" s="1499"/>
      <c r="R122" s="1500"/>
      <c r="S122" s="1500"/>
      <c r="T122" s="1500"/>
      <c r="U122" s="1500"/>
      <c r="V122" s="1500"/>
      <c r="W122" s="1500"/>
      <c r="X122" s="1500"/>
      <c r="Y122" s="1500"/>
      <c r="Z122" s="1500"/>
      <c r="AA122" s="1500"/>
      <c r="AB122" s="1500"/>
      <c r="AC122" s="1500"/>
    </row>
    <row r="123" ht="15.75" spans="1:29">
      <c r="A123" s="1441"/>
      <c r="B123" s="1410" t="s">
        <v>1519</v>
      </c>
      <c r="C123" s="1418"/>
      <c r="D123" s="1418"/>
      <c r="E123" s="1418"/>
      <c r="F123" s="1435"/>
      <c r="G123" s="1435"/>
      <c r="H123" s="1435"/>
      <c r="I123" s="1435"/>
      <c r="J123" s="1435"/>
      <c r="K123" s="1484"/>
      <c r="L123" s="1485"/>
      <c r="M123" s="1486"/>
      <c r="N123" s="1454"/>
      <c r="O123" s="1454"/>
      <c r="P123" s="1665"/>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1">
        <f t="shared" si="30"/>
        <v>100</v>
      </c>
      <c r="N124" s="1457"/>
      <c r="O124" s="1457"/>
      <c r="P124" s="1665"/>
      <c r="Q124" s="1378"/>
      <c r="R124" s="1251"/>
      <c r="S124" s="1251"/>
      <c r="T124" s="1251"/>
      <c r="U124" s="1251"/>
      <c r="V124" s="1251"/>
      <c r="W124" s="1251"/>
      <c r="X124" s="1251"/>
      <c r="Y124" s="1251"/>
      <c r="Z124" s="1251"/>
      <c r="AA124" s="1251"/>
      <c r="AB124" s="1251"/>
      <c r="AC124" s="1251"/>
    </row>
    <row r="125" ht="15.75" spans="1:29">
      <c r="A125" s="1441"/>
      <c r="B125" s="1410" t="s">
        <v>1520</v>
      </c>
      <c r="C125" s="1429" t="s">
        <v>1532</v>
      </c>
      <c r="D125" s="1429" t="s">
        <v>1533</v>
      </c>
      <c r="E125" s="1429" t="s">
        <v>1534</v>
      </c>
      <c r="F125" s="1429" t="s">
        <v>1535</v>
      </c>
      <c r="G125" s="1429" t="s">
        <v>1536</v>
      </c>
      <c r="H125" s="1411"/>
      <c r="I125" s="1411"/>
      <c r="J125" s="1411"/>
      <c r="K125" s="1458"/>
      <c r="L125" s="1459"/>
      <c r="M125" s="1460"/>
      <c r="N125" s="1454"/>
      <c r="O125" s="1454"/>
      <c r="P125" s="1666"/>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100</v>
      </c>
      <c r="E126" s="1413">
        <f>D126-$K44</f>
        <v>100</v>
      </c>
      <c r="F126" s="1413">
        <f>E126-$K44</f>
        <v>100</v>
      </c>
      <c r="G126" s="1413">
        <f>F126-$K44</f>
        <v>100</v>
      </c>
      <c r="H126" s="1413"/>
      <c r="I126" s="1413"/>
      <c r="J126" s="1413"/>
      <c r="K126" s="1413"/>
      <c r="L126" s="1413"/>
      <c r="M126" s="1461"/>
      <c r="N126" s="1457"/>
      <c r="O126" s="1457"/>
      <c r="P126" s="1665"/>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5"/>
      <c r="M127" s="1466"/>
      <c r="N127" s="1467"/>
      <c r="O127" s="1467"/>
      <c r="P127" s="1666"/>
      <c r="Q127" s="1499"/>
      <c r="R127" s="1500"/>
      <c r="S127" s="1500"/>
      <c r="T127" s="1500"/>
      <c r="U127" s="1500"/>
      <c r="V127" s="1500"/>
      <c r="W127" s="1500"/>
      <c r="X127" s="1500"/>
      <c r="Y127" s="1500"/>
      <c r="Z127" s="1500"/>
      <c r="AA127" s="1500"/>
      <c r="AB127" s="1500"/>
      <c r="AC127" s="1500"/>
    </row>
    <row r="128" s="1125" customFormat="1" ht="15.75" spans="1:29">
      <c r="A128" s="1417"/>
      <c r="B128" s="1412"/>
      <c r="C128" s="1420"/>
      <c r="D128" s="1409"/>
      <c r="E128" s="1409"/>
      <c r="F128" s="1409"/>
      <c r="G128" s="1420"/>
      <c r="H128" s="1421"/>
      <c r="I128" s="1421"/>
      <c r="J128" s="1421"/>
      <c r="K128" s="1421"/>
      <c r="L128" s="1421"/>
      <c r="M128" s="1469"/>
      <c r="N128" s="1467"/>
      <c r="O128" s="1467"/>
      <c r="P128" s="1666"/>
      <c r="Q128" s="1499"/>
      <c r="R128" s="1500"/>
      <c r="S128" s="1500"/>
      <c r="T128" s="1500"/>
      <c r="U128" s="1500"/>
      <c r="V128" s="1500"/>
      <c r="W128" s="1500"/>
      <c r="X128" s="1500"/>
      <c r="Y128" s="1500"/>
      <c r="Z128" s="1500"/>
      <c r="AA128" s="1500"/>
      <c r="AB128" s="1500"/>
      <c r="AC128" s="1500"/>
    </row>
    <row r="129" ht="15.75" spans="1:29">
      <c r="A129" s="1441"/>
      <c r="B129" s="1410">
        <f>B46</f>
        <v>111</v>
      </c>
      <c r="C129" s="1418"/>
      <c r="D129" s="1418"/>
      <c r="E129" s="1418"/>
      <c r="F129" s="1418"/>
      <c r="G129" s="1435"/>
      <c r="H129" s="1435"/>
      <c r="I129" s="1435"/>
      <c r="J129" s="1435"/>
      <c r="K129" s="1484"/>
      <c r="L129" s="1485"/>
      <c r="M129" s="1486"/>
      <c r="N129" s="1454"/>
      <c r="O129" s="1454"/>
      <c r="P129" s="1665"/>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6"/>
      <c r="N130" s="1457"/>
      <c r="O130" s="1457"/>
      <c r="P130" s="1665"/>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6"/>
      <c r="M131" s="1489"/>
      <c r="N131" s="1454"/>
      <c r="O131" s="1454"/>
      <c r="P131" s="1665"/>
      <c r="Q131" s="1378"/>
      <c r="R131" s="1251"/>
      <c r="S131" s="1251"/>
      <c r="T131" s="1251"/>
      <c r="U131" s="1251"/>
      <c r="V131" s="1251"/>
      <c r="W131" s="1251"/>
      <c r="X131" s="1251"/>
      <c r="Y131" s="1251"/>
      <c r="Z131" s="1251"/>
      <c r="AA131" s="1251"/>
      <c r="AB131" s="1251"/>
      <c r="AC131" s="1251"/>
    </row>
    <row r="132" ht="15.75" spans="1:29">
      <c r="A132" s="1715"/>
      <c r="B132" s="1424"/>
      <c r="C132" s="1425"/>
      <c r="D132" s="1425"/>
      <c r="E132" s="1425"/>
      <c r="F132" s="1425"/>
      <c r="G132" s="1437"/>
      <c r="H132" s="1437"/>
      <c r="I132" s="1437"/>
      <c r="J132" s="1437"/>
      <c r="K132" s="1437"/>
      <c r="L132" s="1437"/>
      <c r="M132" s="1490"/>
      <c r="N132" s="1457"/>
      <c r="O132" s="1457"/>
      <c r="P132" s="1665"/>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0" customFormat="1" ht="28.5" customHeight="1" spans="1:29">
      <c r="A1" s="1541" t="s">
        <v>1470</v>
      </c>
      <c r="B1" s="1678" t="s">
        <v>1581</v>
      </c>
      <c r="C1" s="1543" t="s">
        <v>1472</v>
      </c>
      <c r="D1" s="1544"/>
      <c r="E1" s="1545"/>
      <c r="F1" s="1546"/>
      <c r="G1" s="1547" t="s">
        <v>1473</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2" customFormat="1" ht="28.5" customHeight="1" spans="1:29">
      <c r="A2" s="1549" t="s">
        <v>987</v>
      </c>
      <c r="B2" s="1550" t="b">
        <f ca="1">IF(E1="项目模式",IF(C2="——",ROUND(C43*D3/10000,0),ROUND(C43*D3/10000,0)-D2),IF(E1="单套模式",IF(C2="——",ROUND(C43*D3/10000,4),ROUND(C43*D3/10000,4)-D2)))</f>
        <v>0</v>
      </c>
      <c r="C2" s="1551"/>
      <c r="D2" s="1502" t="e">
        <f ca="1">IF(E1="项目模式",SUMIF(INDIRECT("'"&amp;F2&amp;"'"&amp;"!A:A"),"承租人权益价值",INDIRECT("'"&amp;F2&amp;"'"&amp;"!c:c")),SUMIF(INDIRECT("'"&amp;F2&amp;"'"&amp;"!A:A"),"承租人权益价值（单套）",INDIRECT("'"&amp;F2&amp;"'"&amp;"!c:c")))</f>
        <v>#REF!</v>
      </c>
      <c r="E2" s="1552" t="s">
        <v>988</v>
      </c>
      <c r="F2" s="1553"/>
      <c r="G2" s="1138"/>
      <c r="H2" s="1138"/>
      <c r="I2" s="1138"/>
      <c r="J2" s="1138"/>
      <c r="K2" s="1138"/>
      <c r="L2" s="1682"/>
      <c r="M2" s="1683"/>
      <c r="N2" s="1683"/>
      <c r="O2" s="1683"/>
      <c r="P2" s="1298"/>
      <c r="Q2" s="1298"/>
      <c r="R2" s="1298"/>
      <c r="S2" s="1298"/>
      <c r="T2" s="1298"/>
      <c r="U2" s="1298"/>
      <c r="V2" s="1298"/>
      <c r="W2" s="1298"/>
      <c r="X2" s="1298"/>
      <c r="Y2" s="1298"/>
      <c r="Z2" s="1298"/>
      <c r="AA2" s="1298"/>
      <c r="AB2" s="1298"/>
      <c r="AC2" s="1381"/>
    </row>
    <row r="3" s="1122" customFormat="1" ht="28.5" customHeight="1" spans="1:29">
      <c r="A3" s="396" t="s">
        <v>989</v>
      </c>
      <c r="B3" s="1140">
        <f ca="1">IF(C2="——",C43,ROUND(B2*10000/D3,0))</f>
        <v>0</v>
      </c>
      <c r="C3" s="1554" t="s">
        <v>1474</v>
      </c>
      <c r="D3" s="1555">
        <f>IF(D1="",'数据-汇总表'!E3,SUMIF('数据-汇总表'!$C19:$C33,D1,'数据-汇总表'!$E19:$E33))</f>
        <v>23244.54</v>
      </c>
      <c r="E3" s="1138"/>
      <c r="F3" s="1139"/>
      <c r="G3" s="1138"/>
      <c r="H3" s="1138"/>
      <c r="I3" s="1138"/>
      <c r="J3" s="1138"/>
      <c r="K3" s="1299"/>
      <c r="L3" s="1682"/>
      <c r="M3" s="1683"/>
      <c r="N3" s="1683"/>
      <c r="O3" s="1683"/>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684"/>
      <c r="M4" s="1685"/>
      <c r="N4" s="1685"/>
      <c r="O4" s="1685"/>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684"/>
      <c r="M5" s="1685"/>
      <c r="N5" s="1685"/>
      <c r="O5" s="1685"/>
      <c r="P5" s="1306"/>
      <c r="Q5" s="1358"/>
      <c r="R5" s="1359"/>
      <c r="S5" s="1360"/>
      <c r="T5" s="1359"/>
      <c r="U5" s="1360"/>
      <c r="V5" s="1344"/>
      <c r="W5" s="1344"/>
      <c r="X5" s="1357"/>
      <c r="Y5" s="1359"/>
      <c r="Z5" s="1360"/>
      <c r="AA5" s="1357"/>
      <c r="AB5" s="1357"/>
      <c r="AC5" s="1357"/>
    </row>
    <row r="6" ht="15.75" spans="1:29">
      <c r="A6" s="1154"/>
      <c r="B6" s="1155"/>
      <c r="C6" s="1503" t="s">
        <v>1486</v>
      </c>
      <c r="D6" s="1504"/>
      <c r="E6" s="1505" t="s">
        <v>1486</v>
      </c>
      <c r="F6" s="1506"/>
      <c r="G6" s="1503" t="s">
        <v>1486</v>
      </c>
      <c r="H6" s="1504"/>
      <c r="I6" s="1503" t="s">
        <v>1486</v>
      </c>
      <c r="J6" s="1504"/>
      <c r="K6" s="1302" t="s">
        <v>1487</v>
      </c>
      <c r="L6" s="1684"/>
      <c r="M6" s="1685"/>
      <c r="N6" s="1685"/>
      <c r="O6" s="1685"/>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45539</v>
      </c>
      <c r="D7" s="1163">
        <v>100</v>
      </c>
      <c r="E7" s="1164"/>
      <c r="F7" s="1165">
        <f>SUMIF(52:52,YEAR(E7)&amp;"-"&amp;MONTH(E7),53:53)</f>
        <v>0</v>
      </c>
      <c r="G7" s="1164"/>
      <c r="H7" s="1163">
        <f>SUMIF(52:52,YEAR(G7)&amp;"-"&amp;MONTH(G7),53:53)</f>
        <v>0</v>
      </c>
      <c r="I7" s="1164"/>
      <c r="J7" s="1163">
        <f>SUMIF(52:52,YEAR(I7)&amp;"-"&amp;MONTH(I7),53:53)</f>
        <v>0</v>
      </c>
      <c r="K7" s="1308"/>
      <c r="L7" s="1686"/>
      <c r="M7" s="1687"/>
      <c r="N7" s="1687"/>
      <c r="O7" s="1687"/>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SUMIF(55:55,E8,56:56)-SUMIF(55:55,C8,56:56)+100</f>
        <v>100</v>
      </c>
      <c r="G8" s="1167"/>
      <c r="H8" s="1163">
        <f>SUMIF(55:55,G8,56:56)-SUMIF(55:55,C8,56:56)+100</f>
        <v>100</v>
      </c>
      <c r="I8" s="1167"/>
      <c r="J8" s="1163">
        <f>SUMIF(55:55,I8,56:56)-SUMIF(55:55,C8,56:56)+100</f>
        <v>100</v>
      </c>
      <c r="K8" s="1308"/>
      <c r="L8" s="1686"/>
      <c r="M8" s="1687"/>
      <c r="N8" s="1687"/>
      <c r="O8" s="1687"/>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40" si="3">D8/F8</f>
        <v>1</v>
      </c>
      <c r="AB8" s="1384">
        <f t="shared" ref="AB8:AB40" si="4">D8/H8</f>
        <v>1</v>
      </c>
      <c r="AC8" s="1384">
        <f t="shared" ref="AC8:AC40" si="5">D8/J8</f>
        <v>1</v>
      </c>
    </row>
    <row r="9" s="1123" customFormat="1" spans="1:29">
      <c r="A9" s="1168" t="s">
        <v>1493</v>
      </c>
      <c r="B9" s="1169" t="s">
        <v>1494</v>
      </c>
      <c r="C9" s="1556"/>
      <c r="D9" s="1171">
        <v>100</v>
      </c>
      <c r="E9" s="1557"/>
      <c r="F9" s="1171">
        <f>SUMIF(57:57,E9,58:58)-SUMIF(57:57,C9,58:58)+100</f>
        <v>100</v>
      </c>
      <c r="G9" s="1626"/>
      <c r="H9" s="1171">
        <f>SUMIF(57:57,G9,58:58)-SUMIF(57:57,C9,58:58)+100</f>
        <v>100</v>
      </c>
      <c r="I9" s="1626"/>
      <c r="J9" s="1171">
        <f>SUMIF(57:57,I9,58:58)-SUMIF(57:57,C9,58:58)+100</f>
        <v>100</v>
      </c>
      <c r="K9" s="1308"/>
      <c r="L9" s="1686"/>
      <c r="M9" s="1687"/>
      <c r="N9" s="1687"/>
      <c r="O9" s="1688"/>
      <c r="P9" s="699"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559"/>
      <c r="D10" s="1175">
        <v>100</v>
      </c>
      <c r="E10" s="1559"/>
      <c r="F10" s="1175">
        <f>SUMIF(59:59,E10,60:60)-SUMIF(59:59,C10,60:60)+100</f>
        <v>100</v>
      </c>
      <c r="G10" s="1629"/>
      <c r="H10" s="1175">
        <f>SUMIF(59:59,G10,60:60)-SUMIF(59:59,C10,60:60)+100</f>
        <v>100</v>
      </c>
      <c r="I10" s="1559"/>
      <c r="J10" s="1175">
        <f>SUMIF(59:59,I10,60:60)-SUMIF(59:59,C10,60:60)+100</f>
        <v>100</v>
      </c>
      <c r="K10" s="1308"/>
      <c r="L10" s="1689"/>
      <c r="M10" s="1690"/>
      <c r="N10" s="1690"/>
      <c r="O10" s="1691"/>
      <c r="P10" s="699"/>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1498</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2"/>
      <c r="M11" s="1685"/>
      <c r="N11" s="1685"/>
      <c r="O11" s="1693"/>
      <c r="P11" s="699"/>
      <c r="Q11" s="1369" t="str">
        <f t="shared" si="6"/>
        <v>容积率</v>
      </c>
      <c r="R11" s="1365" t="s">
        <v>1490</v>
      </c>
      <c r="S11" s="1366">
        <f t="shared" si="0"/>
        <v>100</v>
      </c>
      <c r="T11" s="1365" t="s">
        <v>1490</v>
      </c>
      <c r="U11" s="1366">
        <f t="shared" si="1"/>
        <v>100</v>
      </c>
      <c r="V11" s="1365" t="s">
        <v>1490</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79"/>
      <c r="H12" s="1175">
        <f>SUMIF(64:64,G12,65:65)-SUMIF(64:64,C12,65:65)+100</f>
        <v>100</v>
      </c>
      <c r="I12" s="1561"/>
      <c r="J12" s="1175">
        <f>SUMIF(64:64,I12,65:65)-SUMIF(64:64,C12,65:65)+100</f>
        <v>100</v>
      </c>
      <c r="K12" s="1327"/>
      <c r="L12" s="1686"/>
      <c r="M12" s="1687"/>
      <c r="N12" s="1687"/>
      <c r="O12" s="1688"/>
      <c r="P12" s="699"/>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79"/>
      <c r="H13" s="1185">
        <f>SUMIF(66:66,G13,67:67)-SUMIF(66:66,C13,67:67)+100</f>
        <v>100</v>
      </c>
      <c r="I13" s="1561"/>
      <c r="J13" s="1185">
        <f>SUMIF(66:66,I13,67:67)-SUMIF(66:66,C13,67:67)+100</f>
        <v>100</v>
      </c>
      <c r="K13" s="1327"/>
      <c r="L13" s="1694"/>
      <c r="M13" s="1685"/>
      <c r="N13" s="1685"/>
      <c r="O13" s="1693"/>
      <c r="P13" s="699"/>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79"/>
      <c r="H14" s="1189">
        <f>SUMIF(68:68,G14,69:69)-SUMIF(68:68,C14,69:69)+100</f>
        <v>100</v>
      </c>
      <c r="I14" s="1561"/>
      <c r="J14" s="1189">
        <f>SUMIF(68:68,I14,69:69)-SUMIF(68:68,C14,69:69)+100</f>
        <v>100</v>
      </c>
      <c r="K14" s="1327"/>
      <c r="L14" s="1694"/>
      <c r="M14" s="1685"/>
      <c r="N14" s="1685"/>
      <c r="O14" s="1693"/>
      <c r="P14" s="699"/>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56.25" spans="1:29">
      <c r="A15" s="1190" t="s">
        <v>1499</v>
      </c>
      <c r="B15" s="1509" t="s">
        <v>1582</v>
      </c>
      <c r="C15" s="1192" t="str">
        <f>估价对象房地状况!G3</f>
        <v>估价对象位于XX开发区，园区建设成熟度XX，产业集聚程度XX</v>
      </c>
      <c r="D15" s="1193">
        <v>100</v>
      </c>
      <c r="E15" s="1194"/>
      <c r="F15" s="1563">
        <f>SUMIF(70:70,E16,71:71)-SUMIF(70:70,C16,71:71)+100</f>
        <v>100</v>
      </c>
      <c r="G15" s="1321"/>
      <c r="H15" s="1193">
        <f>SUMIF(70:70,G16,71:71)-SUMIF(70:70,C16,71:71)+100</f>
        <v>100</v>
      </c>
      <c r="I15" s="1194"/>
      <c r="J15" s="1193">
        <f>SUMIF(70:70,I16,71:71)-SUMIF(70:70,C16,71:71)+100</f>
        <v>100</v>
      </c>
      <c r="K15" s="1602"/>
      <c r="L15" s="1694"/>
      <c r="M15" s="1685"/>
      <c r="N15" s="1685"/>
      <c r="O15" s="1693"/>
      <c r="P15" s="1322" t="s">
        <v>1501</v>
      </c>
      <c r="Q15" s="699" t="str">
        <f t="shared" si="6"/>
        <v>产业集聚程度</v>
      </c>
      <c r="R15" s="1370" t="s">
        <v>1490</v>
      </c>
      <c r="S15" s="1371">
        <f t="shared" si="0"/>
        <v>100</v>
      </c>
      <c r="T15" s="1370" t="s">
        <v>1490</v>
      </c>
      <c r="U15" s="1371">
        <f t="shared" si="1"/>
        <v>100</v>
      </c>
      <c r="V15" s="1370" t="s">
        <v>1490</v>
      </c>
      <c r="W15" s="1371">
        <f t="shared" si="2"/>
        <v>100</v>
      </c>
      <c r="X15" s="1357"/>
      <c r="Y15" s="1322" t="s">
        <v>1501</v>
      </c>
      <c r="Z15" s="1344" t="str">
        <f t="shared" si="7"/>
        <v>产业集聚程度</v>
      </c>
      <c r="AA15" s="1386">
        <f t="shared" si="3"/>
        <v>1</v>
      </c>
      <c r="AB15" s="1386">
        <f t="shared" si="4"/>
        <v>1</v>
      </c>
      <c r="AC15" s="1386">
        <f t="shared" si="5"/>
        <v>1</v>
      </c>
    </row>
    <row r="16" ht="15" spans="1:29">
      <c r="A16" s="1176"/>
      <c r="B16" s="1511"/>
      <c r="C16" s="1196"/>
      <c r="D16" s="1197"/>
      <c r="E16" s="1196"/>
      <c r="F16" s="1564"/>
      <c r="G16" s="1196"/>
      <c r="H16" s="1199"/>
      <c r="I16" s="1196"/>
      <c r="J16" s="1197"/>
      <c r="K16" s="1603"/>
      <c r="L16" s="1694"/>
      <c r="M16" s="1685"/>
      <c r="N16" s="1685"/>
      <c r="O16" s="1693"/>
      <c r="P16" s="1323"/>
      <c r="Q16" s="699"/>
      <c r="R16" s="1370"/>
      <c r="S16" s="1371"/>
      <c r="T16" s="1370"/>
      <c r="U16" s="1371"/>
      <c r="V16" s="1370"/>
      <c r="W16" s="1371"/>
      <c r="X16" s="1357"/>
      <c r="Y16" s="1323"/>
      <c r="Z16" s="1344"/>
      <c r="AA16" s="1386">
        <v>1</v>
      </c>
      <c r="AB16" s="1386">
        <v>1</v>
      </c>
      <c r="AC16" s="1386">
        <v>1</v>
      </c>
    </row>
    <row r="17" ht="81" spans="1:29">
      <c r="A17" s="1176"/>
      <c r="B17" s="1512" t="s">
        <v>1502</v>
      </c>
      <c r="C17" s="1201" t="str">
        <f>估价对象房地状况!G4</f>
        <v>估价对象周边道路状况、公共交通通达情况、停车便捷程度，综合评价交通便捷度较好</v>
      </c>
      <c r="D17" s="1199">
        <v>100</v>
      </c>
      <c r="E17" s="1202"/>
      <c r="F17" s="1566">
        <f>SUMIF(72:72,E18,73:73)-SUMIF(72:72,C18,73:73)+100</f>
        <v>100</v>
      </c>
      <c r="G17" s="1324"/>
      <c r="H17" s="1203">
        <f>SUMIF(72:72,G18,73:73)-SUMIF(72:72,C18,73:73)+100</f>
        <v>100</v>
      </c>
      <c r="I17" s="1202"/>
      <c r="J17" s="1203">
        <f>SUMIF(72:72,I18,73:73)-SUMIF(72:72,C18,73:73)+100</f>
        <v>100</v>
      </c>
      <c r="K17" s="1602"/>
      <c r="L17" s="1694"/>
      <c r="M17" s="1685"/>
      <c r="N17" s="1685"/>
      <c r="O17" s="1693"/>
      <c r="P17" s="1323"/>
      <c r="Q17" s="699"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24"/>
      <c r="C18" s="1513"/>
      <c r="D18" s="1199"/>
      <c r="E18" s="1514"/>
      <c r="F18" s="1566"/>
      <c r="G18" s="1522"/>
      <c r="H18" s="1197"/>
      <c r="I18" s="1514"/>
      <c r="J18" s="1197"/>
      <c r="K18" s="1603"/>
      <c r="L18" s="1694"/>
      <c r="M18" s="1685"/>
      <c r="N18" s="1685"/>
      <c r="O18" s="1693"/>
      <c r="P18" s="1323"/>
      <c r="Q18" s="699"/>
      <c r="R18" s="1370"/>
      <c r="S18" s="1371"/>
      <c r="T18" s="1370"/>
      <c r="U18" s="1371"/>
      <c r="V18" s="1370"/>
      <c r="W18" s="1371"/>
      <c r="X18" s="1357"/>
      <c r="Y18" s="1323"/>
      <c r="Z18" s="1344"/>
      <c r="AA18" s="1386">
        <v>1</v>
      </c>
      <c r="AB18" s="1386">
        <v>1</v>
      </c>
      <c r="AC18" s="1386">
        <v>1</v>
      </c>
    </row>
    <row r="19" ht="40.5" spans="1:29">
      <c r="A19" s="1176"/>
      <c r="B19" s="1512" t="s">
        <v>1503</v>
      </c>
      <c r="C19" s="1201" t="str">
        <f>估价对象房地状况!G5</f>
        <v>估价对象所在区域公共配套设施齐备情况</v>
      </c>
      <c r="D19" s="1203">
        <v>100</v>
      </c>
      <c r="E19" s="1515"/>
      <c r="F19" s="1565">
        <f>SUMIF(74:74,E20,75:75)-SUMIF(74:74,C20,75:75)+100</f>
        <v>100</v>
      </c>
      <c r="G19" s="1523"/>
      <c r="H19" s="1199">
        <f>SUMIF(74:74,G20,75:75)-SUMIF(74:74,C20,75:75)+100</f>
        <v>100</v>
      </c>
      <c r="I19" s="1515"/>
      <c r="J19" s="1199">
        <f>SUMIF(74:74,I20,75:75)-SUMIF(74:74,C20,75:75)+100</f>
        <v>100</v>
      </c>
      <c r="K19" s="1602"/>
      <c r="L19" s="1694"/>
      <c r="M19" s="1685"/>
      <c r="N19" s="1685"/>
      <c r="O19" s="1693"/>
      <c r="P19" s="1323"/>
      <c r="Q19" s="699"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4"/>
      <c r="G20" s="1325"/>
      <c r="H20" s="1197"/>
      <c r="I20" s="1205"/>
      <c r="J20" s="1197"/>
      <c r="K20" s="1603"/>
      <c r="L20" s="1694"/>
      <c r="M20" s="1685"/>
      <c r="N20" s="1685"/>
      <c r="O20" s="1693"/>
      <c r="P20" s="1323"/>
      <c r="Q20" s="699"/>
      <c r="R20" s="1370"/>
      <c r="S20" s="1371"/>
      <c r="T20" s="1370"/>
      <c r="U20" s="1371"/>
      <c r="V20" s="1370"/>
      <c r="W20" s="1371"/>
      <c r="X20" s="1357"/>
      <c r="Y20" s="1323"/>
      <c r="Z20" s="1344"/>
      <c r="AA20" s="1386">
        <v>1</v>
      </c>
      <c r="AB20" s="1386">
        <v>1</v>
      </c>
      <c r="AC20" s="1386">
        <v>1</v>
      </c>
    </row>
    <row r="21" ht="27" spans="1:29">
      <c r="A21" s="1176"/>
      <c r="B21" s="1516" t="s">
        <v>1504</v>
      </c>
      <c r="C21" s="1201" t="str">
        <f>估价对象房地状况!G6</f>
        <v>估价对象所在区域基础设施水平</v>
      </c>
      <c r="D21" s="1199">
        <v>100</v>
      </c>
      <c r="E21" s="1515"/>
      <c r="F21" s="1565">
        <f>SUMIF(76:76,E22,77:77)-SUMIF(76:76,C22,77:77)+100</f>
        <v>100</v>
      </c>
      <c r="G21" s="1523"/>
      <c r="H21" s="1199">
        <f>SUMIF(76:76,G22,77:77)-SUMIF(76:76,C22,77:77)+100</f>
        <v>100</v>
      </c>
      <c r="I21" s="1515"/>
      <c r="J21" s="1199">
        <f>SUMIF(76:76,I22,77:77)-SUMIF(76:76,C22,77:77)+100</f>
        <v>100</v>
      </c>
      <c r="K21" s="1602"/>
      <c r="L21" s="1694"/>
      <c r="M21" s="1685"/>
      <c r="N21" s="1685"/>
      <c r="O21" s="1693"/>
      <c r="P21" s="1323"/>
      <c r="Q21" s="699"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6"/>
      <c r="C22" s="1513"/>
      <c r="D22" s="1197"/>
      <c r="E22" s="1196"/>
      <c r="F22" s="1564"/>
      <c r="G22" s="1196"/>
      <c r="H22" s="1197"/>
      <c r="I22" s="1196"/>
      <c r="J22" s="1197"/>
      <c r="K22" s="1604"/>
      <c r="L22" s="1694"/>
      <c r="M22" s="1685"/>
      <c r="N22" s="1685"/>
      <c r="O22" s="1693"/>
      <c r="P22" s="1323"/>
      <c r="Q22" s="699"/>
      <c r="R22" s="1370"/>
      <c r="S22" s="1371"/>
      <c r="T22" s="1370"/>
      <c r="U22" s="1371"/>
      <c r="V22" s="1370"/>
      <c r="W22" s="1371"/>
      <c r="X22" s="1357"/>
      <c r="Y22" s="1323"/>
      <c r="Z22" s="1344"/>
      <c r="AA22" s="1386">
        <v>1</v>
      </c>
      <c r="AB22" s="1386">
        <v>1</v>
      </c>
      <c r="AC22" s="1386">
        <v>1</v>
      </c>
    </row>
    <row r="23" ht="67.5" spans="1:29">
      <c r="A23" s="1176"/>
      <c r="B23" s="1512" t="s">
        <v>1576</v>
      </c>
      <c r="C23" s="1201" t="str">
        <f>估价对象房地状况!G7</f>
        <v>该园区内是否有污染型企业，绿化情况，卫生条件，整体环境状况判断</v>
      </c>
      <c r="D23" s="1199">
        <v>100</v>
      </c>
      <c r="E23" s="1202"/>
      <c r="F23" s="1566">
        <f>SUMIF(78:78,E24,79:79)-SUMIF(78:78,C24,79:79)+100</f>
        <v>100</v>
      </c>
      <c r="G23" s="1324"/>
      <c r="H23" s="1199">
        <f>SUMIF(78:78,G24,79:79)-SUMIF(78:78,C24,79:79)+100</f>
        <v>100</v>
      </c>
      <c r="I23" s="1202"/>
      <c r="J23" s="1199">
        <f>SUMIF(78:78,I24,79:79)-SUMIF(78:78,C24,79:79)+100</f>
        <v>100</v>
      </c>
      <c r="K23" s="1602"/>
      <c r="L23" s="1694"/>
      <c r="M23" s="1685"/>
      <c r="N23" s="1685"/>
      <c r="O23" s="1693"/>
      <c r="P23" s="1323"/>
      <c r="Q23" s="699" t="str">
        <f>B23</f>
        <v>环境质量</v>
      </c>
      <c r="R23" s="1370" t="s">
        <v>1490</v>
      </c>
      <c r="S23" s="1371">
        <f>F23</f>
        <v>100</v>
      </c>
      <c r="T23" s="1370" t="s">
        <v>1490</v>
      </c>
      <c r="U23" s="1371">
        <f>H23</f>
        <v>100</v>
      </c>
      <c r="V23" s="1370" t="s">
        <v>1490</v>
      </c>
      <c r="W23" s="1371">
        <f>J23</f>
        <v>100</v>
      </c>
      <c r="X23" s="1357"/>
      <c r="Y23" s="1323"/>
      <c r="Z23" s="1344" t="str">
        <f>Q23</f>
        <v>环境质量</v>
      </c>
      <c r="AA23" s="1386">
        <f t="shared" si="3"/>
        <v>1</v>
      </c>
      <c r="AB23" s="1386">
        <f t="shared" si="4"/>
        <v>1</v>
      </c>
      <c r="AC23" s="1386">
        <f t="shared" si="5"/>
        <v>1</v>
      </c>
    </row>
    <row r="24" ht="15" spans="1:29">
      <c r="A24" s="1176"/>
      <c r="B24" s="1516"/>
      <c r="C24" s="1196"/>
      <c r="D24" s="1197"/>
      <c r="E24" s="1205"/>
      <c r="F24" s="1564"/>
      <c r="G24" s="1325"/>
      <c r="H24" s="1197"/>
      <c r="I24" s="1205"/>
      <c r="J24" s="1197"/>
      <c r="K24" s="1603"/>
      <c r="L24" s="1694"/>
      <c r="M24" s="1685"/>
      <c r="N24" s="1685"/>
      <c r="O24" s="1693"/>
      <c r="P24" s="1323"/>
      <c r="Q24" s="699"/>
      <c r="R24" s="1370"/>
      <c r="S24" s="1371"/>
      <c r="T24" s="1370"/>
      <c r="U24" s="1371"/>
      <c r="V24" s="1370"/>
      <c r="W24" s="1371"/>
      <c r="X24" s="1357"/>
      <c r="Y24" s="1323"/>
      <c r="Z24" s="1344"/>
      <c r="AA24" s="1386">
        <v>1</v>
      </c>
      <c r="AB24" s="1386">
        <v>1</v>
      </c>
      <c r="AC24" s="1386">
        <v>1</v>
      </c>
    </row>
    <row r="25" ht="15" spans="1:29">
      <c r="A25" s="1148"/>
      <c r="B25" s="1517">
        <v>111</v>
      </c>
      <c r="C25" s="1184">
        <v>111</v>
      </c>
      <c r="D25" s="1185">
        <v>100</v>
      </c>
      <c r="E25" s="1184"/>
      <c r="F25" s="1567">
        <f>SUMIF(80:80,E25,81:81)-SUMIF(80:80,C25,81:81)+100</f>
        <v>100</v>
      </c>
      <c r="G25" s="1184"/>
      <c r="H25" s="1185">
        <f>SUMIF(80:80,G25,81:81)-SUMIF(80:80,C25,81:81)+100</f>
        <v>100</v>
      </c>
      <c r="I25" s="1184"/>
      <c r="J25" s="1185">
        <f>SUMIF(80:80,I25,81:81)-SUMIF(80:80,C25,81:81)+100</f>
        <v>100</v>
      </c>
      <c r="K25" s="1327"/>
      <c r="L25" s="1694"/>
      <c r="M25" s="1685"/>
      <c r="N25" s="1685"/>
      <c r="O25" s="1693"/>
      <c r="P25" s="1323"/>
      <c r="Q25" s="699">
        <f>B25</f>
        <v>111</v>
      </c>
      <c r="R25" s="1370" t="s">
        <v>1490</v>
      </c>
      <c r="S25" s="1371">
        <f>F25</f>
        <v>100</v>
      </c>
      <c r="T25" s="1370" t="s">
        <v>1490</v>
      </c>
      <c r="U25" s="1371">
        <f>H25</f>
        <v>100</v>
      </c>
      <c r="V25" s="1370" t="s">
        <v>1490</v>
      </c>
      <c r="W25" s="1371">
        <f>J25</f>
        <v>100</v>
      </c>
      <c r="X25" s="1357"/>
      <c r="Y25" s="1323"/>
      <c r="Z25" s="1344">
        <f>Q25</f>
        <v>111</v>
      </c>
      <c r="AA25" s="1386">
        <f t="shared" si="3"/>
        <v>1</v>
      </c>
      <c r="AB25" s="1386">
        <f t="shared" si="4"/>
        <v>1</v>
      </c>
      <c r="AC25" s="1386">
        <f t="shared" si="5"/>
        <v>1</v>
      </c>
    </row>
    <row r="26" ht="15" spans="1:29">
      <c r="A26" s="1176"/>
      <c r="B26" s="1517">
        <v>111</v>
      </c>
      <c r="C26" s="1184">
        <v>111</v>
      </c>
      <c r="D26" s="1185">
        <v>100</v>
      </c>
      <c r="E26" s="1184"/>
      <c r="F26" s="1567">
        <f>SUMIF(82:82,E26,83:83)-SUMIF(82:82,C26,83:83)+100</f>
        <v>100</v>
      </c>
      <c r="G26" s="1184"/>
      <c r="H26" s="1185">
        <f>SUMIF(82:82,G26,83:83)-SUMIF(82:82,C26,83:83)+100</f>
        <v>100</v>
      </c>
      <c r="I26" s="1184"/>
      <c r="J26" s="1185">
        <f>SUMIF(82:82,I26,83:83)-SUMIF(82:82,C26,83:83)+100</f>
        <v>100</v>
      </c>
      <c r="K26" s="1327"/>
      <c r="L26" s="1694"/>
      <c r="M26" s="1685"/>
      <c r="N26" s="1685"/>
      <c r="O26" s="1693"/>
      <c r="P26" s="1323"/>
      <c r="Q26" s="699">
        <f t="shared" ref="Q26:Q40" si="11">B26</f>
        <v>111</v>
      </c>
      <c r="R26" s="1370" t="s">
        <v>1490</v>
      </c>
      <c r="S26" s="1371">
        <f>F26</f>
        <v>100</v>
      </c>
      <c r="T26" s="1370" t="s">
        <v>1490</v>
      </c>
      <c r="U26" s="1371">
        <f>H26</f>
        <v>100</v>
      </c>
      <c r="V26" s="1370" t="s">
        <v>1490</v>
      </c>
      <c r="W26" s="1371">
        <f>J26</f>
        <v>100</v>
      </c>
      <c r="X26" s="1357"/>
      <c r="Y26" s="1323"/>
      <c r="Z26" s="1344">
        <f>Q26</f>
        <v>111</v>
      </c>
      <c r="AA26" s="1386">
        <f t="shared" si="3"/>
        <v>1</v>
      </c>
      <c r="AB26" s="1386">
        <f t="shared" si="4"/>
        <v>1</v>
      </c>
      <c r="AC26" s="1386">
        <f t="shared" si="5"/>
        <v>1</v>
      </c>
    </row>
    <row r="27" s="1123" customFormat="1" ht="15" spans="1:29">
      <c r="A27" s="1179"/>
      <c r="B27" s="1517">
        <v>111</v>
      </c>
      <c r="C27" s="1184">
        <v>111</v>
      </c>
      <c r="D27" s="1680">
        <v>100</v>
      </c>
      <c r="E27" s="1184"/>
      <c r="F27" s="1681">
        <f>SUMIF(84:84,E27,85:85)-SUMIF(84:84,C27,85:85)+100</f>
        <v>100</v>
      </c>
      <c r="G27" s="1184"/>
      <c r="H27" s="1680">
        <f>SUMIF(84:84,G27,85:85)-SUMIF(84:84,C27,85:85)+100</f>
        <v>100</v>
      </c>
      <c r="I27" s="1184"/>
      <c r="J27" s="1680">
        <f>SUMIF(84:84,I27,85:85)-SUMIF(84:84,C27,85:85)+100</f>
        <v>100</v>
      </c>
      <c r="K27" s="1327"/>
      <c r="L27" s="1686"/>
      <c r="M27" s="1687"/>
      <c r="N27" s="1687"/>
      <c r="O27" s="1688"/>
      <c r="P27" s="1323"/>
      <c r="Q27" s="1369">
        <f t="shared" si="11"/>
        <v>111</v>
      </c>
      <c r="R27" s="1365" t="s">
        <v>1490</v>
      </c>
      <c r="S27" s="1366">
        <f>F27</f>
        <v>100</v>
      </c>
      <c r="T27" s="1365" t="s">
        <v>1490</v>
      </c>
      <c r="U27" s="1366">
        <f>H27</f>
        <v>100</v>
      </c>
      <c r="V27" s="1365" t="s">
        <v>1490</v>
      </c>
      <c r="W27" s="1366">
        <f>J27</f>
        <v>100</v>
      </c>
      <c r="X27" s="1367"/>
      <c r="Y27" s="1323"/>
      <c r="Z27" s="1385">
        <f>Q27</f>
        <v>111</v>
      </c>
      <c r="AA27" s="1386">
        <f t="shared" si="3"/>
        <v>1</v>
      </c>
      <c r="AB27" s="1386">
        <f t="shared" si="4"/>
        <v>1</v>
      </c>
      <c r="AC27" s="1386">
        <f t="shared" si="5"/>
        <v>1</v>
      </c>
    </row>
    <row r="28" ht="15.75" spans="1:29">
      <c r="A28" s="1186"/>
      <c r="B28" s="1517">
        <v>111</v>
      </c>
      <c r="C28" s="1188">
        <v>111</v>
      </c>
      <c r="D28" s="1189">
        <v>100</v>
      </c>
      <c r="E28" s="1184"/>
      <c r="F28" s="1580">
        <f>SUMIF(86:86,E28,87:87)-SUMIF(86:86,C28,87:87)+100</f>
        <v>100</v>
      </c>
      <c r="G28" s="1561"/>
      <c r="H28" s="1189">
        <f>SUMIF(86:86,G28,87:87)-SUMIF(86:86,C28,87:87)+100</f>
        <v>100</v>
      </c>
      <c r="I28" s="1561"/>
      <c r="J28" s="1189">
        <f>SUMIF(86:86,I28,87:87)-SUMIF(86:86,C28,87:87)+100</f>
        <v>100</v>
      </c>
      <c r="K28" s="1327"/>
      <c r="L28" s="1694"/>
      <c r="M28" s="1685"/>
      <c r="N28" s="1685"/>
      <c r="O28" s="1693"/>
      <c r="P28" s="1323"/>
      <c r="Q28" s="699">
        <f t="shared" si="11"/>
        <v>111</v>
      </c>
      <c r="R28" s="1370" t="s">
        <v>1490</v>
      </c>
      <c r="S28" s="1371">
        <f t="shared" ref="S28:S40" si="12">F28</f>
        <v>100</v>
      </c>
      <c r="T28" s="1370" t="s">
        <v>1490</v>
      </c>
      <c r="U28" s="1371">
        <f t="shared" ref="U28:U40" si="13">H28</f>
        <v>100</v>
      </c>
      <c r="V28" s="1370" t="s">
        <v>1490</v>
      </c>
      <c r="W28" s="1371">
        <f t="shared" ref="W28:W40" si="14">J28</f>
        <v>100</v>
      </c>
      <c r="X28" s="1357"/>
      <c r="Y28" s="1323"/>
      <c r="Z28" s="1344">
        <f t="shared" ref="Z28:Z40" si="15">Q28</f>
        <v>111</v>
      </c>
      <c r="AA28" s="1386">
        <f t="shared" si="3"/>
        <v>1</v>
      </c>
      <c r="AB28" s="1386">
        <f t="shared" si="4"/>
        <v>1</v>
      </c>
      <c r="AC28" s="1386">
        <f t="shared" si="5"/>
        <v>1</v>
      </c>
    </row>
    <row r="29" ht="28.5" spans="1:29">
      <c r="A29" s="1571" t="s">
        <v>1508</v>
      </c>
      <c r="B29" s="1169" t="s">
        <v>1509</v>
      </c>
      <c r="C29" s="1572"/>
      <c r="D29" s="1226">
        <v>100</v>
      </c>
      <c r="E29" s="1572"/>
      <c r="F29" s="1567">
        <f>SUMIF(88:88,E29,89:89)-SUMIF(88:88,C29,89:89)+100</f>
        <v>100</v>
      </c>
      <c r="G29" s="1572"/>
      <c r="H29" s="1185">
        <f>SUMIF(88:88,G29,89:89)-SUMIF(88:88,C29,89:89)+100</f>
        <v>100</v>
      </c>
      <c r="I29" s="1572"/>
      <c r="J29" s="1226">
        <f>SUMIF(88:88,I29,89:89)-SUMIF(88:88,C29,89:89)+100</f>
        <v>100</v>
      </c>
      <c r="K29" s="1328"/>
      <c r="L29" s="1694"/>
      <c r="M29" s="1685"/>
      <c r="N29" s="1685"/>
      <c r="O29" s="1693"/>
      <c r="P29" s="1329" t="s">
        <v>1510</v>
      </c>
      <c r="Q29" s="699" t="str">
        <f t="shared" si="11"/>
        <v>建筑类型</v>
      </c>
      <c r="R29" s="1370" t="s">
        <v>1490</v>
      </c>
      <c r="S29" s="1371">
        <f t="shared" si="12"/>
        <v>100</v>
      </c>
      <c r="T29" s="1370" t="s">
        <v>1490</v>
      </c>
      <c r="U29" s="1371">
        <f t="shared" si="13"/>
        <v>100</v>
      </c>
      <c r="V29" s="1370" t="s">
        <v>1490</v>
      </c>
      <c r="W29" s="1371">
        <f t="shared" si="14"/>
        <v>100</v>
      </c>
      <c r="X29" s="1357"/>
      <c r="Y29" s="1332" t="s">
        <v>1510</v>
      </c>
      <c r="Z29" s="1344" t="str">
        <f t="shared" si="15"/>
        <v>建筑类型</v>
      </c>
      <c r="AA29" s="1386">
        <f t="shared" si="3"/>
        <v>1</v>
      </c>
      <c r="AB29" s="1386">
        <f t="shared" si="4"/>
        <v>1</v>
      </c>
      <c r="AC29" s="1386">
        <f t="shared" si="5"/>
        <v>1</v>
      </c>
    </row>
    <row r="30" s="1125" customFormat="1" ht="15" spans="1:29">
      <c r="A30" s="1232"/>
      <c r="B30" s="1173" t="s">
        <v>1511</v>
      </c>
      <c r="C30" s="1561"/>
      <c r="D30" s="1175">
        <v>100</v>
      </c>
      <c r="E30" s="1178"/>
      <c r="F30" s="1560" t="e">
        <f>LOOKUP(E30,91:91,92:92)-LOOKUP(C30,91:91,92:92)+100</f>
        <v>#N/A</v>
      </c>
      <c r="G30" s="1177"/>
      <c r="H30" s="1175" t="e">
        <f>LOOKUP(G30,91:91,92:92)-LOOKUP(C30,91:91,92:92)+100</f>
        <v>#N/A</v>
      </c>
      <c r="I30" s="1177"/>
      <c r="J30" s="1175" t="e">
        <f>LOOKUP(I30,91:91,92:92)-LOOKUP(C30,91:91,92:92)+100</f>
        <v>#N/A</v>
      </c>
      <c r="K30" s="1327"/>
      <c r="L30" s="1692"/>
      <c r="M30" s="1695"/>
      <c r="N30" s="1695"/>
      <c r="O30" s="1696"/>
      <c r="P30" s="1332"/>
      <c r="Q30" s="1606" t="str">
        <f t="shared" si="11"/>
        <v>项目建筑规模</v>
      </c>
      <c r="R30" s="1372" t="s">
        <v>1490</v>
      </c>
      <c r="S30" s="1373" t="e">
        <f t="shared" si="12"/>
        <v>#N/A</v>
      </c>
      <c r="T30" s="1372" t="s">
        <v>1490</v>
      </c>
      <c r="U30" s="1373" t="e">
        <f t="shared" si="13"/>
        <v>#N/A</v>
      </c>
      <c r="V30" s="1372" t="s">
        <v>1490</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1512</v>
      </c>
      <c r="C31" s="1577"/>
      <c r="D31" s="1185">
        <v>100</v>
      </c>
      <c r="E31" s="1577"/>
      <c r="F31" s="1567">
        <f>SUMIF(93:93,E31,94:94)-SUMIF(93:93,C31,94:94)+100</f>
        <v>100</v>
      </c>
      <c r="G31" s="1577"/>
      <c r="H31" s="1185">
        <f>SUMIF(93:93,G31,94:94)-SUMIF(93:93,C31,94:94)+100</f>
        <v>100</v>
      </c>
      <c r="I31" s="1577"/>
      <c r="J31" s="1185">
        <f>SUMIF(93:93,I31,94:94)-SUMIF(93:93,C31,94:94)+100</f>
        <v>100</v>
      </c>
      <c r="K31" s="1328"/>
      <c r="L31" s="1694"/>
      <c r="M31" s="1685"/>
      <c r="N31" s="1685"/>
      <c r="O31" s="1693"/>
      <c r="P31" s="1332"/>
      <c r="Q31" s="699" t="str">
        <f t="shared" si="11"/>
        <v>建筑结构</v>
      </c>
      <c r="R31" s="1370" t="s">
        <v>1490</v>
      </c>
      <c r="S31" s="1371">
        <f t="shared" si="12"/>
        <v>100</v>
      </c>
      <c r="T31" s="1370" t="s">
        <v>1490</v>
      </c>
      <c r="U31" s="1371">
        <f t="shared" si="13"/>
        <v>100</v>
      </c>
      <c r="V31" s="1370" t="s">
        <v>1490</v>
      </c>
      <c r="W31" s="1371">
        <f t="shared" si="14"/>
        <v>100</v>
      </c>
      <c r="X31" s="1357"/>
      <c r="Y31" s="1332"/>
      <c r="Z31" s="1344" t="str">
        <f t="shared" si="15"/>
        <v>建筑结构</v>
      </c>
      <c r="AA31" s="1386">
        <f t="shared" si="3"/>
        <v>1</v>
      </c>
      <c r="AB31" s="1386">
        <f t="shared" si="4"/>
        <v>1</v>
      </c>
      <c r="AC31" s="1386">
        <f t="shared" si="5"/>
        <v>1</v>
      </c>
    </row>
    <row r="32" ht="15" spans="1:29">
      <c r="A32" s="1227"/>
      <c r="B32" s="1173" t="s">
        <v>1514</v>
      </c>
      <c r="C32" s="1577"/>
      <c r="D32" s="1185">
        <v>100</v>
      </c>
      <c r="E32" s="1577"/>
      <c r="F32" s="1567">
        <f>SUMIF(95:95,E32,96:96)-SUMIF(95:95,C32,96:96)+100</f>
        <v>100</v>
      </c>
      <c r="G32" s="1577"/>
      <c r="H32" s="1185">
        <f>SUMIF(95:95,G32,96:96)-SUMIF(95:95,C32,96:96)+100</f>
        <v>100</v>
      </c>
      <c r="I32" s="1577"/>
      <c r="J32" s="1185">
        <f>SUMIF(95:95,I32,96:96)-SUMIF(95:95,C32,96:96)+100</f>
        <v>100</v>
      </c>
      <c r="K32" s="1328"/>
      <c r="L32" s="1694"/>
      <c r="M32" s="1685"/>
      <c r="N32" s="1685"/>
      <c r="O32" s="1693"/>
      <c r="P32" s="1332"/>
      <c r="Q32" s="699" t="str">
        <f t="shared" si="11"/>
        <v>公共部分装修</v>
      </c>
      <c r="R32" s="1370" t="s">
        <v>1490</v>
      </c>
      <c r="S32" s="1371">
        <f t="shared" si="12"/>
        <v>100</v>
      </c>
      <c r="T32" s="1370" t="s">
        <v>1490</v>
      </c>
      <c r="U32" s="1371">
        <f t="shared" si="13"/>
        <v>100</v>
      </c>
      <c r="V32" s="1370" t="s">
        <v>1490</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634</v>
      </c>
      <c r="C33" s="1561"/>
      <c r="D33" s="1185">
        <v>100</v>
      </c>
      <c r="E33" s="1574"/>
      <c r="F33" s="1567" t="e">
        <f>LOOKUP(E33,98:98,99:99)-LOOKUP(C33,98:98,99:99)+100</f>
        <v>#N/A</v>
      </c>
      <c r="G33" s="1574"/>
      <c r="H33" s="1567" t="e">
        <f>LOOKUP(G33,98:98,99:99)-LOOKUP(C33,98:98,99:99)+100</f>
        <v>#N/A</v>
      </c>
      <c r="I33" s="1574"/>
      <c r="J33" s="1185" t="e">
        <f>LOOKUP(I33,98:98,99:99)-LOOKUP(C33,98:98,99:99)+100</f>
        <v>#N/A</v>
      </c>
      <c r="K33" s="1328"/>
      <c r="L33" s="1694"/>
      <c r="M33" s="1685"/>
      <c r="N33" s="1685"/>
      <c r="O33" s="1693"/>
      <c r="P33" s="1332"/>
      <c r="Q33" s="699" t="str">
        <f t="shared" si="11"/>
        <v>成新度</v>
      </c>
      <c r="R33" s="1370" t="s">
        <v>1490</v>
      </c>
      <c r="S33" s="1371" t="e">
        <f t="shared" si="12"/>
        <v>#N/A</v>
      </c>
      <c r="T33" s="1370" t="s">
        <v>1490</v>
      </c>
      <c r="U33" s="1371" t="e">
        <f t="shared" si="13"/>
        <v>#N/A</v>
      </c>
      <c r="V33" s="1370" t="s">
        <v>1490</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1515</v>
      </c>
      <c r="C34" s="1577"/>
      <c r="D34" s="1175">
        <v>100</v>
      </c>
      <c r="E34" s="1577"/>
      <c r="F34" s="1567">
        <f>SUMIF(100:100,E34,101:101)-SUMIF(100:100,C34,101:101)+100</f>
        <v>100</v>
      </c>
      <c r="G34" s="1577"/>
      <c r="H34" s="1185">
        <f>SUMIF(100:100,G34,101:101)-SUMIF(100:100,C34,101:101)+100</f>
        <v>100</v>
      </c>
      <c r="I34" s="1577"/>
      <c r="J34" s="1185">
        <f>SUMIF(100:100,I34,101:101)-SUMIF(100:100,C34,101:101)+100</f>
        <v>100</v>
      </c>
      <c r="K34" s="1328"/>
      <c r="L34" s="1686"/>
      <c r="M34" s="1687"/>
      <c r="N34" s="1687"/>
      <c r="O34" s="1688"/>
      <c r="P34" s="1332"/>
      <c r="Q34" s="1369" t="str">
        <f t="shared" si="11"/>
        <v>物业管理</v>
      </c>
      <c r="R34" s="1365" t="s">
        <v>1490</v>
      </c>
      <c r="S34" s="1366">
        <f t="shared" si="12"/>
        <v>100</v>
      </c>
      <c r="T34" s="1365" t="s">
        <v>1490</v>
      </c>
      <c r="U34" s="1366">
        <f t="shared" si="13"/>
        <v>100</v>
      </c>
      <c r="V34" s="1365" t="s">
        <v>1490</v>
      </c>
      <c r="W34" s="1366">
        <f t="shared" si="14"/>
        <v>100</v>
      </c>
      <c r="X34" s="1367"/>
      <c r="Y34" s="1332"/>
      <c r="Z34" s="1385" t="str">
        <f t="shared" si="15"/>
        <v>物业管理</v>
      </c>
      <c r="AA34" s="1384">
        <f t="shared" si="3"/>
        <v>1</v>
      </c>
      <c r="AB34" s="1384">
        <f t="shared" si="4"/>
        <v>1</v>
      </c>
      <c r="AC34" s="1384">
        <f t="shared" si="5"/>
        <v>1</v>
      </c>
    </row>
    <row r="35" ht="15" spans="1:29">
      <c r="A35" s="1227"/>
      <c r="B35" s="1173" t="s">
        <v>1516</v>
      </c>
      <c r="C35" s="1577"/>
      <c r="D35" s="1185">
        <v>100</v>
      </c>
      <c r="E35" s="1577"/>
      <c r="F35" s="1567">
        <f>SUMIF(102:102,E35,103:103)-SUMIF(102:102,C35,103:103)+100</f>
        <v>100</v>
      </c>
      <c r="G35" s="1577"/>
      <c r="H35" s="1185">
        <f>SUMIF(102:102,G35,103:103)-SUMIF(102:102,C35,103:103)+100</f>
        <v>100</v>
      </c>
      <c r="I35" s="1577"/>
      <c r="J35" s="1185">
        <f>SUMIF(102:102,I35,103:103)-SUMIF(102:102,C35,103:103)+100</f>
        <v>100</v>
      </c>
      <c r="K35" s="1328"/>
      <c r="L35" s="1694"/>
      <c r="M35" s="1685"/>
      <c r="N35" s="1685"/>
      <c r="O35" s="1693"/>
      <c r="P35" s="1332" t="s">
        <v>1510</v>
      </c>
      <c r="Q35" s="699" t="str">
        <f t="shared" si="11"/>
        <v>市政基础设施</v>
      </c>
      <c r="R35" s="1370" t="s">
        <v>1490</v>
      </c>
      <c r="S35" s="1371">
        <f t="shared" si="12"/>
        <v>100</v>
      </c>
      <c r="T35" s="1370" t="s">
        <v>1490</v>
      </c>
      <c r="U35" s="1371">
        <f t="shared" si="13"/>
        <v>100</v>
      </c>
      <c r="V35" s="1370" t="s">
        <v>1490</v>
      </c>
      <c r="W35" s="1371">
        <f t="shared" si="14"/>
        <v>100</v>
      </c>
      <c r="X35" s="1357"/>
      <c r="Y35" s="1332" t="s">
        <v>1510</v>
      </c>
      <c r="Z35" s="1344" t="str">
        <f t="shared" si="15"/>
        <v>市政基础设施</v>
      </c>
      <c r="AA35" s="1386">
        <f t="shared" si="3"/>
        <v>1</v>
      </c>
      <c r="AB35" s="1386">
        <f t="shared" si="4"/>
        <v>1</v>
      </c>
      <c r="AC35" s="1386">
        <f t="shared" si="5"/>
        <v>1</v>
      </c>
    </row>
    <row r="36" ht="15" spans="1:29">
      <c r="A36" s="1227"/>
      <c r="B36" s="1173" t="s">
        <v>1519</v>
      </c>
      <c r="C36" s="1577"/>
      <c r="D36" s="1185">
        <v>100</v>
      </c>
      <c r="E36" s="1577"/>
      <c r="F36" s="1567">
        <f>SUMIF(104:104,E36,105:105)-SUMIF(104:104,C36,105:105)+100</f>
        <v>100</v>
      </c>
      <c r="G36" s="1577"/>
      <c r="H36" s="1185">
        <f>SUMIF(104:104,G36,105:105)-SUMIF(104:104,C36,105:105)+100</f>
        <v>100</v>
      </c>
      <c r="I36" s="1577"/>
      <c r="J36" s="1185">
        <f>SUMIF(104:104,I36,105:105)-SUMIF(104:104,C36,105:105)+100</f>
        <v>100</v>
      </c>
      <c r="K36" s="1328"/>
      <c r="L36" s="1694"/>
      <c r="M36" s="1685"/>
      <c r="N36" s="1685"/>
      <c r="O36" s="1693"/>
      <c r="P36" s="1332"/>
      <c r="Q36" s="699" t="str">
        <f t="shared" si="11"/>
        <v>内部装修</v>
      </c>
      <c r="R36" s="1370" t="s">
        <v>1490</v>
      </c>
      <c r="S36" s="1371">
        <f t="shared" si="12"/>
        <v>100</v>
      </c>
      <c r="T36" s="1370" t="s">
        <v>1490</v>
      </c>
      <c r="U36" s="1371">
        <f t="shared" si="13"/>
        <v>100</v>
      </c>
      <c r="V36" s="1370" t="s">
        <v>1490</v>
      </c>
      <c r="W36" s="1371">
        <f t="shared" si="14"/>
        <v>100</v>
      </c>
      <c r="X36" s="1357"/>
      <c r="Y36" s="1332"/>
      <c r="Z36" s="1344" t="str">
        <f t="shared" si="15"/>
        <v>内部装修</v>
      </c>
      <c r="AA36" s="1386">
        <f t="shared" si="3"/>
        <v>1</v>
      </c>
      <c r="AB36" s="1386">
        <f t="shared" si="4"/>
        <v>1</v>
      </c>
      <c r="AC36" s="1386">
        <f t="shared" si="5"/>
        <v>1</v>
      </c>
    </row>
    <row r="37" ht="15" spans="1:29">
      <c r="A37" s="1227"/>
      <c r="B37" s="1173" t="s">
        <v>1583</v>
      </c>
      <c r="C37" s="1210"/>
      <c r="D37" s="1185">
        <v>100</v>
      </c>
      <c r="E37" s="1210"/>
      <c r="F37" s="1567">
        <f>SUMIF(106:106,E37,107:107)-SUMIF(106:106,C37,107:107)+100</f>
        <v>100</v>
      </c>
      <c r="G37" s="1210"/>
      <c r="H37" s="1185">
        <f>SUMIF(106:106,G37,107:107)-SUMIF(106:106,C37,107:107)+100</f>
        <v>100</v>
      </c>
      <c r="I37" s="1210"/>
      <c r="J37" s="1185">
        <f>SUMIF(106:106,I37,107:107)-SUMIF(106:106,C37,107:107)+100</f>
        <v>100</v>
      </c>
      <c r="K37" s="1328"/>
      <c r="L37" s="1694"/>
      <c r="M37" s="1685"/>
      <c r="N37" s="1685"/>
      <c r="O37" s="1693"/>
      <c r="P37" s="1332"/>
      <c r="Q37" s="699" t="str">
        <f t="shared" si="11"/>
        <v>内部装修状况</v>
      </c>
      <c r="R37" s="1370" t="s">
        <v>1490</v>
      </c>
      <c r="S37" s="1371">
        <f t="shared" si="12"/>
        <v>100</v>
      </c>
      <c r="T37" s="1370" t="s">
        <v>1490</v>
      </c>
      <c r="U37" s="1371">
        <f t="shared" si="13"/>
        <v>100</v>
      </c>
      <c r="V37" s="1370" t="s">
        <v>1490</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7">
        <v>111</v>
      </c>
      <c r="C38" s="1561"/>
      <c r="D38" s="1185">
        <v>100</v>
      </c>
      <c r="E38" s="1184"/>
      <c r="F38" s="1567">
        <f>SUMIF(108:108,E38,109:109)-SUMIF(108:108,C38,109:109)+100</f>
        <v>100</v>
      </c>
      <c r="G38" s="1561"/>
      <c r="H38" s="1185">
        <f>SUMIF(108:108,G38,109:109)-SUMIF(108:108,C38,109:109)+100</f>
        <v>100</v>
      </c>
      <c r="I38" s="1561"/>
      <c r="J38" s="1185">
        <f>SUMIF(108:108,I38,109:1038)-SUMIF(108:108,C38,109:109)+100</f>
        <v>100</v>
      </c>
      <c r="K38" s="1327"/>
      <c r="L38" s="1692"/>
      <c r="M38" s="1695"/>
      <c r="N38" s="1695"/>
      <c r="O38" s="1696"/>
      <c r="P38" s="1332"/>
      <c r="Q38" s="1606">
        <f t="shared" si="11"/>
        <v>111</v>
      </c>
      <c r="R38" s="1372" t="s">
        <v>1490</v>
      </c>
      <c r="S38" s="1373">
        <f t="shared" si="12"/>
        <v>100</v>
      </c>
      <c r="T38" s="1372" t="s">
        <v>1490</v>
      </c>
      <c r="U38" s="1373">
        <f t="shared" si="13"/>
        <v>100</v>
      </c>
      <c r="V38" s="1372" t="s">
        <v>1490</v>
      </c>
      <c r="W38" s="1373">
        <f t="shared" si="14"/>
        <v>100</v>
      </c>
      <c r="X38" s="1374"/>
      <c r="Y38" s="1332"/>
      <c r="Z38" s="1387">
        <f t="shared" si="15"/>
        <v>111</v>
      </c>
      <c r="AA38" s="1386">
        <f t="shared" si="3"/>
        <v>1</v>
      </c>
      <c r="AB38" s="1386">
        <f t="shared" si="4"/>
        <v>1</v>
      </c>
      <c r="AC38" s="1386">
        <f t="shared" si="5"/>
        <v>1</v>
      </c>
    </row>
    <row r="39" ht="15" spans="1:29">
      <c r="A39" s="1227"/>
      <c r="B39" s="1517">
        <v>111</v>
      </c>
      <c r="C39" s="1561"/>
      <c r="D39" s="1185">
        <v>100</v>
      </c>
      <c r="E39" s="1184"/>
      <c r="F39" s="1567">
        <f>SUMIF(110:110,E39,111:111)-SUMIF(110:110,C39,111:111)+100</f>
        <v>100</v>
      </c>
      <c r="G39" s="1561"/>
      <c r="H39" s="1185">
        <f>SUMIF(110:110,G39,111:111)-SUMIF(110:110,C39,111:111)+100</f>
        <v>100</v>
      </c>
      <c r="I39" s="1561"/>
      <c r="J39" s="1185">
        <f>SUMIF(110:110,I39,111:111)-SUMIF(110:110,C39,111:111)+100</f>
        <v>100</v>
      </c>
      <c r="K39" s="1327"/>
      <c r="L39" s="1694"/>
      <c r="M39" s="1685"/>
      <c r="N39" s="1685"/>
      <c r="O39" s="1693"/>
      <c r="P39" s="1332"/>
      <c r="Q39" s="699">
        <f t="shared" si="11"/>
        <v>111</v>
      </c>
      <c r="R39" s="1370" t="s">
        <v>1490</v>
      </c>
      <c r="S39" s="1371">
        <f t="shared" si="12"/>
        <v>100</v>
      </c>
      <c r="T39" s="1370" t="s">
        <v>1490</v>
      </c>
      <c r="U39" s="1371">
        <f t="shared" si="13"/>
        <v>100</v>
      </c>
      <c r="V39" s="1370" t="s">
        <v>1490</v>
      </c>
      <c r="W39" s="1371">
        <f t="shared" si="14"/>
        <v>100</v>
      </c>
      <c r="X39" s="1357"/>
      <c r="Y39" s="1332"/>
      <c r="Z39" s="1344">
        <f t="shared" si="15"/>
        <v>111</v>
      </c>
      <c r="AA39" s="1386">
        <f t="shared" si="3"/>
        <v>1</v>
      </c>
      <c r="AB39" s="1386">
        <f t="shared" si="4"/>
        <v>1</v>
      </c>
      <c r="AC39" s="1386">
        <f t="shared" si="5"/>
        <v>1</v>
      </c>
    </row>
    <row r="40" ht="15.75" spans="1:29">
      <c r="A40" s="1579"/>
      <c r="B40" s="1187">
        <v>111</v>
      </c>
      <c r="C40" s="1188"/>
      <c r="D40" s="1189">
        <v>100</v>
      </c>
      <c r="E40" s="1184"/>
      <c r="F40" s="1580">
        <f>SUMIF(112:112,E40,113:113)-SUMIF(112:112,C40,113:113)+100</f>
        <v>100</v>
      </c>
      <c r="G40" s="1561"/>
      <c r="H40" s="1189">
        <f>SUMIF(112:112,G40,113:113)-SUMIF(112:112,C40,113:113)+100</f>
        <v>100</v>
      </c>
      <c r="I40" s="1561"/>
      <c r="J40" s="1189">
        <f>SUMIF(112:112,I40,113:113)-SUMIF(112:112,C40,113:113)+100</f>
        <v>100</v>
      </c>
      <c r="K40" s="1327"/>
      <c r="L40" s="1694"/>
      <c r="M40" s="1685"/>
      <c r="N40" s="1685"/>
      <c r="O40" s="1693"/>
      <c r="P40" s="1697"/>
      <c r="Q40" s="699">
        <f t="shared" si="11"/>
        <v>111</v>
      </c>
      <c r="R40" s="1370" t="s">
        <v>1490</v>
      </c>
      <c r="S40" s="1371">
        <f t="shared" si="12"/>
        <v>100</v>
      </c>
      <c r="T40" s="1370" t="s">
        <v>1490</v>
      </c>
      <c r="U40" s="1371">
        <f t="shared" si="13"/>
        <v>100</v>
      </c>
      <c r="V40" s="1370" t="s">
        <v>1490</v>
      </c>
      <c r="W40" s="1371">
        <f t="shared" si="14"/>
        <v>100</v>
      </c>
      <c r="X40" s="1357"/>
      <c r="Y40" s="1697"/>
      <c r="Z40" s="1344">
        <f t="shared" si="15"/>
        <v>111</v>
      </c>
      <c r="AA40" s="1386">
        <f t="shared" si="3"/>
        <v>1</v>
      </c>
      <c r="AB40" s="1386">
        <f t="shared" si="4"/>
        <v>1</v>
      </c>
      <c r="AC40" s="1386">
        <f t="shared" si="5"/>
        <v>1</v>
      </c>
    </row>
    <row r="41" ht="15" spans="1:29">
      <c r="A41" s="1234" t="s">
        <v>1521</v>
      </c>
      <c r="B41" s="1581"/>
      <c r="C41" s="1582" t="s">
        <v>124</v>
      </c>
      <c r="D41" s="1583"/>
      <c r="E41" s="1584"/>
      <c r="F41" s="1585"/>
      <c r="G41" s="1586"/>
      <c r="H41" s="1587"/>
      <c r="I41" s="1584"/>
      <c r="J41" s="1587"/>
      <c r="K41" s="1335"/>
      <c r="L41" s="1698"/>
      <c r="M41" s="1287"/>
      <c r="N41" s="1685"/>
      <c r="O41" s="1287"/>
      <c r="P41" s="699" t="str">
        <f>A41</f>
        <v>成交单价（元/平方米）</v>
      </c>
      <c r="Q41" s="699"/>
      <c r="R41" s="1386">
        <f>E41</f>
        <v>0</v>
      </c>
      <c r="S41" s="1386"/>
      <c r="T41" s="1386">
        <f>G41</f>
        <v>0</v>
      </c>
      <c r="U41" s="1386"/>
      <c r="V41" s="1386">
        <f>I41</f>
        <v>0</v>
      </c>
      <c r="W41" s="1386"/>
      <c r="X41" s="1292"/>
      <c r="Y41" s="1388"/>
      <c r="Z41" s="1292"/>
      <c r="AA41" s="1292"/>
      <c r="AB41" s="1292"/>
      <c r="AC41" s="1292"/>
    </row>
    <row r="42" ht="15.75" spans="1:29">
      <c r="A42" s="1242" t="s">
        <v>1522</v>
      </c>
      <c r="B42" s="1588"/>
      <c r="C42" s="1589" t="e">
        <f>R43</f>
        <v>#DIV/0!</v>
      </c>
      <c r="D42" s="1245" t="s">
        <v>1523</v>
      </c>
      <c r="E42" s="1590" t="e">
        <f>R42</f>
        <v>#DIV/0!</v>
      </c>
      <c r="F42" s="1246"/>
      <c r="G42" s="1589" t="e">
        <f>T42</f>
        <v>#DIV/0!</v>
      </c>
      <c r="H42" s="1246"/>
      <c r="I42" s="1590" t="e">
        <f>V42</f>
        <v>#DIV/0!</v>
      </c>
      <c r="J42" s="1246"/>
      <c r="K42" s="1337">
        <f>F42+H42+J42</f>
        <v>0</v>
      </c>
      <c r="L42" s="1698"/>
      <c r="M42" s="1287"/>
      <c r="N42" s="1685"/>
      <c r="O42" s="1287"/>
      <c r="P42" s="699" t="str">
        <f>A42</f>
        <v>比较价值（元/平方米）</v>
      </c>
      <c r="Q42" s="699"/>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1524</v>
      </c>
      <c r="B43" s="1249"/>
      <c r="C43" s="1591" t="e">
        <f>R43</f>
        <v>#DIV/0!</v>
      </c>
      <c r="D43" s="1591"/>
      <c r="E43" s="1591"/>
      <c r="F43" s="1591"/>
      <c r="G43" s="1591"/>
      <c r="H43" s="1591"/>
      <c r="I43" s="1591"/>
      <c r="J43" s="1591"/>
      <c r="K43" s="1338"/>
      <c r="L43" s="1698"/>
      <c r="M43" s="1287"/>
      <c r="N43" s="1287"/>
      <c r="O43" s="1287"/>
      <c r="P43" s="1339" t="str">
        <f>A43</f>
        <v>估价对象XX用房的比较价值（楼面单价，元/平方米）</v>
      </c>
      <c r="Q43" s="1376"/>
      <c r="R43" s="1713" t="e">
        <f>IF(F1="售价",ROUND(IF(D42="简单平均",AVERAGE(R42:V42),R42*F42+T42*H42+V42*J42),0),ROUND(IF(D42="简单平均",AVERAGE(R42:V42),R42*F42+T42*H42+V42*J42),1))</f>
        <v>#DIV/0!</v>
      </c>
      <c r="S43" s="1713"/>
      <c r="T43" s="1713"/>
      <c r="U43" s="1713"/>
      <c r="V43" s="1713"/>
      <c r="W43" s="1713"/>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1525</v>
      </c>
      <c r="D46" s="743"/>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1526</v>
      </c>
      <c r="D47" s="742"/>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1527</v>
      </c>
      <c r="D48" s="742"/>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699"/>
      <c r="M48" s="1700"/>
      <c r="N48" s="1700"/>
      <c r="O48" s="1700"/>
    </row>
    <row r="49" s="1126" customFormat="1" spans="1:15">
      <c r="A49" s="1256"/>
      <c r="B49" s="1257"/>
      <c r="C49" s="1592"/>
      <c r="D49" s="1256"/>
      <c r="E49" s="1256"/>
      <c r="F49" s="1256"/>
      <c r="G49" s="1256"/>
      <c r="H49" s="1256"/>
      <c r="I49" s="1256"/>
      <c r="J49" s="1256"/>
      <c r="K49" s="1342"/>
      <c r="L49" s="1699"/>
      <c r="M49" s="1700"/>
      <c r="N49" s="1700"/>
      <c r="O49" s="1700"/>
    </row>
    <row r="50" spans="1:15">
      <c r="A50" s="1251"/>
      <c r="B50" s="1257"/>
      <c r="C50" s="1592"/>
      <c r="D50" s="1251"/>
      <c r="E50" s="1251"/>
      <c r="F50" s="1251"/>
      <c r="G50" s="1251"/>
      <c r="H50" s="1251"/>
      <c r="I50" s="1251"/>
      <c r="J50" s="1251"/>
      <c r="K50" s="1340"/>
      <c r="L50" s="1349"/>
      <c r="M50" s="1287"/>
      <c r="N50" s="1287"/>
      <c r="O50" s="1287"/>
    </row>
    <row r="51" ht="21" spans="1:17">
      <c r="A51" s="1291" t="s">
        <v>1528</v>
      </c>
      <c r="B51" s="1292"/>
      <c r="C51" s="1293"/>
      <c r="D51" s="1293"/>
      <c r="E51" s="1293"/>
      <c r="F51" s="1294"/>
      <c r="G51" s="1294"/>
      <c r="H51" s="1293"/>
      <c r="I51" s="1293"/>
      <c r="J51" s="1293"/>
      <c r="K51" s="1535"/>
      <c r="L51" s="1536"/>
      <c r="M51" s="1352"/>
      <c r="N51" s="1352"/>
      <c r="O51" s="1352"/>
      <c r="P51" s="1701"/>
      <c r="Q51" s="1703"/>
    </row>
    <row r="52" s="1128" customFormat="1" ht="15" spans="1:16">
      <c r="A52" s="1593" t="s">
        <v>1488</v>
      </c>
      <c r="B52" s="1594"/>
      <c r="C52" s="1595" t="str">
        <f>YEAR(C7)&amp;"-"&amp;MONTH(C7)</f>
        <v>2024-9</v>
      </c>
      <c r="D52" s="1596">
        <f>EDATE(C52,-1)</f>
        <v>45505</v>
      </c>
      <c r="E52" s="1596">
        <f t="shared" ref="E52:O52" si="16">EDATE(D52,-1)</f>
        <v>45474</v>
      </c>
      <c r="F52" s="1596">
        <f t="shared" si="16"/>
        <v>45444</v>
      </c>
      <c r="G52" s="1596">
        <f t="shared" si="16"/>
        <v>45413</v>
      </c>
      <c r="H52" s="1596">
        <f t="shared" si="16"/>
        <v>45383</v>
      </c>
      <c r="I52" s="1596">
        <f t="shared" si="16"/>
        <v>45352</v>
      </c>
      <c r="J52" s="1596">
        <f t="shared" si="16"/>
        <v>45323</v>
      </c>
      <c r="K52" s="1596">
        <f t="shared" si="16"/>
        <v>45292</v>
      </c>
      <c r="L52" s="1596">
        <f t="shared" si="16"/>
        <v>45261</v>
      </c>
      <c r="M52" s="1596">
        <f t="shared" si="16"/>
        <v>45231</v>
      </c>
      <c r="N52" s="1596">
        <f t="shared" si="16"/>
        <v>45200</v>
      </c>
      <c r="O52" s="1596">
        <f t="shared" si="16"/>
        <v>45170</v>
      </c>
      <c r="P52" s="1702"/>
    </row>
    <row r="53" s="1123" customFormat="1" ht="15" spans="1:16">
      <c r="A53" s="1597"/>
      <c r="B53" s="1400"/>
      <c r="C53" s="1598">
        <v>100</v>
      </c>
      <c r="D53" s="1404"/>
      <c r="E53" s="1404"/>
      <c r="F53" s="1404"/>
      <c r="G53" s="1404"/>
      <c r="H53" s="1404"/>
      <c r="I53" s="1404"/>
      <c r="J53" s="1404"/>
      <c r="K53" s="1404"/>
      <c r="L53" s="1404"/>
      <c r="M53" s="1605"/>
      <c r="N53" s="1404"/>
      <c r="O53" s="1450"/>
      <c r="P53" s="1703"/>
    </row>
    <row r="54" s="1123" customFormat="1" ht="15.75" spans="1:17">
      <c r="A54" s="1395" t="s">
        <v>1529</v>
      </c>
      <c r="B54" s="1396"/>
      <c r="C54" s="1397"/>
      <c r="D54" s="1398"/>
      <c r="E54" s="1398"/>
      <c r="F54" s="1398"/>
      <c r="G54" s="1398"/>
      <c r="H54" s="1398"/>
      <c r="I54" s="1398"/>
      <c r="J54" s="1398"/>
      <c r="K54" s="1398"/>
      <c r="L54" s="1398"/>
      <c r="M54" s="1444"/>
      <c r="N54" s="1704"/>
      <c r="O54" s="1705"/>
      <c r="P54" s="1703"/>
      <c r="Q54" s="1703"/>
    </row>
    <row r="55" s="1123" customFormat="1" ht="15" spans="1:17">
      <c r="A55" s="1399" t="s">
        <v>1491</v>
      </c>
      <c r="B55" s="1400"/>
      <c r="C55" s="1401" t="s">
        <v>1530</v>
      </c>
      <c r="D55" s="1402"/>
      <c r="E55" s="1402"/>
      <c r="F55" s="1402"/>
      <c r="G55" s="1402"/>
      <c r="H55" s="1402"/>
      <c r="I55" s="1402"/>
      <c r="J55" s="1402"/>
      <c r="K55" s="1402"/>
      <c r="L55" s="1446"/>
      <c r="M55" s="1447"/>
      <c r="N55" s="1706"/>
      <c r="O55" s="1706"/>
      <c r="P55" s="1707"/>
      <c r="Q55" s="1703"/>
    </row>
    <row r="56" s="1123" customFormat="1" ht="15.75" spans="1:17">
      <c r="A56" s="1399"/>
      <c r="B56" s="1400"/>
      <c r="C56" s="1403">
        <v>100</v>
      </c>
      <c r="D56" s="1404"/>
      <c r="E56" s="1404"/>
      <c r="F56" s="1404"/>
      <c r="G56" s="1404"/>
      <c r="H56" s="1404"/>
      <c r="I56" s="1404"/>
      <c r="J56" s="1404"/>
      <c r="K56" s="1404"/>
      <c r="L56" s="1404"/>
      <c r="M56" s="1450"/>
      <c r="N56" s="1706"/>
      <c r="O56" s="1706"/>
      <c r="P56" s="1703"/>
      <c r="Q56" s="1703"/>
    </row>
    <row r="57" spans="1:17">
      <c r="A57" s="1405" t="s">
        <v>1531</v>
      </c>
      <c r="B57" s="1406" t="s">
        <v>1494</v>
      </c>
      <c r="C57" s="1428">
        <f>C9</f>
        <v>0</v>
      </c>
      <c r="D57" s="1333"/>
      <c r="E57" s="1333"/>
      <c r="F57" s="1333"/>
      <c r="G57" s="1333"/>
      <c r="H57" s="1333"/>
      <c r="I57" s="1333"/>
      <c r="J57" s="1333"/>
      <c r="K57" s="1451"/>
      <c r="L57" s="1452"/>
      <c r="M57" s="1453"/>
      <c r="N57" s="1708"/>
      <c r="O57" s="1708"/>
      <c r="P57" s="1709"/>
      <c r="Q57" s="1703"/>
    </row>
    <row r="58" ht="15.75" spans="1:17">
      <c r="A58" s="1407"/>
      <c r="B58" s="1408"/>
      <c r="C58" s="1409">
        <v>100</v>
      </c>
      <c r="D58" s="1409"/>
      <c r="E58" s="1409"/>
      <c r="F58" s="1409"/>
      <c r="G58" s="1409"/>
      <c r="H58" s="1409"/>
      <c r="I58" s="1409"/>
      <c r="J58" s="1409"/>
      <c r="K58" s="1409"/>
      <c r="L58" s="1409"/>
      <c r="M58" s="1456"/>
      <c r="N58" s="1710"/>
      <c r="O58" s="1710"/>
      <c r="P58" s="1709"/>
      <c r="Q58" s="1703"/>
    </row>
    <row r="59" ht="27.75" spans="1:17">
      <c r="A59" s="1407"/>
      <c r="B59" s="1410" t="s">
        <v>1497</v>
      </c>
      <c r="C59" s="1435"/>
      <c r="D59" s="1435"/>
      <c r="E59" s="1435"/>
      <c r="F59" s="1435"/>
      <c r="G59" s="1435"/>
      <c r="H59" s="1435"/>
      <c r="I59" s="1435"/>
      <c r="J59" s="1435"/>
      <c r="K59" s="1484"/>
      <c r="L59" s="1485"/>
      <c r="M59" s="1486"/>
      <c r="N59" s="1708"/>
      <c r="O59" s="1708"/>
      <c r="P59" s="1709"/>
      <c r="Q59" s="1703"/>
    </row>
    <row r="60" ht="15.75" spans="1:17">
      <c r="A60" s="1407"/>
      <c r="B60" s="1412"/>
      <c r="C60" s="1409"/>
      <c r="D60" s="1409"/>
      <c r="E60" s="1409"/>
      <c r="F60" s="1409"/>
      <c r="G60" s="1409"/>
      <c r="H60" s="1409"/>
      <c r="I60" s="1409"/>
      <c r="J60" s="1409"/>
      <c r="K60" s="1409"/>
      <c r="L60" s="1409"/>
      <c r="M60" s="1456"/>
      <c r="N60" s="1710"/>
      <c r="O60" s="1710"/>
      <c r="P60" s="1709"/>
      <c r="Q60" s="1703"/>
    </row>
    <row r="61" ht="15.75" spans="1:17">
      <c r="A61" s="1407"/>
      <c r="B61" s="1414" t="s">
        <v>1498</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0"/>
      <c r="O61" s="1710"/>
      <c r="P61" s="1709"/>
      <c r="Q61" s="1703"/>
    </row>
    <row r="62" ht="15" spans="1:17">
      <c r="A62" s="1407"/>
      <c r="B62" s="1416"/>
      <c r="C62" s="1182">
        <v>0</v>
      </c>
      <c r="D62" s="1182">
        <v>2</v>
      </c>
      <c r="E62" s="1182"/>
      <c r="F62" s="1182"/>
      <c r="G62" s="1182"/>
      <c r="H62" s="1182"/>
      <c r="I62" s="1182"/>
      <c r="J62" s="1182"/>
      <c r="K62" s="1462"/>
      <c r="L62" s="1463"/>
      <c r="M62" s="1464"/>
      <c r="N62" s="1708"/>
      <c r="O62" s="1708"/>
      <c r="P62" s="1709"/>
      <c r="Q62" s="1703"/>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1">
        <f t="shared" si="18"/>
        <v>100</v>
      </c>
      <c r="N63" s="1710"/>
      <c r="O63" s="1710"/>
      <c r="P63" s="1709"/>
      <c r="Q63" s="1703"/>
    </row>
    <row r="64" s="1125" customFormat="1" ht="15.75" spans="1:17">
      <c r="A64" s="1417"/>
      <c r="B64" s="1410">
        <f>B12</f>
        <v>111</v>
      </c>
      <c r="C64" s="1418"/>
      <c r="D64" s="1418"/>
      <c r="E64" s="1418"/>
      <c r="F64" s="1418"/>
      <c r="G64" s="1418"/>
      <c r="H64" s="1419"/>
      <c r="I64" s="1419"/>
      <c r="J64" s="1419"/>
      <c r="K64" s="1419"/>
      <c r="L64" s="1465"/>
      <c r="M64" s="1466"/>
      <c r="N64" s="1711"/>
      <c r="O64" s="1711"/>
      <c r="P64" s="1712"/>
      <c r="Q64" s="1714"/>
    </row>
    <row r="65" s="1125" customFormat="1" ht="15.75" spans="1:17">
      <c r="A65" s="1417"/>
      <c r="B65" s="1412"/>
      <c r="C65" s="1420"/>
      <c r="D65" s="1409"/>
      <c r="E65" s="1409"/>
      <c r="F65" s="1409"/>
      <c r="G65" s="1409"/>
      <c r="H65" s="1409"/>
      <c r="I65" s="1409"/>
      <c r="J65" s="1409"/>
      <c r="K65" s="1409"/>
      <c r="L65" s="1409"/>
      <c r="M65" s="1456"/>
      <c r="N65" s="1710"/>
      <c r="O65" s="1710"/>
      <c r="P65" s="1712"/>
      <c r="Q65" s="1714"/>
    </row>
    <row r="66" s="1125" customFormat="1" ht="15.75" spans="1:17">
      <c r="A66" s="1417"/>
      <c r="B66" s="1410">
        <f>B13</f>
        <v>111</v>
      </c>
      <c r="C66" s="1418"/>
      <c r="D66" s="1418"/>
      <c r="E66" s="1418"/>
      <c r="F66" s="1418"/>
      <c r="G66" s="1418"/>
      <c r="H66" s="1419"/>
      <c r="I66" s="1419"/>
      <c r="J66" s="1419"/>
      <c r="K66" s="1419"/>
      <c r="L66" s="1465"/>
      <c r="M66" s="1466"/>
      <c r="N66" s="1711"/>
      <c r="O66" s="1711"/>
      <c r="P66" s="1716"/>
      <c r="Q66" s="1720"/>
    </row>
    <row r="67" s="1125" customFormat="1" ht="15.75" spans="1:17">
      <c r="A67" s="1417"/>
      <c r="B67" s="1412"/>
      <c r="C67" s="1420"/>
      <c r="D67" s="1409"/>
      <c r="E67" s="1409"/>
      <c r="F67" s="1409"/>
      <c r="G67" s="1420"/>
      <c r="H67" s="1421"/>
      <c r="I67" s="1421"/>
      <c r="J67" s="1421"/>
      <c r="K67" s="1421"/>
      <c r="L67" s="1421"/>
      <c r="M67" s="1469"/>
      <c r="N67" s="1711"/>
      <c r="O67" s="1711"/>
      <c r="P67" s="1712"/>
      <c r="Q67" s="1714"/>
    </row>
    <row r="68" s="1125" customFormat="1" ht="15.75" spans="1:17">
      <c r="A68" s="1417"/>
      <c r="B68" s="1414">
        <f>B14</f>
        <v>111</v>
      </c>
      <c r="C68" s="1402"/>
      <c r="D68" s="1402"/>
      <c r="E68" s="1402"/>
      <c r="F68" s="1402"/>
      <c r="G68" s="1402"/>
      <c r="H68" s="1422"/>
      <c r="I68" s="1422"/>
      <c r="J68" s="1422"/>
      <c r="K68" s="1422"/>
      <c r="L68" s="1470"/>
      <c r="M68" s="1471"/>
      <c r="N68" s="1711"/>
      <c r="O68" s="1711"/>
      <c r="P68" s="1717"/>
      <c r="Q68" s="1714"/>
    </row>
    <row r="69" s="1125" customFormat="1" ht="15.75" spans="1:17">
      <c r="A69" s="1423"/>
      <c r="B69" s="1424"/>
      <c r="C69" s="1425"/>
      <c r="D69" s="1425"/>
      <c r="E69" s="1425"/>
      <c r="F69" s="1425"/>
      <c r="G69" s="1425"/>
      <c r="H69" s="1426"/>
      <c r="I69" s="1426"/>
      <c r="J69" s="1426"/>
      <c r="K69" s="1426"/>
      <c r="L69" s="1426"/>
      <c r="M69" s="1473"/>
      <c r="N69" s="1711"/>
      <c r="O69" s="1711"/>
      <c r="P69" s="1712"/>
      <c r="Q69" s="1714"/>
    </row>
    <row r="70" spans="1:17">
      <c r="A70" s="1405" t="s">
        <v>1499</v>
      </c>
      <c r="B70" s="1406" t="s">
        <v>1582</v>
      </c>
      <c r="C70" s="1427" t="s">
        <v>1532</v>
      </c>
      <c r="D70" s="1427" t="s">
        <v>1533</v>
      </c>
      <c r="E70" s="1427" t="s">
        <v>1534</v>
      </c>
      <c r="F70" s="1427" t="s">
        <v>1535</v>
      </c>
      <c r="G70" s="1427" t="s">
        <v>1536</v>
      </c>
      <c r="H70" s="1428"/>
      <c r="I70" s="1428"/>
      <c r="J70" s="1428"/>
      <c r="K70" s="1474"/>
      <c r="L70" s="1475"/>
      <c r="M70" s="1476"/>
      <c r="N70" s="1708"/>
      <c r="O70" s="1708"/>
      <c r="P70" s="1718"/>
      <c r="Q70" s="1703"/>
    </row>
    <row r="71" ht="15.75" spans="1:17">
      <c r="A71" s="1407"/>
      <c r="B71" s="1412"/>
      <c r="C71" s="1413">
        <v>100</v>
      </c>
      <c r="D71" s="1413">
        <f>C71-$K15</f>
        <v>100</v>
      </c>
      <c r="E71" s="1413">
        <f>D71-$K15</f>
        <v>100</v>
      </c>
      <c r="F71" s="1413">
        <f>E71-$K15</f>
        <v>100</v>
      </c>
      <c r="G71" s="1413">
        <f>F71-$K15</f>
        <v>100</v>
      </c>
      <c r="H71" s="1413"/>
      <c r="I71" s="1413"/>
      <c r="J71" s="1413"/>
      <c r="K71" s="1413"/>
      <c r="L71" s="1413"/>
      <c r="M71" s="1461"/>
      <c r="N71" s="1710"/>
      <c r="O71" s="1710"/>
      <c r="P71" s="1709"/>
      <c r="Q71" s="1703"/>
    </row>
    <row r="72" ht="15.75" spans="1:17">
      <c r="A72" s="1407"/>
      <c r="B72" s="1410" t="s">
        <v>1502</v>
      </c>
      <c r="C72" s="1429" t="s">
        <v>1532</v>
      </c>
      <c r="D72" s="1429" t="s">
        <v>1533</v>
      </c>
      <c r="E72" s="1429" t="s">
        <v>1534</v>
      </c>
      <c r="F72" s="1429" t="s">
        <v>1535</v>
      </c>
      <c r="G72" s="1429" t="s">
        <v>1536</v>
      </c>
      <c r="H72" s="1411"/>
      <c r="I72" s="1411"/>
      <c r="J72" s="1411"/>
      <c r="K72" s="1458"/>
      <c r="L72" s="1459"/>
      <c r="M72" s="1460"/>
      <c r="N72" s="1708"/>
      <c r="O72" s="1708"/>
      <c r="P72" s="1709"/>
      <c r="Q72" s="1703"/>
    </row>
    <row r="73" ht="15.75" spans="1:17">
      <c r="A73" s="1407"/>
      <c r="B73" s="1412"/>
      <c r="C73" s="1413">
        <v>100</v>
      </c>
      <c r="D73" s="1413">
        <f>C73-$K17</f>
        <v>100</v>
      </c>
      <c r="E73" s="1413">
        <f>D73-$K17</f>
        <v>100</v>
      </c>
      <c r="F73" s="1413">
        <f>E73-$K17</f>
        <v>100</v>
      </c>
      <c r="G73" s="1413">
        <f>F73-$K17</f>
        <v>100</v>
      </c>
      <c r="H73" s="1413"/>
      <c r="I73" s="1413"/>
      <c r="J73" s="1413"/>
      <c r="K73" s="1413"/>
      <c r="L73" s="1413"/>
      <c r="M73" s="1461"/>
      <c r="N73" s="1710"/>
      <c r="O73" s="1710"/>
      <c r="P73" s="1709"/>
      <c r="Q73" s="1703"/>
    </row>
    <row r="74" ht="15.75" spans="1:17">
      <c r="A74" s="1407"/>
      <c r="B74" s="1410" t="s">
        <v>1503</v>
      </c>
      <c r="C74" s="1429" t="s">
        <v>1532</v>
      </c>
      <c r="D74" s="1429" t="s">
        <v>1533</v>
      </c>
      <c r="E74" s="1429" t="s">
        <v>1534</v>
      </c>
      <c r="F74" s="1429" t="s">
        <v>1535</v>
      </c>
      <c r="G74" s="1429" t="s">
        <v>1536</v>
      </c>
      <c r="H74" s="1411"/>
      <c r="I74" s="1411"/>
      <c r="J74" s="1411"/>
      <c r="K74" s="1458"/>
      <c r="L74" s="1459"/>
      <c r="M74" s="1460"/>
      <c r="N74" s="1708"/>
      <c r="O74" s="1708"/>
      <c r="P74" s="1709"/>
      <c r="Q74" s="1703"/>
    </row>
    <row r="75" ht="15.75" spans="1:17">
      <c r="A75" s="1407"/>
      <c r="B75" s="1412"/>
      <c r="C75" s="1413">
        <v>100</v>
      </c>
      <c r="D75" s="1413">
        <f>C75-$K19</f>
        <v>100</v>
      </c>
      <c r="E75" s="1413">
        <f>D75-$K19</f>
        <v>100</v>
      </c>
      <c r="F75" s="1413">
        <f>E75-$K19</f>
        <v>100</v>
      </c>
      <c r="G75" s="1413">
        <f>F75-$K19</f>
        <v>100</v>
      </c>
      <c r="H75" s="1413"/>
      <c r="I75" s="1413"/>
      <c r="J75" s="1413"/>
      <c r="K75" s="1413"/>
      <c r="L75" s="1413"/>
      <c r="M75" s="1461"/>
      <c r="N75" s="1710"/>
      <c r="O75" s="1710"/>
      <c r="P75" s="1709"/>
      <c r="Q75" s="1703"/>
    </row>
    <row r="76" ht="15.75" spans="1:17">
      <c r="A76" s="1407"/>
      <c r="B76" s="1414" t="s">
        <v>1504</v>
      </c>
      <c r="C76" s="1434" t="s">
        <v>1537</v>
      </c>
      <c r="D76" s="1434" t="s">
        <v>1538</v>
      </c>
      <c r="E76" s="1434" t="s">
        <v>1539</v>
      </c>
      <c r="F76" s="1434" t="s">
        <v>1540</v>
      </c>
      <c r="G76" s="1434" t="s">
        <v>1541</v>
      </c>
      <c r="H76" s="1411"/>
      <c r="I76" s="1411"/>
      <c r="J76" s="1411"/>
      <c r="K76" s="1411"/>
      <c r="L76" s="1411"/>
      <c r="M76" s="1611"/>
      <c r="N76" s="1710"/>
      <c r="O76" s="1710"/>
      <c r="P76" s="1709"/>
      <c r="Q76" s="1703"/>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0"/>
      <c r="O77" s="1710"/>
      <c r="P77" s="1709"/>
      <c r="Q77" s="1703"/>
    </row>
    <row r="78" ht="15.75" spans="1:17">
      <c r="A78" s="1407"/>
      <c r="B78" s="1410" t="s">
        <v>1576</v>
      </c>
      <c r="C78" s="1429" t="s">
        <v>1532</v>
      </c>
      <c r="D78" s="1429" t="s">
        <v>1533</v>
      </c>
      <c r="E78" s="1429" t="s">
        <v>1534</v>
      </c>
      <c r="F78" s="1429" t="s">
        <v>1535</v>
      </c>
      <c r="G78" s="1429" t="s">
        <v>1536</v>
      </c>
      <c r="H78" s="1411"/>
      <c r="I78" s="1411"/>
      <c r="J78" s="1411"/>
      <c r="K78" s="1458"/>
      <c r="L78" s="1459"/>
      <c r="M78" s="1460"/>
      <c r="N78" s="1708"/>
      <c r="O78" s="1708"/>
      <c r="P78" s="1709"/>
      <c r="Q78" s="1703"/>
    </row>
    <row r="79" ht="15.75" spans="1:17">
      <c r="A79" s="1407"/>
      <c r="B79" s="1412"/>
      <c r="C79" s="1413">
        <v>100</v>
      </c>
      <c r="D79" s="1413">
        <f>C79-$K23</f>
        <v>100</v>
      </c>
      <c r="E79" s="1413">
        <f>D79-$K23</f>
        <v>100</v>
      </c>
      <c r="F79" s="1413">
        <f>E79-$K23</f>
        <v>100</v>
      </c>
      <c r="G79" s="1413">
        <f>F79-$K23</f>
        <v>100</v>
      </c>
      <c r="H79" s="1413"/>
      <c r="I79" s="1413"/>
      <c r="J79" s="1413"/>
      <c r="K79" s="1413"/>
      <c r="L79" s="1413"/>
      <c r="M79" s="1461"/>
      <c r="N79" s="1710"/>
      <c r="O79" s="1710"/>
      <c r="P79" s="1709"/>
      <c r="Q79" s="1703"/>
    </row>
    <row r="80" s="1123" customFormat="1" ht="15.75" spans="1:17">
      <c r="A80" s="1430"/>
      <c r="B80" s="1410">
        <f>B25</f>
        <v>111</v>
      </c>
      <c r="C80" s="1418"/>
      <c r="D80" s="1418"/>
      <c r="E80" s="1418"/>
      <c r="F80" s="1418"/>
      <c r="G80" s="1418"/>
      <c r="H80" s="1418"/>
      <c r="I80" s="1418"/>
      <c r="J80" s="1418"/>
      <c r="K80" s="1418"/>
      <c r="L80" s="1612"/>
      <c r="M80" s="1613"/>
      <c r="N80" s="1706"/>
      <c r="O80" s="1706"/>
      <c r="P80" s="1709"/>
      <c r="Q80" s="1703"/>
    </row>
    <row r="81" s="1123" customFormat="1" ht="15.75" spans="1:17">
      <c r="A81" s="1430"/>
      <c r="B81" s="1412"/>
      <c r="C81" s="1420"/>
      <c r="D81" s="1409"/>
      <c r="E81" s="1409"/>
      <c r="F81" s="1409"/>
      <c r="G81" s="1409"/>
      <c r="H81" s="1409"/>
      <c r="I81" s="1409"/>
      <c r="J81" s="1409"/>
      <c r="K81" s="1409"/>
      <c r="L81" s="1409"/>
      <c r="M81" s="1456"/>
      <c r="N81" s="1710"/>
      <c r="O81" s="1710"/>
      <c r="P81" s="1709"/>
      <c r="Q81" s="1703"/>
    </row>
    <row r="82" s="1123" customFormat="1" ht="15.75" spans="1:17">
      <c r="A82" s="1430"/>
      <c r="B82" s="1410">
        <f>B26</f>
        <v>111</v>
      </c>
      <c r="C82" s="1418"/>
      <c r="D82" s="1418"/>
      <c r="E82" s="1418"/>
      <c r="F82" s="1418"/>
      <c r="G82" s="1418"/>
      <c r="H82" s="1418"/>
      <c r="I82" s="1418"/>
      <c r="J82" s="1418"/>
      <c r="K82" s="1418"/>
      <c r="L82" s="1612"/>
      <c r="M82" s="1613"/>
      <c r="N82" s="1706"/>
      <c r="O82" s="1706"/>
      <c r="P82" s="1709"/>
      <c r="Q82" s="1703"/>
    </row>
    <row r="83" s="1123" customFormat="1" ht="15.75" spans="1:17">
      <c r="A83" s="1430"/>
      <c r="B83" s="1412"/>
      <c r="C83" s="1420"/>
      <c r="D83" s="1409"/>
      <c r="E83" s="1409"/>
      <c r="F83" s="1409"/>
      <c r="G83" s="1409"/>
      <c r="H83" s="1409"/>
      <c r="I83" s="1409"/>
      <c r="J83" s="1409"/>
      <c r="K83" s="1409"/>
      <c r="L83" s="1409"/>
      <c r="M83" s="1456"/>
      <c r="N83" s="1710"/>
      <c r="O83" s="1710"/>
      <c r="P83" s="1709"/>
      <c r="Q83" s="1703"/>
    </row>
    <row r="84" s="1125" customFormat="1" ht="15.75" spans="1:17">
      <c r="A84" s="1417"/>
      <c r="B84" s="1410">
        <f>B27</f>
        <v>111</v>
      </c>
      <c r="C84" s="1418"/>
      <c r="D84" s="1418"/>
      <c r="E84" s="1418"/>
      <c r="F84" s="1418"/>
      <c r="G84" s="1418"/>
      <c r="H84" s="1418"/>
      <c r="I84" s="1418"/>
      <c r="J84" s="1418"/>
      <c r="K84" s="1418"/>
      <c r="L84" s="1612"/>
      <c r="M84" s="1613"/>
      <c r="N84" s="1711"/>
      <c r="O84" s="1711"/>
      <c r="P84" s="1712"/>
      <c r="Q84" s="1714"/>
    </row>
    <row r="85" s="1125" customFormat="1" ht="15.75" spans="1:17">
      <c r="A85" s="1417"/>
      <c r="B85" s="1412"/>
      <c r="C85" s="1420"/>
      <c r="D85" s="1409"/>
      <c r="E85" s="1409"/>
      <c r="F85" s="1409"/>
      <c r="G85" s="1409"/>
      <c r="H85" s="1409"/>
      <c r="I85" s="1409"/>
      <c r="J85" s="1409"/>
      <c r="K85" s="1409"/>
      <c r="L85" s="1409"/>
      <c r="M85" s="1456"/>
      <c r="N85" s="1711"/>
      <c r="O85" s="1711"/>
      <c r="P85" s="1712"/>
      <c r="Q85" s="1714"/>
    </row>
    <row r="86" ht="15.75" spans="1:17">
      <c r="A86" s="1407"/>
      <c r="B86" s="1414">
        <f>B28</f>
        <v>111</v>
      </c>
      <c r="C86" s="1402"/>
      <c r="D86" s="1402"/>
      <c r="E86" s="1402"/>
      <c r="F86" s="1402"/>
      <c r="G86" s="1436"/>
      <c r="H86" s="1436"/>
      <c r="I86" s="1436"/>
      <c r="J86" s="1436"/>
      <c r="K86" s="1487"/>
      <c r="L86" s="1488"/>
      <c r="M86" s="1489"/>
      <c r="N86" s="1708"/>
      <c r="O86" s="1708"/>
      <c r="P86" s="1709"/>
      <c r="Q86" s="1703"/>
    </row>
    <row r="87" ht="15.75" spans="1:17">
      <c r="A87" s="1715"/>
      <c r="B87" s="1424"/>
      <c r="C87" s="1425"/>
      <c r="D87" s="1425"/>
      <c r="E87" s="1425"/>
      <c r="F87" s="1425"/>
      <c r="G87" s="1437"/>
      <c r="H87" s="1437"/>
      <c r="I87" s="1437"/>
      <c r="J87" s="1437"/>
      <c r="K87" s="1437"/>
      <c r="L87" s="1437"/>
      <c r="M87" s="1490"/>
      <c r="N87" s="1710"/>
      <c r="O87" s="1710"/>
      <c r="P87" s="1709"/>
      <c r="Q87" s="1703"/>
    </row>
    <row r="88" spans="1:17">
      <c r="A88" s="1405" t="s">
        <v>1508</v>
      </c>
      <c r="B88" s="1406" t="s">
        <v>1509</v>
      </c>
      <c r="C88" s="1333"/>
      <c r="D88" s="1333"/>
      <c r="E88" s="1333"/>
      <c r="F88" s="1333"/>
      <c r="G88" s="1333"/>
      <c r="H88" s="1333"/>
      <c r="I88" s="1333"/>
      <c r="J88" s="1333"/>
      <c r="K88" s="1451"/>
      <c r="L88" s="1452"/>
      <c r="M88" s="1453"/>
      <c r="N88" s="1708"/>
      <c r="O88" s="1708"/>
      <c r="P88" s="1709"/>
      <c r="Q88" s="1703"/>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1">
        <f t="shared" si="19"/>
        <v>100</v>
      </c>
      <c r="N89" s="1710"/>
      <c r="O89" s="1710"/>
      <c r="P89" s="1709"/>
      <c r="Q89" s="1703"/>
    </row>
    <row r="90" ht="15.75" spans="1:17">
      <c r="A90" s="1407"/>
      <c r="B90" s="1410" t="s">
        <v>1511</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79" t="str">
        <f>M91&amp;"(含)"&amp;"-"&amp;P91</f>
        <v>(含)-</v>
      </c>
      <c r="N90" s="1706"/>
      <c r="O90" s="1706"/>
      <c r="P90" s="1709"/>
      <c r="Q90" s="1703"/>
    </row>
    <row r="91" s="1125" customFormat="1" ht="15" spans="1:17">
      <c r="A91" s="1438"/>
      <c r="B91" s="1439"/>
      <c r="C91" s="1394"/>
      <c r="D91" s="1394"/>
      <c r="E91" s="1394"/>
      <c r="F91" s="1394"/>
      <c r="G91" s="1394"/>
      <c r="H91" s="1394"/>
      <c r="I91" s="1394"/>
      <c r="J91" s="1491"/>
      <c r="K91" s="1491"/>
      <c r="L91" s="1492"/>
      <c r="M91" s="1493"/>
      <c r="N91" s="1711"/>
      <c r="O91" s="1711"/>
      <c r="P91" s="1712"/>
      <c r="Q91" s="1714"/>
    </row>
    <row r="92" s="1125" customFormat="1" ht="15.75" spans="1:17">
      <c r="A92" s="1417"/>
      <c r="B92" s="1412"/>
      <c r="C92" s="1420"/>
      <c r="D92" s="1409"/>
      <c r="E92" s="1409"/>
      <c r="F92" s="1409"/>
      <c r="G92" s="1409"/>
      <c r="H92" s="1409"/>
      <c r="I92" s="1409"/>
      <c r="J92" s="1409"/>
      <c r="K92" s="1409"/>
      <c r="L92" s="1409"/>
      <c r="M92" s="1456"/>
      <c r="N92" s="1710"/>
      <c r="O92" s="1710"/>
      <c r="P92" s="1712"/>
      <c r="Q92" s="1714"/>
    </row>
    <row r="93" ht="15.75" spans="1:17">
      <c r="A93" s="1441"/>
      <c r="B93" s="1410" t="s">
        <v>1512</v>
      </c>
      <c r="C93" s="1418"/>
      <c r="D93" s="1418"/>
      <c r="E93" s="1435"/>
      <c r="F93" s="1435"/>
      <c r="G93" s="1435"/>
      <c r="H93" s="1435"/>
      <c r="I93" s="1435"/>
      <c r="J93" s="1435"/>
      <c r="K93" s="1484"/>
      <c r="L93" s="1485"/>
      <c r="M93" s="1486"/>
      <c r="N93" s="1708"/>
      <c r="O93" s="1708"/>
      <c r="P93" s="1709"/>
      <c r="Q93" s="1703"/>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1">
        <f t="shared" si="21"/>
        <v>100</v>
      </c>
      <c r="N94" s="1710"/>
      <c r="O94" s="1710"/>
      <c r="P94" s="1709"/>
      <c r="Q94" s="1703"/>
    </row>
    <row r="95" ht="15.75" spans="1:17">
      <c r="A95" s="1441"/>
      <c r="B95" s="1410" t="s">
        <v>1514</v>
      </c>
      <c r="C95" s="1418"/>
      <c r="D95" s="1418"/>
      <c r="E95" s="1418"/>
      <c r="F95" s="1435"/>
      <c r="G95" s="1435"/>
      <c r="H95" s="1435"/>
      <c r="I95" s="1435"/>
      <c r="J95" s="1435"/>
      <c r="K95" s="1484"/>
      <c r="L95" s="1485"/>
      <c r="M95" s="1486"/>
      <c r="N95" s="1708"/>
      <c r="O95" s="1708"/>
      <c r="P95" s="1709"/>
      <c r="Q95" s="1703"/>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1">
        <f t="shared" si="22"/>
        <v>100</v>
      </c>
      <c r="N96" s="1710"/>
      <c r="O96" s="1710"/>
      <c r="P96" s="1709"/>
      <c r="Q96" s="1703"/>
    </row>
    <row r="97" ht="15.75" spans="1:17">
      <c r="A97" s="1441"/>
      <c r="B97" s="1410" t="s">
        <v>634</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4"/>
      <c r="L97" s="1485"/>
      <c r="M97" s="1486"/>
      <c r="N97" s="1708"/>
      <c r="O97" s="1708"/>
      <c r="P97" s="1709"/>
      <c r="Q97" s="1703"/>
    </row>
    <row r="98" ht="15" spans="1:17">
      <c r="A98" s="1441"/>
      <c r="B98" s="1414"/>
      <c r="C98" s="878">
        <v>0.5</v>
      </c>
      <c r="D98" s="878">
        <v>0.6</v>
      </c>
      <c r="E98" s="878">
        <v>0.7</v>
      </c>
      <c r="F98" s="878">
        <v>0.8</v>
      </c>
      <c r="G98" s="878">
        <v>0.9</v>
      </c>
      <c r="H98" s="878">
        <v>1.0001</v>
      </c>
      <c r="I98" s="1673"/>
      <c r="J98" s="1673"/>
      <c r="K98" s="1674"/>
      <c r="L98" s="1675"/>
      <c r="M98" s="1676"/>
      <c r="N98" s="1708"/>
      <c r="O98" s="1708"/>
      <c r="P98" s="1709"/>
      <c r="Q98" s="1703"/>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0"/>
      <c r="O99" s="1710"/>
      <c r="P99" s="1709"/>
      <c r="Q99" s="1703"/>
    </row>
    <row r="100" s="1125" customFormat="1" ht="15.75" spans="1:17">
      <c r="A100" s="1438"/>
      <c r="B100" s="1410" t="s">
        <v>1515</v>
      </c>
      <c r="C100" s="1418"/>
      <c r="D100" s="1418"/>
      <c r="E100" s="1418"/>
      <c r="F100" s="1418"/>
      <c r="G100" s="1418"/>
      <c r="H100" s="1435"/>
      <c r="I100" s="1435"/>
      <c r="J100" s="1435"/>
      <c r="K100" s="1484"/>
      <c r="L100" s="1485"/>
      <c r="M100" s="1486"/>
      <c r="N100" s="1711"/>
      <c r="O100" s="1711"/>
      <c r="P100" s="1712"/>
      <c r="Q100" s="1714"/>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1"/>
      <c r="O101" s="1711"/>
      <c r="P101" s="1712"/>
      <c r="Q101" s="1714"/>
    </row>
    <row r="102" ht="15.75" spans="1:17">
      <c r="A102" s="1441"/>
      <c r="B102" s="1410" t="s">
        <v>1516</v>
      </c>
      <c r="C102" s="1418"/>
      <c r="D102" s="1418"/>
      <c r="E102" s="1418"/>
      <c r="F102" s="1418"/>
      <c r="G102" s="1418"/>
      <c r="H102" s="1435"/>
      <c r="I102" s="1435"/>
      <c r="J102" s="1435"/>
      <c r="K102" s="1484"/>
      <c r="L102" s="1485"/>
      <c r="M102" s="1486"/>
      <c r="N102" s="1708"/>
      <c r="O102" s="1708"/>
      <c r="P102" s="1709"/>
      <c r="Q102" s="1703"/>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1">
        <f t="shared" si="25"/>
        <v>100</v>
      </c>
      <c r="N103" s="1710"/>
      <c r="O103" s="1710"/>
      <c r="P103" s="1709"/>
      <c r="Q103" s="1703"/>
    </row>
    <row r="104" ht="15.75" spans="1:17">
      <c r="A104" s="1441"/>
      <c r="B104" s="1410" t="s">
        <v>1519</v>
      </c>
      <c r="C104" s="1418"/>
      <c r="D104" s="1418"/>
      <c r="E104" s="1418"/>
      <c r="F104" s="1418"/>
      <c r="G104" s="1418"/>
      <c r="H104" s="1435"/>
      <c r="I104" s="1435"/>
      <c r="J104" s="1435"/>
      <c r="K104" s="1484"/>
      <c r="L104" s="1485"/>
      <c r="M104" s="1486"/>
      <c r="N104" s="1708"/>
      <c r="O104" s="1708"/>
      <c r="P104" s="1709"/>
      <c r="Q104" s="1703"/>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1"/>
      <c r="N105" s="1710"/>
      <c r="O105" s="1710"/>
      <c r="P105" s="1709"/>
      <c r="Q105" s="1703"/>
    </row>
    <row r="106" ht="15.75" spans="1:17">
      <c r="A106" s="1441"/>
      <c r="B106" s="1609" t="s">
        <v>1584</v>
      </c>
      <c r="C106" s="1429" t="s">
        <v>1532</v>
      </c>
      <c r="D106" s="1429" t="s">
        <v>1533</v>
      </c>
      <c r="E106" s="1429" t="s">
        <v>1534</v>
      </c>
      <c r="F106" s="1429" t="s">
        <v>1535</v>
      </c>
      <c r="G106" s="1429" t="s">
        <v>1536</v>
      </c>
      <c r="H106" s="1411"/>
      <c r="I106" s="1411"/>
      <c r="J106" s="1411"/>
      <c r="K106" s="1458"/>
      <c r="L106" s="1459"/>
      <c r="M106" s="1460"/>
      <c r="N106" s="1710"/>
      <c r="O106" s="1710"/>
      <c r="P106" s="1719"/>
      <c r="Q106" s="1721"/>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0"/>
      <c r="O107" s="1710"/>
      <c r="P107" s="1709"/>
      <c r="Q107" s="1703"/>
    </row>
    <row r="108" s="1125" customFormat="1" ht="15.75" spans="1:17">
      <c r="A108" s="1438"/>
      <c r="B108" s="1410">
        <f>B38</f>
        <v>111</v>
      </c>
      <c r="C108" s="1418"/>
      <c r="D108" s="1418"/>
      <c r="E108" s="1418"/>
      <c r="F108" s="1418"/>
      <c r="G108" s="1418"/>
      <c r="H108" s="1419"/>
      <c r="I108" s="1419"/>
      <c r="J108" s="1419"/>
      <c r="K108" s="1419"/>
      <c r="L108" s="1465"/>
      <c r="M108" s="1466"/>
      <c r="N108" s="1711"/>
      <c r="O108" s="1711"/>
      <c r="P108" s="1712"/>
      <c r="Q108" s="1714"/>
    </row>
    <row r="109" s="1125" customFormat="1" ht="15.75" spans="1:17">
      <c r="A109" s="1417"/>
      <c r="B109" s="1408"/>
      <c r="C109" s="1420"/>
      <c r="D109" s="1409"/>
      <c r="E109" s="1409"/>
      <c r="F109" s="1409"/>
      <c r="G109" s="1420"/>
      <c r="H109" s="1421"/>
      <c r="I109" s="1421"/>
      <c r="J109" s="1421"/>
      <c r="K109" s="1421"/>
      <c r="L109" s="1421"/>
      <c r="M109" s="1469"/>
      <c r="N109" s="1711"/>
      <c r="O109" s="1711"/>
      <c r="P109" s="1712"/>
      <c r="Q109" s="1714"/>
    </row>
    <row r="110" ht="15.75" spans="1:17">
      <c r="A110" s="1441"/>
      <c r="B110" s="1410">
        <f>B39</f>
        <v>111</v>
      </c>
      <c r="C110" s="1418"/>
      <c r="D110" s="1418"/>
      <c r="E110" s="1418"/>
      <c r="F110" s="1418"/>
      <c r="G110" s="1418"/>
      <c r="H110" s="1419"/>
      <c r="I110" s="1419"/>
      <c r="J110" s="1419"/>
      <c r="K110" s="1419"/>
      <c r="L110" s="1465"/>
      <c r="M110" s="1466"/>
      <c r="N110" s="1708"/>
      <c r="O110" s="1708"/>
      <c r="P110" s="1709"/>
      <c r="Q110" s="1703"/>
    </row>
    <row r="111" ht="15.75" spans="1:17">
      <c r="A111" s="1407"/>
      <c r="B111" s="1412"/>
      <c r="C111" s="1420"/>
      <c r="D111" s="1409"/>
      <c r="E111" s="1409"/>
      <c r="F111" s="1409"/>
      <c r="G111" s="1420"/>
      <c r="H111" s="1421"/>
      <c r="I111" s="1421"/>
      <c r="J111" s="1421"/>
      <c r="K111" s="1421"/>
      <c r="L111" s="1421"/>
      <c r="M111" s="1469"/>
      <c r="N111" s="1710"/>
      <c r="O111" s="1710"/>
      <c r="P111" s="1709"/>
      <c r="Q111" s="1703"/>
    </row>
    <row r="112" ht="15.75" spans="1:17">
      <c r="A112" s="1441"/>
      <c r="B112" s="1414">
        <f>B40</f>
        <v>111</v>
      </c>
      <c r="C112" s="1402"/>
      <c r="D112" s="1402"/>
      <c r="E112" s="1402"/>
      <c r="F112" s="1402"/>
      <c r="G112" s="1436"/>
      <c r="H112" s="1436"/>
      <c r="I112" s="1436"/>
      <c r="J112" s="1436"/>
      <c r="K112" s="1402"/>
      <c r="L112" s="1446"/>
      <c r="M112" s="1489"/>
      <c r="N112" s="1708"/>
      <c r="O112" s="1708"/>
      <c r="P112" s="1709"/>
      <c r="Q112" s="1703"/>
    </row>
    <row r="113" ht="15.75" spans="1:17">
      <c r="A113" s="1715"/>
      <c r="B113" s="1424"/>
      <c r="C113" s="1425"/>
      <c r="D113" s="1425"/>
      <c r="E113" s="1425"/>
      <c r="F113" s="1425"/>
      <c r="G113" s="1437"/>
      <c r="H113" s="1437"/>
      <c r="I113" s="1437"/>
      <c r="J113" s="1437"/>
      <c r="K113" s="1437"/>
      <c r="L113" s="1437"/>
      <c r="M113" s="1490"/>
      <c r="N113" s="1710"/>
      <c r="O113" s="1710"/>
      <c r="P113" s="1709"/>
      <c r="Q113" s="1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估价对象为房地产，为所有。根据《国有土地使用证》[]，估价对象（分摊）出让国有建设用地使用权面积为3800.1平方米，建筑面积为23244.54平方米。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估价对象为房地产,属开发建设的，该项目尚在开发建设中。根据《国有土地使用证》[]，估价对象（分摊）出让国有建设用地使用权面积为3800.1平方米，规划建筑面积为23244.54平方米。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2024年9月4日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本次评估采用的主估价方法为成本法和收益法。</v>
      </c>
    </row>
    <row r="25" ht="18" spans="1:1">
      <c r="A25" s="3626"/>
    </row>
    <row r="26" ht="18.75" spans="1:1">
      <c r="A26" s="3679"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1"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0" customFormat="1" ht="28.5" customHeight="1" spans="1:29">
      <c r="A1" s="1541" t="s">
        <v>1585</v>
      </c>
      <c r="B1" s="1542" t="s">
        <v>1586</v>
      </c>
      <c r="C1" s="1543" t="s">
        <v>1472</v>
      </c>
      <c r="D1" s="1544"/>
      <c r="E1" s="1545"/>
      <c r="F1" s="1546"/>
      <c r="G1" s="1622" t="s">
        <v>1473</v>
      </c>
      <c r="H1" s="1623"/>
      <c r="I1" s="1623"/>
      <c r="J1" s="1623"/>
      <c r="K1" s="1652"/>
      <c r="L1" s="1653"/>
      <c r="M1" s="1654"/>
      <c r="N1" s="1654"/>
      <c r="O1" s="1654"/>
      <c r="P1" s="1655"/>
      <c r="Q1" s="1543"/>
      <c r="R1" s="1543"/>
      <c r="S1" s="1543"/>
      <c r="T1" s="1543"/>
      <c r="U1" s="1543"/>
      <c r="V1" s="1543"/>
      <c r="W1" s="1543"/>
      <c r="X1" s="1543"/>
      <c r="Y1" s="1543"/>
      <c r="Z1" s="1543"/>
      <c r="AA1" s="1543"/>
      <c r="AB1" s="1543"/>
      <c r="AC1" s="1608"/>
    </row>
    <row r="2" s="1122" customFormat="1" ht="28.5" customHeight="1" spans="1:29">
      <c r="A2" s="1549" t="s">
        <v>987</v>
      </c>
      <c r="B2" s="1550" t="b">
        <f ca="1">IF(E1="项目模式",IF(C2="——",IF(B37="元/平方米",ROUND(C39*D3/10000,0),ROUND(F3*C39/10000,0)),IF(B37="元/平方米",ROUND(C39*D3/10000,0),ROUND(F3*C39/10000,0))-D2),IF(E1="单套模式",IF(C2="——",IF(B37="元/平方米",ROUND(C39*D3/10000,0),ROUND(F3*C39/10000,0)),IF(B37="元/平方米",ROUND(C39*D3/10000,0),ROUND(F3*C39/10000,0))-D2)))</f>
        <v>0</v>
      </c>
      <c r="C2" s="1551"/>
      <c r="D2" s="1502" t="e">
        <f ca="1">IF(E1="项目模式",SUMIF(INDIRECT("'"&amp;F2&amp;"'"&amp;"!A:A"),"承租人权益价值",INDIRECT("'"&amp;F2&amp;"'"&amp;"!c:c")),SUMIF(INDIRECT("'"&amp;F2&amp;"'"&amp;"!A:A"),"承租人权益价值（单套）",INDIRECT("'"&amp;F2&amp;"'"&amp;"!c:c")))</f>
        <v>#REF!</v>
      </c>
      <c r="E2" s="1552" t="s">
        <v>988</v>
      </c>
      <c r="F2" s="1553"/>
      <c r="G2" s="1138"/>
      <c r="H2" s="1138"/>
      <c r="I2" s="1138"/>
      <c r="J2" s="1138"/>
      <c r="K2" s="1299"/>
      <c r="L2" s="1300"/>
      <c r="M2" s="1301"/>
      <c r="N2" s="1301"/>
      <c r="O2" s="1301"/>
      <c r="P2" s="1656"/>
      <c r="Q2" s="1298"/>
      <c r="R2" s="1298"/>
      <c r="S2" s="1298"/>
      <c r="T2" s="1298"/>
      <c r="U2" s="1298"/>
      <c r="V2" s="1298"/>
      <c r="W2" s="1298"/>
      <c r="X2" s="1298"/>
      <c r="Y2" s="1298"/>
      <c r="Z2" s="1298"/>
      <c r="AA2" s="1298"/>
      <c r="AB2" s="1298"/>
      <c r="AC2" s="1379"/>
    </row>
    <row r="3" s="1122" customFormat="1" ht="28.5" customHeight="1" spans="1:29">
      <c r="A3" s="396" t="s">
        <v>989</v>
      </c>
      <c r="B3" s="1140" t="e">
        <f ca="1">IF(AND(C2="——",B37="元/平方米"),C39,ROUND(B2*10000/D3,0))</f>
        <v>#DIV/0!</v>
      </c>
      <c r="C3" s="1554" t="s">
        <v>1474</v>
      </c>
      <c r="D3" s="1555">
        <f>SUMIF('数据-汇总表'!$C19:$C33,D1,'数据-汇总表'!$E19:$E33)</f>
        <v>0</v>
      </c>
      <c r="E3" s="1554" t="s">
        <v>1587</v>
      </c>
      <c r="F3" s="1555">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6"/>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3" t="s">
        <v>1486</v>
      </c>
      <c r="D6" s="1504"/>
      <c r="E6" s="1505" t="s">
        <v>1486</v>
      </c>
      <c r="F6" s="1506"/>
      <c r="G6" s="1503" t="s">
        <v>1486</v>
      </c>
      <c r="H6" s="1504"/>
      <c r="I6" s="1503" t="s">
        <v>1486</v>
      </c>
      <c r="J6" s="1504"/>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45539</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1489</v>
      </c>
      <c r="Q7" s="1364"/>
      <c r="R7" s="1365" t="s">
        <v>1490</v>
      </c>
      <c r="S7" s="1366">
        <f t="shared" ref="S7:S14" si="0">F7</f>
        <v>0</v>
      </c>
      <c r="T7" s="1365" t="s">
        <v>1490</v>
      </c>
      <c r="U7" s="1366">
        <f t="shared" ref="U7:U14" si="1">H7</f>
        <v>0</v>
      </c>
      <c r="V7" s="1365" t="s">
        <v>1490</v>
      </c>
      <c r="W7" s="1366">
        <f t="shared" ref="W7:W14"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36" si="3">D8/F8</f>
        <v>1</v>
      </c>
      <c r="AB8" s="1384">
        <f t="shared" ref="AB8:AB36" si="4">D8/H8</f>
        <v>1</v>
      </c>
      <c r="AC8" s="1384">
        <f t="shared" ref="AC8:AC36" si="5">D8/J8</f>
        <v>1</v>
      </c>
    </row>
    <row r="9" s="1123" customFormat="1" spans="1:29">
      <c r="A9" s="1624" t="s">
        <v>1493</v>
      </c>
      <c r="B9" s="1625" t="s">
        <v>1494</v>
      </c>
      <c r="C9" s="1556"/>
      <c r="D9" s="1171">
        <v>100</v>
      </c>
      <c r="E9" s="1557"/>
      <c r="F9" s="1171">
        <f>SUMIF(53:53,E9,54:54)-SUMIF(53:53,C9,54:54)+100</f>
        <v>100</v>
      </c>
      <c r="G9" s="1626"/>
      <c r="H9" s="1171">
        <f>SUMIF(53:53,G9,54:54)-SUMIF(53:53,C9,54:54)+100</f>
        <v>100</v>
      </c>
      <c r="I9" s="1626"/>
      <c r="J9" s="1171">
        <f>SUMIF(53:53,I9,54:54)-SUMIF(53:53,C9,54:54)+100</f>
        <v>100</v>
      </c>
      <c r="K9" s="1308"/>
      <c r="L9" s="1309"/>
      <c r="M9" s="1310"/>
      <c r="N9" s="1310"/>
      <c r="O9" s="1310"/>
      <c r="P9" s="699" t="s">
        <v>1495</v>
      </c>
      <c r="Q9" s="1369" t="str">
        <f t="shared" ref="Q9:Q14" si="6">B9</f>
        <v>用途</v>
      </c>
      <c r="R9" s="1365" t="s">
        <v>1490</v>
      </c>
      <c r="S9" s="1366">
        <f t="shared" si="0"/>
        <v>100</v>
      </c>
      <c r="T9" s="1365" t="s">
        <v>1490</v>
      </c>
      <c r="U9" s="1366">
        <f t="shared" si="1"/>
        <v>100</v>
      </c>
      <c r="V9" s="1365" t="s">
        <v>1490</v>
      </c>
      <c r="W9" s="1366">
        <f t="shared" si="2"/>
        <v>100</v>
      </c>
      <c r="X9" s="1367"/>
      <c r="Y9" s="1369" t="s">
        <v>1496</v>
      </c>
      <c r="Z9" s="1385" t="str">
        <f t="shared" ref="Z9:Z14" si="7">Q9</f>
        <v>用途</v>
      </c>
      <c r="AA9" s="1384">
        <f t="shared" si="3"/>
        <v>1</v>
      </c>
      <c r="AB9" s="1384">
        <f t="shared" si="4"/>
        <v>1</v>
      </c>
      <c r="AC9" s="1384">
        <f t="shared" si="5"/>
        <v>1</v>
      </c>
    </row>
    <row r="10" s="1124" customFormat="1" ht="27" spans="1:29">
      <c r="A10" s="1627"/>
      <c r="B10" s="1628" t="s">
        <v>1497</v>
      </c>
      <c r="C10" s="1559"/>
      <c r="D10" s="1175">
        <v>100</v>
      </c>
      <c r="E10" s="1559"/>
      <c r="F10" s="1175">
        <f>SUMIF(55:55,E10,56:56)-SUMIF(55:55,C10,56:56)+100</f>
        <v>100</v>
      </c>
      <c r="G10" s="1629"/>
      <c r="H10" s="1175">
        <f>SUMIF(55:55,G10,56:56)-SUMIF(55:55,C10,56:56)+100</f>
        <v>100</v>
      </c>
      <c r="I10" s="1559"/>
      <c r="J10" s="1175">
        <f>SUMIF(55:55,I10,56:56)-SUMIF(55:55,C10,56:56)+100</f>
        <v>100</v>
      </c>
      <c r="K10" s="1308"/>
      <c r="L10" s="1314"/>
      <c r="M10" s="1315"/>
      <c r="N10" s="1315"/>
      <c r="O10" s="1315"/>
      <c r="P10" s="699"/>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630"/>
      <c r="B11" s="1631">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699"/>
      <c r="Q11" s="1369">
        <f t="shared" si="6"/>
        <v>111</v>
      </c>
      <c r="R11" s="1365" t="s">
        <v>1490</v>
      </c>
      <c r="S11" s="1366">
        <f t="shared" si="0"/>
        <v>100</v>
      </c>
      <c r="T11" s="1365" t="s">
        <v>1490</v>
      </c>
      <c r="U11" s="1366">
        <f t="shared" si="1"/>
        <v>100</v>
      </c>
      <c r="V11" s="1365" t="s">
        <v>1490</v>
      </c>
      <c r="W11" s="1366">
        <f t="shared" si="2"/>
        <v>100</v>
      </c>
      <c r="X11" s="1367"/>
      <c r="Y11" s="1369"/>
      <c r="Z11" s="1385">
        <f t="shared" si="7"/>
        <v>111</v>
      </c>
      <c r="AA11" s="1384">
        <f t="shared" si="3"/>
        <v>1</v>
      </c>
      <c r="AB11" s="1384">
        <f t="shared" si="4"/>
        <v>1</v>
      </c>
      <c r="AC11" s="1384">
        <f t="shared" si="5"/>
        <v>1</v>
      </c>
    </row>
    <row r="12" s="1123" customFormat="1" ht="15" spans="1:29">
      <c r="A12" s="1632"/>
      <c r="B12" s="1631">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699"/>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75" spans="1:29">
      <c r="A13" s="1633"/>
      <c r="B13" s="1631">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699"/>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81" spans="1:29">
      <c r="A14" s="1142" t="s">
        <v>1499</v>
      </c>
      <c r="B14" s="1191" t="s">
        <v>1502</v>
      </c>
      <c r="C14" s="1192" t="str">
        <f>IF(B1="工业",估价对象房地状况!G4,估价对象房地状况!C6)</f>
        <v>估价对象周边道路状况、公共交通通达情况、停车便捷程度，综合评价交通便捷度较好</v>
      </c>
      <c r="D14" s="1193">
        <v>100</v>
      </c>
      <c r="E14" s="1194"/>
      <c r="F14" s="1563">
        <f>SUMIF(63:63,E15,64:64)-SUMIF(63:63,C15,64:64)+100</f>
        <v>100</v>
      </c>
      <c r="G14" s="1321"/>
      <c r="H14" s="1193">
        <f>SUMIF(63:63,G15,64:64)-SUMIF(63:63,C15,64:64)+100</f>
        <v>100</v>
      </c>
      <c r="I14" s="1194"/>
      <c r="J14" s="1193">
        <f>SUMIF(63:63,I15,64:64)-SUMIF(63:63,C15,64:64)+100</f>
        <v>100</v>
      </c>
      <c r="K14" s="1602"/>
      <c r="L14" s="1320"/>
      <c r="M14" s="1304"/>
      <c r="N14" s="1304"/>
      <c r="O14" s="1304"/>
      <c r="P14" s="1322" t="s">
        <v>1501</v>
      </c>
      <c r="Q14" s="699" t="str">
        <f t="shared" si="6"/>
        <v>交通便捷度</v>
      </c>
      <c r="R14" s="1370" t="s">
        <v>1490</v>
      </c>
      <c r="S14" s="1371">
        <f t="shared" si="0"/>
        <v>100</v>
      </c>
      <c r="T14" s="1370" t="s">
        <v>1490</v>
      </c>
      <c r="U14" s="1371">
        <f t="shared" si="1"/>
        <v>100</v>
      </c>
      <c r="V14" s="1370" t="s">
        <v>1490</v>
      </c>
      <c r="W14" s="1371">
        <f t="shared" si="2"/>
        <v>100</v>
      </c>
      <c r="X14" s="1357"/>
      <c r="Y14" s="1322" t="s">
        <v>1501</v>
      </c>
      <c r="Z14" s="1344" t="str">
        <f t="shared" si="7"/>
        <v>交通便捷度</v>
      </c>
      <c r="AA14" s="1386">
        <f t="shared" si="3"/>
        <v>1</v>
      </c>
      <c r="AB14" s="1386">
        <f t="shared" si="4"/>
        <v>1</v>
      </c>
      <c r="AC14" s="1386">
        <f t="shared" si="5"/>
        <v>1</v>
      </c>
    </row>
    <row r="15" ht="15" spans="1:29">
      <c r="A15" s="1148"/>
      <c r="B15" s="1634"/>
      <c r="C15" s="1196"/>
      <c r="D15" s="1197"/>
      <c r="E15" s="1196"/>
      <c r="F15" s="1564"/>
      <c r="G15" s="1196"/>
      <c r="H15" s="1199"/>
      <c r="I15" s="1196"/>
      <c r="J15" s="1197"/>
      <c r="K15" s="1603"/>
      <c r="L15" s="1320"/>
      <c r="M15" s="1304"/>
      <c r="N15" s="1304"/>
      <c r="O15" s="1304"/>
      <c r="P15" s="1323"/>
      <c r="Q15" s="699"/>
      <c r="R15" s="1370"/>
      <c r="S15" s="1371"/>
      <c r="T15" s="1370"/>
      <c r="U15" s="1371"/>
      <c r="V15" s="1370"/>
      <c r="W15" s="1371"/>
      <c r="X15" s="1357"/>
      <c r="Y15" s="1323"/>
      <c r="Z15" s="1344"/>
      <c r="AA15" s="1386">
        <v>1</v>
      </c>
      <c r="AB15" s="1386">
        <v>1</v>
      </c>
      <c r="AC15" s="1386">
        <v>1</v>
      </c>
    </row>
    <row r="16" ht="40.5" spans="1:29">
      <c r="A16" s="1148"/>
      <c r="B16" s="1200" t="s">
        <v>1503</v>
      </c>
      <c r="C16" s="1201" t="str">
        <f>IF(B1="工业",估价对象房地状况!G5,估价对象房地状况!C7)</f>
        <v>估价对象所在区域公共配套设施齐备情况</v>
      </c>
      <c r="D16" s="1203">
        <v>100</v>
      </c>
      <c r="E16" s="1515"/>
      <c r="F16" s="1565">
        <f>SUMIF(65:65,E17,66:66)-SUMIF(65:65,C17,66:66)+100</f>
        <v>100</v>
      </c>
      <c r="G16" s="1523"/>
      <c r="H16" s="1203">
        <f>SUMIF(65:65,G17,66:66)-SUMIF(65:65,C17,66:66)+100</f>
        <v>100</v>
      </c>
      <c r="I16" s="1515"/>
      <c r="J16" s="1203">
        <f>SUMIF(65:65,I17,66:66)-SUMIF(65:65,C17,66:66)+100</f>
        <v>100</v>
      </c>
      <c r="K16" s="1602"/>
      <c r="L16" s="1320"/>
      <c r="M16" s="1304"/>
      <c r="N16" s="1304"/>
      <c r="O16" s="1304"/>
      <c r="P16" s="1323"/>
      <c r="Q16" s="699" t="str">
        <f>B16</f>
        <v>公共配套设施</v>
      </c>
      <c r="R16" s="1370" t="s">
        <v>1490</v>
      </c>
      <c r="S16" s="1371">
        <f>F16</f>
        <v>100</v>
      </c>
      <c r="T16" s="1370" t="s">
        <v>1490</v>
      </c>
      <c r="U16" s="1371">
        <f>H16</f>
        <v>100</v>
      </c>
      <c r="V16" s="1370" t="s">
        <v>1490</v>
      </c>
      <c r="W16" s="1371">
        <f>J16</f>
        <v>100</v>
      </c>
      <c r="X16" s="1357"/>
      <c r="Y16" s="1323"/>
      <c r="Z16" s="1344" t="str">
        <f>Q16</f>
        <v>公共配套设施</v>
      </c>
      <c r="AA16" s="1386">
        <f t="shared" si="3"/>
        <v>1</v>
      </c>
      <c r="AB16" s="1386">
        <f t="shared" si="4"/>
        <v>1</v>
      </c>
      <c r="AC16" s="1386">
        <f t="shared" si="5"/>
        <v>1</v>
      </c>
    </row>
    <row r="17" ht="15" spans="1:29">
      <c r="A17" s="1148"/>
      <c r="B17" s="1204"/>
      <c r="C17" s="1513"/>
      <c r="D17" s="1197"/>
      <c r="E17" s="1196"/>
      <c r="F17" s="1564"/>
      <c r="G17" s="1196"/>
      <c r="H17" s="1197"/>
      <c r="I17" s="1196"/>
      <c r="J17" s="1197"/>
      <c r="K17" s="1603"/>
      <c r="L17" s="1320"/>
      <c r="M17" s="1304"/>
      <c r="N17" s="1304"/>
      <c r="O17" s="1304"/>
      <c r="P17" s="1323"/>
      <c r="Q17" s="699"/>
      <c r="R17" s="1370"/>
      <c r="S17" s="1371"/>
      <c r="T17" s="1370"/>
      <c r="U17" s="1371"/>
      <c r="V17" s="1370"/>
      <c r="W17" s="1371"/>
      <c r="X17" s="1357"/>
      <c r="Y17" s="1323"/>
      <c r="Z17" s="1344"/>
      <c r="AA17" s="1386">
        <v>1</v>
      </c>
      <c r="AB17" s="1386">
        <v>1</v>
      </c>
      <c r="AC17" s="1386">
        <v>1</v>
      </c>
    </row>
    <row r="18" ht="27" spans="1:29">
      <c r="A18" s="1148"/>
      <c r="B18" s="1207" t="s">
        <v>1504</v>
      </c>
      <c r="C18" s="1201" t="str">
        <f>IF(B1="工业",估价对象房地状况!G6,估价对象房地状况!C8)</f>
        <v>估价对象所在区域基础设施水平</v>
      </c>
      <c r="D18" s="1199">
        <v>100</v>
      </c>
      <c r="E18" s="1202"/>
      <c r="F18" s="1565">
        <f>SUMIF(67:67,E19,68:68)-SUMIF(67:67,C19,68:68)+100</f>
        <v>100</v>
      </c>
      <c r="G18" s="1324"/>
      <c r="H18" s="1203">
        <f>SUMIF(67:67,G19,68:68)-SUMIF(67:67,C19,68:68)+100</f>
        <v>100</v>
      </c>
      <c r="I18" s="1202"/>
      <c r="J18" s="1203">
        <f>SUMIF(67:67,I19,68:68)-SUMIF(67:67,C19,68:68)+100</f>
        <v>100</v>
      </c>
      <c r="K18" s="1602"/>
      <c r="L18" s="1320"/>
      <c r="M18" s="1304"/>
      <c r="N18" s="1304"/>
      <c r="O18" s="1304"/>
      <c r="P18" s="1323"/>
      <c r="Q18" s="699" t="str">
        <f>B18</f>
        <v>基础设施水平</v>
      </c>
      <c r="R18" s="1370" t="s">
        <v>1490</v>
      </c>
      <c r="S18" s="1371">
        <f>F18</f>
        <v>100</v>
      </c>
      <c r="T18" s="1370" t="s">
        <v>1490</v>
      </c>
      <c r="U18" s="1371">
        <f>H18</f>
        <v>100</v>
      </c>
      <c r="V18" s="1370" t="s">
        <v>1490</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3"/>
      <c r="D19" s="1199"/>
      <c r="E19" s="1513"/>
      <c r="F19" s="1566"/>
      <c r="G19" s="1513"/>
      <c r="H19" s="1197"/>
      <c r="I19" s="1196"/>
      <c r="J19" s="1197"/>
      <c r="K19" s="1604"/>
      <c r="L19" s="1320"/>
      <c r="M19" s="1304"/>
      <c r="N19" s="1304"/>
      <c r="O19" s="1304"/>
      <c r="P19" s="1323"/>
      <c r="Q19" s="699"/>
      <c r="R19" s="1370"/>
      <c r="S19" s="1371"/>
      <c r="T19" s="1370"/>
      <c r="U19" s="1371"/>
      <c r="V19" s="1370"/>
      <c r="W19" s="1371"/>
      <c r="X19" s="1357"/>
      <c r="Y19" s="1323"/>
      <c r="Z19" s="1344"/>
      <c r="AA19" s="1386">
        <v>1</v>
      </c>
      <c r="AB19" s="1386">
        <v>1</v>
      </c>
      <c r="AC19" s="1386">
        <v>1</v>
      </c>
    </row>
    <row r="20" ht="54" spans="1:29">
      <c r="A20" s="1148"/>
      <c r="B20" s="1200" t="s">
        <v>1505</v>
      </c>
      <c r="C20" s="1201" t="str">
        <f>IF(B1="工业",估价对象房地状况!G7,估价对象房地状况!C9)</f>
        <v>区域自然环境：；人文环境；综合评价环境状况一般</v>
      </c>
      <c r="D20" s="1203">
        <v>100</v>
      </c>
      <c r="E20" s="1515"/>
      <c r="F20" s="1565">
        <f>SUMIF(69:69,E21,70:70)-SUMIF(69:69,C21,70:70)+100</f>
        <v>100</v>
      </c>
      <c r="G20" s="1523"/>
      <c r="H20" s="1199">
        <f>SUMIF(69:69,G21,70:70)-SUMIF(69:69,C21,70:70)+100</f>
        <v>100</v>
      </c>
      <c r="I20" s="1202"/>
      <c r="J20" s="1199">
        <f>SUMIF(69:69,I21,70:70)-SUMIF(69:69,C21,70:70)+100</f>
        <v>100</v>
      </c>
      <c r="K20" s="1602"/>
      <c r="L20" s="1320"/>
      <c r="M20" s="1304"/>
      <c r="N20" s="1304"/>
      <c r="O20" s="1304"/>
      <c r="P20" s="1323"/>
      <c r="Q20" s="699" t="str">
        <f>B20</f>
        <v>自然及人文环境</v>
      </c>
      <c r="R20" s="1370" t="s">
        <v>1490</v>
      </c>
      <c r="S20" s="1371">
        <f>F20</f>
        <v>100</v>
      </c>
      <c r="T20" s="1370" t="s">
        <v>1490</v>
      </c>
      <c r="U20" s="1371">
        <f>H20</f>
        <v>100</v>
      </c>
      <c r="V20" s="1370" t="s">
        <v>1490</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4"/>
      <c r="G21" s="1196"/>
      <c r="H21" s="1197"/>
      <c r="I21" s="1196"/>
      <c r="J21" s="1197"/>
      <c r="K21" s="1603"/>
      <c r="L21" s="1320"/>
      <c r="M21" s="1304"/>
      <c r="N21" s="1304"/>
      <c r="O21" s="1304"/>
      <c r="P21" s="1323"/>
      <c r="Q21" s="699"/>
      <c r="R21" s="1370"/>
      <c r="S21" s="1371"/>
      <c r="T21" s="1370"/>
      <c r="U21" s="1371"/>
      <c r="V21" s="1370"/>
      <c r="W21" s="1371"/>
      <c r="X21" s="1357"/>
      <c r="Y21" s="1323"/>
      <c r="Z21" s="1344"/>
      <c r="AA21" s="1386">
        <v>1</v>
      </c>
      <c r="AB21" s="1386">
        <v>1</v>
      </c>
      <c r="AC21" s="1386">
        <v>1</v>
      </c>
    </row>
    <row r="22" ht="15" spans="1:29">
      <c r="A22" s="1148"/>
      <c r="B22" s="1200" t="s">
        <v>1567</v>
      </c>
      <c r="C22" s="1210"/>
      <c r="D22" s="1199">
        <v>100</v>
      </c>
      <c r="E22" s="1210"/>
      <c r="F22" s="1567">
        <f>SUMIF(71:71,E22,72:72)-SUMIF(71:71,C22,72:72)+100</f>
        <v>100</v>
      </c>
      <c r="G22" s="1210"/>
      <c r="H22" s="1185">
        <f>SUMIF(71:71,G22,72:72)-SUMIF(71:71,C22,72:72)+100</f>
        <v>100</v>
      </c>
      <c r="I22" s="1210"/>
      <c r="J22" s="1185">
        <f>SUMIF(71:71,I22,72:72)-SUMIF(71:71,C22,72:72)+100</f>
        <v>100</v>
      </c>
      <c r="K22" s="1328"/>
      <c r="L22" s="1320"/>
      <c r="M22" s="1304"/>
      <c r="N22" s="1304"/>
      <c r="O22" s="1304"/>
      <c r="P22" s="1323"/>
      <c r="Q22" s="699" t="str">
        <f>B22</f>
        <v>楼层</v>
      </c>
      <c r="R22" s="1370" t="s">
        <v>1490</v>
      </c>
      <c r="S22" s="1371">
        <f>F22</f>
        <v>100</v>
      </c>
      <c r="T22" s="1370" t="s">
        <v>1490</v>
      </c>
      <c r="U22" s="1371">
        <f>H22</f>
        <v>100</v>
      </c>
      <c r="V22" s="1370" t="s">
        <v>1490</v>
      </c>
      <c r="W22" s="1371">
        <f>J22</f>
        <v>100</v>
      </c>
      <c r="X22" s="1357"/>
      <c r="Y22" s="1323"/>
      <c r="Z22" s="1344" t="str">
        <f>Q22</f>
        <v>楼层</v>
      </c>
      <c r="AA22" s="1386">
        <f t="shared" si="3"/>
        <v>1</v>
      </c>
      <c r="AB22" s="1386">
        <f t="shared" si="4"/>
        <v>1</v>
      </c>
      <c r="AC22" s="1386">
        <f t="shared" si="5"/>
        <v>1</v>
      </c>
    </row>
    <row r="23" ht="15" spans="1:29">
      <c r="A23" s="1148"/>
      <c r="B23" s="1635">
        <v>111</v>
      </c>
      <c r="C23" s="1174"/>
      <c r="D23" s="1185">
        <v>100</v>
      </c>
      <c r="E23" s="1174"/>
      <c r="F23" s="1567">
        <f>SUMIF(73:73,E23,74:74)-SUMIF(73:73,C23,74:74)+100</f>
        <v>100</v>
      </c>
      <c r="G23" s="1174"/>
      <c r="H23" s="1185">
        <f>SUMIF(73:73,G23,74:74)-SUMIF(73:73,C23,74:74)+100</f>
        <v>100</v>
      </c>
      <c r="I23" s="1174"/>
      <c r="J23" s="1185">
        <f>SUMIF(73:73,I23,74:74)-SUMIF(73:73,C23,74:74)+100</f>
        <v>100</v>
      </c>
      <c r="K23" s="1327"/>
      <c r="L23" s="1320"/>
      <c r="M23" s="1304"/>
      <c r="N23" s="1304"/>
      <c r="O23" s="1304"/>
      <c r="P23" s="1323"/>
      <c r="Q23" s="699">
        <f>B23</f>
        <v>111</v>
      </c>
      <c r="R23" s="1370" t="s">
        <v>1490</v>
      </c>
      <c r="S23" s="1371">
        <f>F23</f>
        <v>100</v>
      </c>
      <c r="T23" s="1370" t="s">
        <v>1490</v>
      </c>
      <c r="U23" s="1371">
        <f>H23</f>
        <v>100</v>
      </c>
      <c r="V23" s="1370" t="s">
        <v>1490</v>
      </c>
      <c r="W23" s="1371">
        <f>J23</f>
        <v>100</v>
      </c>
      <c r="X23" s="1357"/>
      <c r="Y23" s="1323"/>
      <c r="Z23" s="1344">
        <f>Q23</f>
        <v>111</v>
      </c>
      <c r="AA23" s="1386">
        <f t="shared" si="3"/>
        <v>1</v>
      </c>
      <c r="AB23" s="1386">
        <f t="shared" si="4"/>
        <v>1</v>
      </c>
      <c r="AC23" s="1386">
        <f t="shared" si="5"/>
        <v>1</v>
      </c>
    </row>
    <row r="24" ht="15" spans="1:29">
      <c r="A24" s="1148"/>
      <c r="B24" s="1635">
        <v>111</v>
      </c>
      <c r="C24" s="1174"/>
      <c r="D24" s="1185">
        <v>100</v>
      </c>
      <c r="E24" s="1174"/>
      <c r="F24" s="1567">
        <f>SUMIF(75:75,E24,76:76)-SUMIF(75:75,C24,76:76)+100</f>
        <v>100</v>
      </c>
      <c r="G24" s="1174"/>
      <c r="H24" s="1185">
        <f>SUMIF(75:75,G24,76:76)-SUMIF(75:75,C24,76:76)+100</f>
        <v>100</v>
      </c>
      <c r="I24" s="1174"/>
      <c r="J24" s="1185">
        <f>SUMIF(75:75,I24,76:76)-SUMIF(75:75,C24,76:76)+100</f>
        <v>100</v>
      </c>
      <c r="K24" s="1327"/>
      <c r="L24" s="1320"/>
      <c r="M24" s="1304"/>
      <c r="N24" s="1304"/>
      <c r="O24" s="1304"/>
      <c r="P24" s="1323"/>
      <c r="Q24" s="699">
        <f t="shared" ref="Q24:Q36" si="11">B24</f>
        <v>111</v>
      </c>
      <c r="R24" s="1370" t="s">
        <v>1490</v>
      </c>
      <c r="S24" s="1371">
        <f>F24</f>
        <v>100</v>
      </c>
      <c r="T24" s="1370" t="s">
        <v>1490</v>
      </c>
      <c r="U24" s="1371">
        <f>H24</f>
        <v>100</v>
      </c>
      <c r="V24" s="1370" t="s">
        <v>1490</v>
      </c>
      <c r="W24" s="1371">
        <f>J24</f>
        <v>100</v>
      </c>
      <c r="X24" s="1357"/>
      <c r="Y24" s="1323"/>
      <c r="Z24" s="1344">
        <f>Q24</f>
        <v>111</v>
      </c>
      <c r="AA24" s="1386">
        <f t="shared" si="3"/>
        <v>1</v>
      </c>
      <c r="AB24" s="1386">
        <f t="shared" si="4"/>
        <v>1</v>
      </c>
      <c r="AC24" s="1386">
        <f t="shared" si="5"/>
        <v>1</v>
      </c>
    </row>
    <row r="25" s="1123" customFormat="1" ht="15.75" spans="1:29">
      <c r="A25" s="1206"/>
      <c r="B25" s="1636">
        <v>111</v>
      </c>
      <c r="C25" s="1188"/>
      <c r="D25" s="1637">
        <v>100</v>
      </c>
      <c r="E25" s="1638"/>
      <c r="F25" s="1639">
        <f>SUMIF(77:77,E25,78:78)-SUMIF(77:77,C25,78:78)+100</f>
        <v>100</v>
      </c>
      <c r="G25" s="1638"/>
      <c r="H25" s="1637">
        <f>SUMIF(77:77,G25,78:78)-SUMIF(77:77,C25,78:78)+100</f>
        <v>100</v>
      </c>
      <c r="I25" s="1638"/>
      <c r="J25" s="1637">
        <f>SUMIF(77:77,I25,78:78)-SUMIF(77:77,C25,78:78)+100</f>
        <v>100</v>
      </c>
      <c r="K25" s="1327"/>
      <c r="L25" s="1309"/>
      <c r="M25" s="1310"/>
      <c r="N25" s="1310"/>
      <c r="O25" s="1310"/>
      <c r="P25" s="1323"/>
      <c r="Q25" s="1369">
        <f t="shared" si="11"/>
        <v>111</v>
      </c>
      <c r="R25" s="1365" t="s">
        <v>1490</v>
      </c>
      <c r="S25" s="1366">
        <f>F25</f>
        <v>100</v>
      </c>
      <c r="T25" s="1365" t="s">
        <v>1490</v>
      </c>
      <c r="U25" s="1366">
        <f>H25</f>
        <v>100</v>
      </c>
      <c r="V25" s="1365" t="s">
        <v>1490</v>
      </c>
      <c r="W25" s="1366">
        <f>J25</f>
        <v>100</v>
      </c>
      <c r="X25" s="1367"/>
      <c r="Y25" s="1323"/>
      <c r="Z25" s="1385">
        <f>Q25</f>
        <v>111</v>
      </c>
      <c r="AA25" s="1386">
        <f t="shared" si="3"/>
        <v>1</v>
      </c>
      <c r="AB25" s="1386">
        <f t="shared" si="4"/>
        <v>1</v>
      </c>
      <c r="AC25" s="1386">
        <f t="shared" si="5"/>
        <v>1</v>
      </c>
    </row>
    <row r="26" ht="28.5" spans="1:29">
      <c r="A26" s="1640" t="s">
        <v>1508</v>
      </c>
      <c r="B26" s="1641" t="s">
        <v>1588</v>
      </c>
      <c r="C26" s="1642" t="str">
        <f>B1</f>
        <v>车库</v>
      </c>
      <c r="D26" s="1197">
        <v>100</v>
      </c>
      <c r="E26" s="1196"/>
      <c r="F26" s="1564">
        <f>SUMIF(79:79,E26,80:80)-SUMIF(79:79,C26,80:80)+100</f>
        <v>0</v>
      </c>
      <c r="G26" s="1196"/>
      <c r="H26" s="1197">
        <f>SUMIF(79:79,G26,80:80)-SUMIF(79:79,C26,80:80)+100</f>
        <v>0</v>
      </c>
      <c r="I26" s="1196"/>
      <c r="J26" s="1197">
        <f>SUMIF(79:79,I26,80:80)-SUMIF(79:79,C26,80:80)+100</f>
        <v>0</v>
      </c>
      <c r="K26" s="1328"/>
      <c r="L26" s="1320"/>
      <c r="M26" s="1304"/>
      <c r="N26" s="1304"/>
      <c r="O26" s="1304"/>
      <c r="P26" s="1329" t="s">
        <v>1510</v>
      </c>
      <c r="Q26" s="699" t="str">
        <f t="shared" si="11"/>
        <v>配套类型</v>
      </c>
      <c r="R26" s="1370" t="s">
        <v>1490</v>
      </c>
      <c r="S26" s="1371">
        <f t="shared" ref="S26:S36" si="12">F26</f>
        <v>0</v>
      </c>
      <c r="T26" s="1370" t="s">
        <v>1490</v>
      </c>
      <c r="U26" s="1371">
        <f t="shared" ref="U26:U36" si="13">H26</f>
        <v>0</v>
      </c>
      <c r="V26" s="1370" t="s">
        <v>1490</v>
      </c>
      <c r="W26" s="1371">
        <f t="shared" ref="W26:W36" si="14">J26</f>
        <v>0</v>
      </c>
      <c r="X26" s="1357"/>
      <c r="Y26" s="1332" t="s">
        <v>1510</v>
      </c>
      <c r="Z26" s="1344" t="str">
        <f t="shared" ref="Z26:Z36" si="15">Q26</f>
        <v>配套类型</v>
      </c>
      <c r="AA26" s="1386" t="e">
        <f t="shared" si="3"/>
        <v>#DIV/0!</v>
      </c>
      <c r="AB26" s="1386" t="e">
        <f t="shared" si="4"/>
        <v>#DIV/0!</v>
      </c>
      <c r="AC26" s="1386" t="e">
        <f t="shared" si="5"/>
        <v>#DIV/0!</v>
      </c>
    </row>
    <row r="27" s="1125" customFormat="1" ht="15" spans="1:29">
      <c r="A27" s="1643"/>
      <c r="B27" s="1213" t="s">
        <v>1589</v>
      </c>
      <c r="C27" s="1644"/>
      <c r="D27" s="1175">
        <v>100</v>
      </c>
      <c r="E27" s="1644"/>
      <c r="F27" s="1567">
        <f>SUMIF(81:81,E27,82:82)-SUMIF(81:81,C27,82:82)+100</f>
        <v>100</v>
      </c>
      <c r="G27" s="1644"/>
      <c r="H27" s="1185">
        <f>SUMIF(81:81,G27,82:82)-SUMIF(81:81,C27,82:82)+100</f>
        <v>100</v>
      </c>
      <c r="I27" s="1644"/>
      <c r="J27" s="1185">
        <f>SUMIF(81:81,I27,82:82)-SUMIF(81:81,C27,82:82)+100</f>
        <v>100</v>
      </c>
      <c r="K27" s="1327"/>
      <c r="L27" s="1318"/>
      <c r="M27" s="1330"/>
      <c r="N27" s="1330"/>
      <c r="O27" s="1330"/>
      <c r="P27" s="1332"/>
      <c r="Q27" s="1606" t="str">
        <f t="shared" si="11"/>
        <v>项目停车位配比</v>
      </c>
      <c r="R27" s="1372" t="s">
        <v>1490</v>
      </c>
      <c r="S27" s="1373">
        <f t="shared" si="12"/>
        <v>100</v>
      </c>
      <c r="T27" s="1372" t="s">
        <v>1490</v>
      </c>
      <c r="U27" s="1373">
        <f t="shared" si="13"/>
        <v>100</v>
      </c>
      <c r="V27" s="1372" t="s">
        <v>1490</v>
      </c>
      <c r="W27" s="1373">
        <f t="shared" si="14"/>
        <v>100</v>
      </c>
      <c r="X27" s="1374"/>
      <c r="Y27" s="1332"/>
      <c r="Z27" s="1387" t="str">
        <f t="shared" si="15"/>
        <v>项目停车位配比</v>
      </c>
      <c r="AA27" s="1386">
        <f t="shared" si="3"/>
        <v>1</v>
      </c>
      <c r="AB27" s="1386">
        <f t="shared" si="4"/>
        <v>1</v>
      </c>
      <c r="AC27" s="1386">
        <f t="shared" si="5"/>
        <v>1</v>
      </c>
    </row>
    <row r="28" ht="15" spans="1:29">
      <c r="A28" s="1645"/>
      <c r="B28" s="1213" t="s">
        <v>1514</v>
      </c>
      <c r="C28" s="1577"/>
      <c r="D28" s="1185">
        <v>100</v>
      </c>
      <c r="E28" s="1577"/>
      <c r="F28" s="1567">
        <f>SUMIF(83:83,E28,84:84)-SUMIF(83:83,C28,84:84)+100</f>
        <v>100</v>
      </c>
      <c r="G28" s="1577"/>
      <c r="H28" s="1185">
        <f>SUMIF(83:83,G28,84:84)-SUMIF(83:83,C28,84:84)+100</f>
        <v>100</v>
      </c>
      <c r="I28" s="1577"/>
      <c r="J28" s="1185">
        <f>SUMIF(83:83,I28,84:84)-SUMIF(83:83,C28,84:84)+100</f>
        <v>100</v>
      </c>
      <c r="K28" s="1328"/>
      <c r="L28" s="1320"/>
      <c r="M28" s="1304"/>
      <c r="N28" s="1304"/>
      <c r="O28" s="1304"/>
      <c r="P28" s="1332"/>
      <c r="Q28" s="699" t="str">
        <f t="shared" si="11"/>
        <v>公共部分装修</v>
      </c>
      <c r="R28" s="1370" t="s">
        <v>1490</v>
      </c>
      <c r="S28" s="1371">
        <f t="shared" si="12"/>
        <v>100</v>
      </c>
      <c r="T28" s="1370" t="s">
        <v>1490</v>
      </c>
      <c r="U28" s="1371">
        <f t="shared" si="13"/>
        <v>100</v>
      </c>
      <c r="V28" s="1370" t="s">
        <v>1490</v>
      </c>
      <c r="W28" s="1371">
        <f t="shared" si="14"/>
        <v>100</v>
      </c>
      <c r="X28" s="1357"/>
      <c r="Y28" s="1332"/>
      <c r="Z28" s="1344" t="str">
        <f t="shared" si="15"/>
        <v>公共部分装修</v>
      </c>
      <c r="AA28" s="1386">
        <f t="shared" si="3"/>
        <v>1</v>
      </c>
      <c r="AB28" s="1386">
        <f t="shared" si="4"/>
        <v>1</v>
      </c>
      <c r="AC28" s="1386">
        <f t="shared" si="5"/>
        <v>1</v>
      </c>
    </row>
    <row r="29" ht="15" spans="1:29">
      <c r="A29" s="1645"/>
      <c r="B29" s="1213" t="s">
        <v>1590</v>
      </c>
      <c r="C29" s="1574"/>
      <c r="D29" s="1185">
        <v>100</v>
      </c>
      <c r="E29" s="1574"/>
      <c r="F29" s="1567" t="e">
        <f>LOOKUP(E29,86:86,87:87)-LOOKUP(C29,86:86,87:87)+100</f>
        <v>#N/A</v>
      </c>
      <c r="G29" s="1574"/>
      <c r="H29" s="1567" t="e">
        <f>LOOKUP(G29,86:86,87:87)-LOOKUP(C29,86:86,87:87)+100</f>
        <v>#N/A</v>
      </c>
      <c r="I29" s="1574"/>
      <c r="J29" s="1185" t="e">
        <f>LOOKUP(I29,86:86,87:87)-LOOKUP(C29,86:86,87:87)+100</f>
        <v>#N/A</v>
      </c>
      <c r="K29" s="1328"/>
      <c r="L29" s="1320"/>
      <c r="M29" s="1304"/>
      <c r="N29" s="1304"/>
      <c r="O29" s="1304"/>
      <c r="P29" s="1332"/>
      <c r="Q29" s="699" t="str">
        <f t="shared" si="11"/>
        <v>成新率</v>
      </c>
      <c r="R29" s="1370" t="s">
        <v>1490</v>
      </c>
      <c r="S29" s="1371" t="e">
        <f t="shared" si="12"/>
        <v>#N/A</v>
      </c>
      <c r="T29" s="1370" t="s">
        <v>1490</v>
      </c>
      <c r="U29" s="1371" t="e">
        <f t="shared" si="13"/>
        <v>#N/A</v>
      </c>
      <c r="V29" s="1370" t="s">
        <v>1490</v>
      </c>
      <c r="W29" s="1371" t="e">
        <f t="shared" si="14"/>
        <v>#N/A</v>
      </c>
      <c r="X29" s="1357"/>
      <c r="Y29" s="1332"/>
      <c r="Z29" s="1344" t="str">
        <f t="shared" si="15"/>
        <v>成新率</v>
      </c>
      <c r="AA29" s="1386" t="e">
        <f t="shared" si="3"/>
        <v>#N/A</v>
      </c>
      <c r="AB29" s="1386" t="e">
        <f t="shared" si="4"/>
        <v>#N/A</v>
      </c>
      <c r="AC29" s="1386" t="e">
        <f t="shared" si="5"/>
        <v>#N/A</v>
      </c>
    </row>
    <row r="30" ht="15" spans="1:29">
      <c r="A30" s="1645"/>
      <c r="B30" s="1213" t="s">
        <v>1591</v>
      </c>
      <c r="C30" s="1578"/>
      <c r="D30" s="1185">
        <v>100</v>
      </c>
      <c r="E30" s="1578"/>
      <c r="F30" s="1567">
        <f>SUMIF(88:88,E30,89:89)-SUMIF(88:88,C30,89:89)+100</f>
        <v>100</v>
      </c>
      <c r="G30" s="1578"/>
      <c r="H30" s="1185">
        <f>SUMIF(88:88,E30,89:89)-SUMIF(88:88,C30,89:89)+100</f>
        <v>100</v>
      </c>
      <c r="I30" s="1578"/>
      <c r="J30" s="1185">
        <f>SUMIF(88:88,E30,89:89)-SUMIF(88:88,C30,89:89)+100</f>
        <v>100</v>
      </c>
      <c r="K30" s="1328"/>
      <c r="L30" s="1320"/>
      <c r="M30" s="1304"/>
      <c r="N30" s="1304"/>
      <c r="O30" s="1304"/>
      <c r="P30" s="1332"/>
      <c r="Q30" s="699" t="str">
        <f t="shared" si="11"/>
        <v>物业等级</v>
      </c>
      <c r="R30" s="1370" t="s">
        <v>1490</v>
      </c>
      <c r="S30" s="1371">
        <f t="shared" si="12"/>
        <v>100</v>
      </c>
      <c r="T30" s="1370" t="s">
        <v>1490</v>
      </c>
      <c r="U30" s="1371">
        <f t="shared" si="13"/>
        <v>100</v>
      </c>
      <c r="V30" s="1370" t="s">
        <v>1490</v>
      </c>
      <c r="W30" s="1371">
        <f t="shared" si="14"/>
        <v>100</v>
      </c>
      <c r="X30" s="1357"/>
      <c r="Y30" s="1332"/>
      <c r="Z30" s="1344" t="str">
        <f t="shared" si="15"/>
        <v>物业等级</v>
      </c>
      <c r="AA30" s="1386">
        <f t="shared" si="3"/>
        <v>1</v>
      </c>
      <c r="AB30" s="1386">
        <f t="shared" si="4"/>
        <v>1</v>
      </c>
      <c r="AC30" s="1386">
        <f t="shared" si="5"/>
        <v>1</v>
      </c>
    </row>
    <row r="31" s="1123" customFormat="1" ht="15" spans="1:29">
      <c r="A31" s="1646"/>
      <c r="B31" s="1213" t="s">
        <v>1592</v>
      </c>
      <c r="C31" s="1561"/>
      <c r="D31" s="1175">
        <v>100</v>
      </c>
      <c r="E31" s="1561"/>
      <c r="F31" s="1567" t="e">
        <f>LOOKUP(E31,91:91,92:92)-LOOKUP(C31,91:91,92:92)+100</f>
        <v>#N/A</v>
      </c>
      <c r="G31" s="1561"/>
      <c r="H31" s="1185" t="e">
        <f>LOOKUP(G31,91:91,92:92)-LOOKUP(C31,91:91,92:92)+100</f>
        <v>#N/A</v>
      </c>
      <c r="I31" s="1561"/>
      <c r="J31" s="1185" t="e">
        <f>LOOKUP(I31,91:91,92:92)-LOOKUP(C31,91:91,92:92)+100</f>
        <v>#N/A</v>
      </c>
      <c r="K31" s="1328"/>
      <c r="L31" s="1309"/>
      <c r="M31" s="1310"/>
      <c r="N31" s="1310"/>
      <c r="O31" s="1310"/>
      <c r="P31" s="1332"/>
      <c r="Q31" s="1369" t="str">
        <f t="shared" si="11"/>
        <v>停车位面积</v>
      </c>
      <c r="R31" s="1365" t="s">
        <v>1490</v>
      </c>
      <c r="S31" s="1366" t="e">
        <f t="shared" si="12"/>
        <v>#N/A</v>
      </c>
      <c r="T31" s="1365" t="s">
        <v>1490</v>
      </c>
      <c r="U31" s="1366" t="e">
        <f t="shared" si="13"/>
        <v>#N/A</v>
      </c>
      <c r="V31" s="1365" t="s">
        <v>1490</v>
      </c>
      <c r="W31" s="1366" t="e">
        <f t="shared" si="14"/>
        <v>#N/A</v>
      </c>
      <c r="X31" s="1367"/>
      <c r="Y31" s="1332"/>
      <c r="Z31" s="1385" t="str">
        <f t="shared" si="15"/>
        <v>停车位面积</v>
      </c>
      <c r="AA31" s="1384" t="e">
        <f t="shared" si="3"/>
        <v>#N/A</v>
      </c>
      <c r="AB31" s="1384" t="e">
        <f t="shared" si="4"/>
        <v>#N/A</v>
      </c>
      <c r="AC31" s="1384" t="e">
        <f t="shared" si="5"/>
        <v>#N/A</v>
      </c>
    </row>
    <row r="32" ht="15" spans="1:29">
      <c r="A32" s="1645"/>
      <c r="B32" s="1213" t="s">
        <v>1593</v>
      </c>
      <c r="C32" s="1577"/>
      <c r="D32" s="1185">
        <v>100</v>
      </c>
      <c r="E32" s="1577"/>
      <c r="F32" s="1567">
        <f>SUMIF(93:93,E32,94:94)-SUMIF(93:93,C32,94:94)+100</f>
        <v>100</v>
      </c>
      <c r="G32" s="1577"/>
      <c r="H32" s="1185">
        <f>SUMIF(93:93,G32,94:94)-SUMIF(93:93,C32,94:94)+100</f>
        <v>100</v>
      </c>
      <c r="I32" s="1577"/>
      <c r="J32" s="1185">
        <f>SUMIF(93:93,I32,94:94)-SUMIF(93:93,C32,94:94)+100</f>
        <v>100</v>
      </c>
      <c r="K32" s="1328"/>
      <c r="L32" s="1320"/>
      <c r="M32" s="1304"/>
      <c r="N32" s="1304"/>
      <c r="O32" s="1304"/>
      <c r="P32" s="1332" t="s">
        <v>1510</v>
      </c>
      <c r="Q32" s="699" t="str">
        <f t="shared" si="11"/>
        <v>车位类型</v>
      </c>
      <c r="R32" s="1370" t="s">
        <v>1490</v>
      </c>
      <c r="S32" s="1371">
        <f t="shared" si="12"/>
        <v>100</v>
      </c>
      <c r="T32" s="1370" t="s">
        <v>1490</v>
      </c>
      <c r="U32" s="1371">
        <f t="shared" si="13"/>
        <v>100</v>
      </c>
      <c r="V32" s="1370" t="s">
        <v>1490</v>
      </c>
      <c r="W32" s="1371">
        <f t="shared" si="14"/>
        <v>100</v>
      </c>
      <c r="X32" s="1357"/>
      <c r="Y32" s="1332" t="s">
        <v>1510</v>
      </c>
      <c r="Z32" s="1344" t="str">
        <f t="shared" si="15"/>
        <v>车位类型</v>
      </c>
      <c r="AA32" s="1386">
        <f t="shared" si="3"/>
        <v>1</v>
      </c>
      <c r="AB32" s="1386">
        <f t="shared" si="4"/>
        <v>1</v>
      </c>
      <c r="AC32" s="1386">
        <f t="shared" si="5"/>
        <v>1</v>
      </c>
    </row>
    <row r="33" ht="15" spans="1:29">
      <c r="A33" s="1645"/>
      <c r="B33" s="1213" t="s">
        <v>1594</v>
      </c>
      <c r="C33" s="1577"/>
      <c r="D33" s="1185">
        <v>100</v>
      </c>
      <c r="E33" s="1577"/>
      <c r="F33" s="1567">
        <f>SUMIF(95:95,E33,96:96)-SUMIF(95:95,C33,96:96)+100</f>
        <v>100</v>
      </c>
      <c r="G33" s="1577"/>
      <c r="H33" s="1185">
        <f>SUMIF(95:95,G33,96:96)-SUMIF(95:95,C33,96:96)+100</f>
        <v>100</v>
      </c>
      <c r="I33" s="1577"/>
      <c r="J33" s="1185">
        <f>SUMIF(95:95,I33,96:96)-SUMIF(95:95,C33,96:96)+100</f>
        <v>100</v>
      </c>
      <c r="K33" s="1328"/>
      <c r="L33" s="1320"/>
      <c r="M33" s="1304"/>
      <c r="N33" s="1304"/>
      <c r="O33" s="1304"/>
      <c r="P33" s="1332"/>
      <c r="Q33" s="699" t="str">
        <f t="shared" si="11"/>
        <v>是否直接入户</v>
      </c>
      <c r="R33" s="1370" t="s">
        <v>1490</v>
      </c>
      <c r="S33" s="1371">
        <f t="shared" si="12"/>
        <v>100</v>
      </c>
      <c r="T33" s="1370" t="s">
        <v>1490</v>
      </c>
      <c r="U33" s="1371">
        <f t="shared" si="13"/>
        <v>100</v>
      </c>
      <c r="V33" s="1370" t="s">
        <v>1490</v>
      </c>
      <c r="W33" s="1371">
        <f t="shared" si="14"/>
        <v>100</v>
      </c>
      <c r="X33" s="1357"/>
      <c r="Y33" s="1332"/>
      <c r="Z33" s="1344" t="str">
        <f t="shared" si="15"/>
        <v>是否直接入户</v>
      </c>
      <c r="AA33" s="1386">
        <f t="shared" si="3"/>
        <v>1</v>
      </c>
      <c r="AB33" s="1386">
        <f t="shared" si="4"/>
        <v>1</v>
      </c>
      <c r="AC33" s="1386">
        <f t="shared" si="5"/>
        <v>1</v>
      </c>
    </row>
    <row r="34" ht="15" spans="1:29">
      <c r="A34" s="1645"/>
      <c r="B34" s="1635">
        <v>111</v>
      </c>
      <c r="C34" s="1174"/>
      <c r="D34" s="1185">
        <v>100</v>
      </c>
      <c r="E34" s="1174"/>
      <c r="F34" s="1567">
        <f>SUMIF(97:97,E34,98:98)-SUMIF(97:97,C34,98:98)+100</f>
        <v>100</v>
      </c>
      <c r="G34" s="1174"/>
      <c r="H34" s="1185">
        <f>SUMIF(97:97,G34,98:98)-SUMIF(97:97,C34,98:98)+100</f>
        <v>100</v>
      </c>
      <c r="I34" s="1174"/>
      <c r="J34" s="1185">
        <f>SUMIF(97:97,I34,98:98)-SUMIF(97:97,C34,98:98)+100</f>
        <v>100</v>
      </c>
      <c r="K34" s="1327"/>
      <c r="L34" s="1320"/>
      <c r="M34" s="1304"/>
      <c r="N34" s="1304"/>
      <c r="O34" s="1304"/>
      <c r="P34" s="1332"/>
      <c r="Q34" s="699">
        <f t="shared" si="11"/>
        <v>111</v>
      </c>
      <c r="R34" s="1370" t="s">
        <v>1490</v>
      </c>
      <c r="S34" s="1371">
        <f t="shared" si="12"/>
        <v>100</v>
      </c>
      <c r="T34" s="1370" t="s">
        <v>1490</v>
      </c>
      <c r="U34" s="1371">
        <f t="shared" si="13"/>
        <v>100</v>
      </c>
      <c r="V34" s="1370" t="s">
        <v>1490</v>
      </c>
      <c r="W34" s="1371">
        <f t="shared" si="14"/>
        <v>100</v>
      </c>
      <c r="X34" s="1357"/>
      <c r="Y34" s="1332"/>
      <c r="Z34" s="1344">
        <f t="shared" si="15"/>
        <v>111</v>
      </c>
      <c r="AA34" s="1386">
        <f t="shared" si="3"/>
        <v>1</v>
      </c>
      <c r="AB34" s="1386">
        <f t="shared" si="4"/>
        <v>1</v>
      </c>
      <c r="AC34" s="1386">
        <f t="shared" si="5"/>
        <v>1</v>
      </c>
    </row>
    <row r="35" s="1125" customFormat="1" ht="15" spans="1:29">
      <c r="A35" s="1643"/>
      <c r="B35" s="1635">
        <v>111</v>
      </c>
      <c r="C35" s="1174"/>
      <c r="D35" s="1185">
        <v>100</v>
      </c>
      <c r="E35" s="1174"/>
      <c r="F35" s="1567">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6">
        <f t="shared" si="11"/>
        <v>111</v>
      </c>
      <c r="R35" s="1372" t="s">
        <v>1490</v>
      </c>
      <c r="S35" s="1373">
        <f t="shared" si="12"/>
        <v>100</v>
      </c>
      <c r="T35" s="1372" t="s">
        <v>1490</v>
      </c>
      <c r="U35" s="1373">
        <f t="shared" si="13"/>
        <v>100</v>
      </c>
      <c r="V35" s="1372" t="s">
        <v>1490</v>
      </c>
      <c r="W35" s="1373">
        <f t="shared" si="14"/>
        <v>100</v>
      </c>
      <c r="X35" s="1374"/>
      <c r="Y35" s="1332"/>
      <c r="Z35" s="1387">
        <f t="shared" si="15"/>
        <v>111</v>
      </c>
      <c r="AA35" s="1386">
        <f t="shared" si="3"/>
        <v>1</v>
      </c>
      <c r="AB35" s="1386">
        <f t="shared" si="4"/>
        <v>1</v>
      </c>
      <c r="AC35" s="1386">
        <f t="shared" si="5"/>
        <v>1</v>
      </c>
    </row>
    <row r="36" ht="15.75" spans="1:29">
      <c r="A36" s="1647"/>
      <c r="B36" s="1636">
        <v>111</v>
      </c>
      <c r="C36" s="1184"/>
      <c r="D36" s="1185">
        <v>100</v>
      </c>
      <c r="E36" s="1174"/>
      <c r="F36" s="1567">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699">
        <f t="shared" si="11"/>
        <v>111</v>
      </c>
      <c r="R36" s="1370" t="s">
        <v>1490</v>
      </c>
      <c r="S36" s="1371">
        <f t="shared" si="12"/>
        <v>100</v>
      </c>
      <c r="T36" s="1370" t="s">
        <v>1490</v>
      </c>
      <c r="U36" s="1371">
        <f t="shared" si="13"/>
        <v>100</v>
      </c>
      <c r="V36" s="1370" t="s">
        <v>1490</v>
      </c>
      <c r="W36" s="1371">
        <f t="shared" si="14"/>
        <v>100</v>
      </c>
      <c r="X36" s="1357"/>
      <c r="Y36" s="1332"/>
      <c r="Z36" s="1344">
        <f t="shared" si="15"/>
        <v>111</v>
      </c>
      <c r="AA36" s="1386">
        <f t="shared" si="3"/>
        <v>1</v>
      </c>
      <c r="AB36" s="1386">
        <f t="shared" si="4"/>
        <v>1</v>
      </c>
      <c r="AC36" s="1386">
        <f t="shared" si="5"/>
        <v>1</v>
      </c>
    </row>
    <row r="37" ht="15" spans="1:29">
      <c r="A37" s="1234" t="s">
        <v>1595</v>
      </c>
      <c r="B37" s="1648" t="s">
        <v>1596</v>
      </c>
      <c r="C37" s="1582" t="s">
        <v>124</v>
      </c>
      <c r="D37" s="1583"/>
      <c r="E37" s="1584"/>
      <c r="F37" s="1585"/>
      <c r="G37" s="1586"/>
      <c r="H37" s="1587"/>
      <c r="I37" s="1584"/>
      <c r="J37" s="1587"/>
      <c r="K37" s="1657"/>
      <c r="L37" s="1336"/>
      <c r="M37" s="1251"/>
      <c r="N37" s="1304"/>
      <c r="O37" s="1251"/>
      <c r="P37" s="699" t="str">
        <f>A37</f>
        <v>成交单价</v>
      </c>
      <c r="Q37" s="699"/>
      <c r="R37" s="1386">
        <f>E37</f>
        <v>0</v>
      </c>
      <c r="S37" s="1386"/>
      <c r="T37" s="1386">
        <f>G37</f>
        <v>0</v>
      </c>
      <c r="U37" s="1386"/>
      <c r="V37" s="1386">
        <f>I37</f>
        <v>0</v>
      </c>
      <c r="W37" s="1386"/>
      <c r="X37" s="1292"/>
      <c r="Y37" s="1388"/>
      <c r="Z37" s="1292"/>
      <c r="AA37" s="1292"/>
      <c r="AB37" s="1292"/>
      <c r="AC37" s="1292"/>
    </row>
    <row r="38" ht="15.75" spans="1:29">
      <c r="A38" s="1242" t="s">
        <v>1522</v>
      </c>
      <c r="B38" s="1588" t="str">
        <f>B37</f>
        <v>元/平方米</v>
      </c>
      <c r="C38" s="1589" t="e">
        <f>R39</f>
        <v>#DIV/0!</v>
      </c>
      <c r="D38" s="1245" t="s">
        <v>1523</v>
      </c>
      <c r="E38" s="1590" t="e">
        <f>R38</f>
        <v>#DIV/0!</v>
      </c>
      <c r="F38" s="1246"/>
      <c r="G38" s="1589" t="e">
        <f>T38</f>
        <v>#DIV/0!</v>
      </c>
      <c r="H38" s="1246"/>
      <c r="I38" s="1590" t="e">
        <f>V38</f>
        <v>#DIV/0!</v>
      </c>
      <c r="J38" s="1246"/>
      <c r="K38" s="1337">
        <f>F38+H38+J38</f>
        <v>0</v>
      </c>
      <c r="L38" s="1336"/>
      <c r="M38" s="1251"/>
      <c r="N38" s="1251"/>
      <c r="O38" s="1251"/>
      <c r="P38" s="699" t="str">
        <f>A38</f>
        <v>比较价值（元/平方米）</v>
      </c>
      <c r="Q38" s="699"/>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1597</v>
      </c>
      <c r="B39" s="1249"/>
      <c r="C39" s="1591" t="e">
        <f>R39</f>
        <v>#DIV/0!</v>
      </c>
      <c r="D39" s="1591"/>
      <c r="E39" s="1591"/>
      <c r="F39" s="1591"/>
      <c r="G39" s="1591"/>
      <c r="H39" s="1591"/>
      <c r="I39" s="1591"/>
      <c r="J39" s="1591"/>
      <c r="K39" s="1658"/>
      <c r="L39" s="1336"/>
      <c r="M39" s="1251"/>
      <c r="N39" s="1251"/>
      <c r="O39" s="1251"/>
      <c r="P39" s="1339" t="str">
        <f>A39</f>
        <v>估价对象XX用房的比较价值（楼面单价，元/平方米）</v>
      </c>
      <c r="Q39" s="1376"/>
      <c r="R39" s="1607" t="e">
        <f>IF(F1="售价",ROUND(IF(D38="简单平均",AVERAGE(R38:W38),R38*F38+T38*H38+V38*J38),0),ROUND(IF(D38="简单平均",AVERAGE(R38:V38),R38*F38+T38*H38+V38*J38),1))</f>
        <v>#DIV/0!</v>
      </c>
      <c r="S39" s="1607"/>
      <c r="T39" s="1607"/>
      <c r="U39" s="1607"/>
      <c r="V39" s="1607"/>
      <c r="W39" s="1607"/>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59"/>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59"/>
      <c r="Q41" s="1251"/>
      <c r="R41" s="1251"/>
      <c r="S41" s="1251"/>
      <c r="T41" s="1251"/>
      <c r="U41" s="1251"/>
      <c r="V41" s="1251"/>
      <c r="W41" s="1251"/>
      <c r="X41" s="1251"/>
      <c r="Y41" s="1251"/>
      <c r="Z41" s="1251"/>
      <c r="AA41" s="1251"/>
      <c r="AB41" s="1251"/>
      <c r="AC41" s="1251"/>
    </row>
    <row r="42" ht="13.5" customHeight="1" spans="1:29">
      <c r="A42" s="1251"/>
      <c r="B42" s="1251"/>
      <c r="C42" s="1253" t="s">
        <v>1525</v>
      </c>
      <c r="D42" s="743"/>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59"/>
      <c r="Q42" s="1251"/>
      <c r="R42" s="1251"/>
      <c r="S42" s="1251"/>
      <c r="T42" s="1251"/>
      <c r="U42" s="1251"/>
      <c r="V42" s="1251"/>
      <c r="W42" s="1251"/>
      <c r="X42" s="1251"/>
      <c r="Y42" s="1251"/>
      <c r="Z42" s="1251"/>
      <c r="AA42" s="1251"/>
      <c r="AB42" s="1251"/>
      <c r="AC42" s="1251"/>
    </row>
    <row r="43" ht="13.5" customHeight="1" spans="1:29">
      <c r="A43" s="1251"/>
      <c r="B43" s="1251"/>
      <c r="C43" s="1253" t="s">
        <v>1526</v>
      </c>
      <c r="D43" s="742"/>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59"/>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1527</v>
      </c>
      <c r="D44" s="742"/>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0"/>
      <c r="Q44" s="1256"/>
      <c r="R44" s="1256"/>
      <c r="S44" s="1256"/>
      <c r="T44" s="1256"/>
      <c r="U44" s="1256"/>
      <c r="V44" s="1256"/>
      <c r="W44" s="1256"/>
      <c r="X44" s="1256"/>
      <c r="Y44" s="1256"/>
      <c r="Z44" s="1256"/>
      <c r="AA44" s="1256"/>
      <c r="AB44" s="1256"/>
      <c r="AC44" s="1256"/>
    </row>
    <row r="45" s="1126" customFormat="1" spans="1:29">
      <c r="A45" s="1256"/>
      <c r="B45" s="1257"/>
      <c r="C45" s="1592"/>
      <c r="D45" s="1256"/>
      <c r="E45" s="1256"/>
      <c r="F45" s="1256"/>
      <c r="G45" s="1256"/>
      <c r="H45" s="1256"/>
      <c r="I45" s="1256"/>
      <c r="J45" s="1256"/>
      <c r="K45" s="1342"/>
      <c r="L45" s="1343"/>
      <c r="M45" s="1256"/>
      <c r="N45" s="1256"/>
      <c r="O45" s="1256"/>
      <c r="P45" s="1660"/>
      <c r="Q45" s="1256"/>
      <c r="R45" s="1256"/>
      <c r="S45" s="1256"/>
      <c r="T45" s="1256"/>
      <c r="U45" s="1256"/>
      <c r="V45" s="1256"/>
      <c r="W45" s="1256"/>
      <c r="X45" s="1256"/>
      <c r="Y45" s="1256"/>
      <c r="Z45" s="1256"/>
      <c r="AA45" s="1256"/>
      <c r="AB45" s="1256"/>
      <c r="AC45" s="1256"/>
    </row>
    <row r="46" spans="1:29">
      <c r="A46" s="1251"/>
      <c r="B46" s="1257"/>
      <c r="C46" s="1592"/>
      <c r="D46" s="1251"/>
      <c r="E46" s="1251"/>
      <c r="F46" s="1251"/>
      <c r="G46" s="1251"/>
      <c r="H46" s="1251"/>
      <c r="I46" s="1251"/>
      <c r="J46" s="1251"/>
      <c r="K46" s="1340"/>
      <c r="L46" s="1341"/>
      <c r="M46" s="1251"/>
      <c r="N46" s="1251"/>
      <c r="O46" s="1251"/>
      <c r="P46" s="1659"/>
      <c r="Q46" s="1251"/>
      <c r="R46" s="1251"/>
      <c r="S46" s="1251"/>
      <c r="T46" s="1251"/>
      <c r="U46" s="1251"/>
      <c r="V46" s="1251"/>
      <c r="W46" s="1251"/>
      <c r="X46" s="1251"/>
      <c r="Y46" s="1251"/>
      <c r="Z46" s="1251"/>
      <c r="AA46" s="1251"/>
      <c r="AB46" s="1251"/>
      <c r="AC46" s="1251"/>
    </row>
    <row r="47" ht="21" spans="1:29">
      <c r="A47" s="1649" t="s">
        <v>1528</v>
      </c>
      <c r="B47" s="1287"/>
      <c r="C47" s="1352"/>
      <c r="D47" s="1352"/>
      <c r="E47" s="1352"/>
      <c r="F47" s="1650"/>
      <c r="G47" s="1650"/>
      <c r="H47" s="1352"/>
      <c r="I47" s="1352"/>
      <c r="J47" s="1352"/>
      <c r="K47" s="1535"/>
      <c r="L47" s="1536"/>
      <c r="M47" s="1352"/>
      <c r="N47" s="1353"/>
      <c r="O47" s="1353"/>
      <c r="P47" s="1661"/>
      <c r="Q47" s="1378"/>
      <c r="R47" s="1251"/>
      <c r="S47" s="1251"/>
      <c r="T47" s="1251"/>
      <c r="U47" s="1251"/>
      <c r="V47" s="1251"/>
      <c r="W47" s="1251"/>
      <c r="X47" s="1251"/>
      <c r="Y47" s="1251"/>
      <c r="Z47" s="1251"/>
      <c r="AA47" s="1251"/>
      <c r="AB47" s="1251"/>
      <c r="AC47" s="1251"/>
    </row>
    <row r="48" s="1128" customFormat="1" ht="15" spans="1:29">
      <c r="A48" s="1593" t="s">
        <v>1488</v>
      </c>
      <c r="B48" s="1594"/>
      <c r="C48" s="1595" t="str">
        <f>YEAR(C7)&amp;"-"&amp;MONTH(C7)</f>
        <v>2024-9</v>
      </c>
      <c r="D48" s="1596">
        <f>EDATE(C48,-1)</f>
        <v>45505</v>
      </c>
      <c r="E48" s="1596">
        <f t="shared" ref="E48:O48" si="16">EDATE(D48,-1)</f>
        <v>45474</v>
      </c>
      <c r="F48" s="1596">
        <f t="shared" si="16"/>
        <v>45444</v>
      </c>
      <c r="G48" s="1596">
        <f t="shared" si="16"/>
        <v>45413</v>
      </c>
      <c r="H48" s="1596">
        <f t="shared" si="16"/>
        <v>45383</v>
      </c>
      <c r="I48" s="1596">
        <f t="shared" si="16"/>
        <v>45352</v>
      </c>
      <c r="J48" s="1596">
        <f t="shared" si="16"/>
        <v>45323</v>
      </c>
      <c r="K48" s="1596">
        <f t="shared" si="16"/>
        <v>45292</v>
      </c>
      <c r="L48" s="1596">
        <f t="shared" si="16"/>
        <v>45261</v>
      </c>
      <c r="M48" s="1596">
        <f t="shared" si="16"/>
        <v>45231</v>
      </c>
      <c r="N48" s="1596">
        <f t="shared" si="16"/>
        <v>45200</v>
      </c>
      <c r="O48" s="1596">
        <f t="shared" si="16"/>
        <v>45170</v>
      </c>
      <c r="P48" s="1662"/>
      <c r="Q48" s="1497"/>
      <c r="R48" s="1497"/>
      <c r="S48" s="1497"/>
      <c r="T48" s="1497"/>
      <c r="U48" s="1497"/>
      <c r="V48" s="1497"/>
      <c r="W48" s="1497"/>
      <c r="X48" s="1497"/>
      <c r="Y48" s="1497"/>
      <c r="Z48" s="1497"/>
      <c r="AA48" s="1497"/>
      <c r="AB48" s="1497"/>
      <c r="AC48" s="1497"/>
    </row>
    <row r="49" s="1123" customFormat="1" ht="15" spans="1:29">
      <c r="A49" s="1597"/>
      <c r="B49" s="1400"/>
      <c r="C49" s="1651">
        <v>100</v>
      </c>
      <c r="D49" s="1404"/>
      <c r="E49" s="1404"/>
      <c r="F49" s="1404"/>
      <c r="G49" s="1404"/>
      <c r="H49" s="1404"/>
      <c r="I49" s="1404"/>
      <c r="J49" s="1404"/>
      <c r="K49" s="1404"/>
      <c r="L49" s="1404"/>
      <c r="M49" s="1605"/>
      <c r="N49" s="1404"/>
      <c r="O49" s="1605"/>
      <c r="P49" s="1663"/>
      <c r="Q49" s="1498"/>
      <c r="R49" s="1498"/>
      <c r="S49" s="1498"/>
      <c r="T49" s="1498"/>
      <c r="U49" s="1498"/>
      <c r="V49" s="1498"/>
      <c r="W49" s="1498"/>
      <c r="X49" s="1498"/>
      <c r="Y49" s="1498"/>
      <c r="Z49" s="1498"/>
      <c r="AA49" s="1498"/>
      <c r="AB49" s="1498"/>
      <c r="AC49" s="1498"/>
    </row>
    <row r="50" s="1123" customFormat="1" ht="15.75" spans="1:29">
      <c r="A50" s="1395" t="s">
        <v>1529</v>
      </c>
      <c r="B50" s="1396"/>
      <c r="C50" s="1397"/>
      <c r="D50" s="1398"/>
      <c r="E50" s="1398"/>
      <c r="F50" s="1398"/>
      <c r="G50" s="1398"/>
      <c r="H50" s="1398"/>
      <c r="I50" s="1398"/>
      <c r="J50" s="1398"/>
      <c r="K50" s="1398"/>
      <c r="L50" s="1398"/>
      <c r="M50" s="1444"/>
      <c r="N50" s="1398"/>
      <c r="O50" s="1444"/>
      <c r="P50" s="1663"/>
      <c r="Q50" s="1378"/>
      <c r="R50" s="1498"/>
      <c r="S50" s="1498"/>
      <c r="T50" s="1498"/>
      <c r="U50" s="1498"/>
      <c r="V50" s="1498"/>
      <c r="W50" s="1498"/>
      <c r="X50" s="1498"/>
      <c r="Y50" s="1498"/>
      <c r="Z50" s="1498"/>
      <c r="AA50" s="1498"/>
      <c r="AB50" s="1498"/>
      <c r="AC50" s="1498"/>
    </row>
    <row r="51" s="1123" customFormat="1" ht="15" spans="1:29">
      <c r="A51" s="1399" t="s">
        <v>1491</v>
      </c>
      <c r="B51" s="1400"/>
      <c r="C51" s="1401" t="s">
        <v>1530</v>
      </c>
      <c r="D51" s="1402"/>
      <c r="E51" s="1402"/>
      <c r="F51" s="1402"/>
      <c r="G51" s="1402"/>
      <c r="H51" s="1402"/>
      <c r="I51" s="1402"/>
      <c r="J51" s="1402"/>
      <c r="K51" s="1402"/>
      <c r="L51" s="1446"/>
      <c r="M51" s="1447"/>
      <c r="N51" s="1448"/>
      <c r="O51" s="1448"/>
      <c r="P51" s="1664"/>
      <c r="Q51" s="1378"/>
      <c r="R51" s="1498"/>
      <c r="S51" s="1498"/>
      <c r="T51" s="1498"/>
      <c r="U51" s="1498"/>
      <c r="V51" s="1498"/>
      <c r="W51" s="1498"/>
      <c r="X51" s="1498"/>
      <c r="Y51" s="1498"/>
      <c r="Z51" s="1498"/>
      <c r="AA51" s="1498"/>
      <c r="AB51" s="1498"/>
      <c r="AC51" s="1498"/>
    </row>
    <row r="52" s="1123" customFormat="1" ht="15.75" spans="1:29">
      <c r="A52" s="1399"/>
      <c r="B52" s="1400"/>
      <c r="C52" s="1403">
        <v>100</v>
      </c>
      <c r="D52" s="1404"/>
      <c r="E52" s="1404"/>
      <c r="F52" s="1404"/>
      <c r="G52" s="1404"/>
      <c r="H52" s="1404"/>
      <c r="I52" s="1404"/>
      <c r="J52" s="1404"/>
      <c r="K52" s="1404"/>
      <c r="L52" s="1404"/>
      <c r="M52" s="1450"/>
      <c r="N52" s="1448"/>
      <c r="O52" s="1448"/>
      <c r="P52" s="1663"/>
      <c r="Q52" s="1378"/>
      <c r="R52" s="1498"/>
      <c r="S52" s="1498"/>
      <c r="T52" s="1498"/>
      <c r="U52" s="1498"/>
      <c r="V52" s="1498"/>
      <c r="W52" s="1498"/>
      <c r="X52" s="1498"/>
      <c r="Y52" s="1498"/>
      <c r="Z52" s="1498"/>
      <c r="AA52" s="1498"/>
      <c r="AB52" s="1498"/>
      <c r="AC52" s="1498"/>
    </row>
    <row r="53" spans="1:29">
      <c r="A53" s="1405" t="s">
        <v>1531</v>
      </c>
      <c r="B53" s="1406" t="s">
        <v>1494</v>
      </c>
      <c r="C53" s="1428">
        <f>C9</f>
        <v>0</v>
      </c>
      <c r="D53" s="1333"/>
      <c r="E53" s="1333"/>
      <c r="F53" s="1333"/>
      <c r="G53" s="1333"/>
      <c r="H53" s="1333"/>
      <c r="I53" s="1333"/>
      <c r="J53" s="1333"/>
      <c r="K53" s="1451"/>
      <c r="L53" s="1452"/>
      <c r="M53" s="1453"/>
      <c r="N53" s="1454"/>
      <c r="O53" s="1454"/>
      <c r="P53" s="1665"/>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6"/>
      <c r="N54" s="1457"/>
      <c r="O54" s="1457"/>
      <c r="P54" s="1665"/>
      <c r="Q54" s="1378"/>
      <c r="R54" s="1251"/>
      <c r="S54" s="1251"/>
      <c r="T54" s="1251"/>
      <c r="U54" s="1251"/>
      <c r="V54" s="1251"/>
      <c r="W54" s="1251"/>
      <c r="X54" s="1251"/>
      <c r="Y54" s="1251"/>
      <c r="Z54" s="1251"/>
      <c r="AA54" s="1251"/>
      <c r="AB54" s="1251"/>
      <c r="AC54" s="1251"/>
    </row>
    <row r="55" ht="27.75" spans="1:29">
      <c r="A55" s="1407"/>
      <c r="B55" s="1410" t="s">
        <v>1497</v>
      </c>
      <c r="C55" s="1435"/>
      <c r="D55" s="1435"/>
      <c r="E55" s="1435"/>
      <c r="F55" s="1435"/>
      <c r="G55" s="1435"/>
      <c r="H55" s="1435"/>
      <c r="I55" s="1435"/>
      <c r="J55" s="1435"/>
      <c r="K55" s="1484"/>
      <c r="L55" s="1485"/>
      <c r="M55" s="1486"/>
      <c r="N55" s="1454"/>
      <c r="O55" s="1454"/>
      <c r="P55" s="1665"/>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6"/>
      <c r="N56" s="1457"/>
      <c r="O56" s="1457"/>
      <c r="P56" s="1665"/>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2"/>
      <c r="L57" s="1463"/>
      <c r="M57" s="1464"/>
      <c r="N57" s="1454"/>
      <c r="O57" s="1454"/>
      <c r="P57" s="1665"/>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6"/>
      <c r="N58" s="1457"/>
      <c r="O58" s="1457"/>
      <c r="P58" s="1665"/>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5"/>
      <c r="M59" s="1466"/>
      <c r="N59" s="1467"/>
      <c r="O59" s="1467"/>
      <c r="P59" s="1666"/>
      <c r="Q59" s="1499"/>
      <c r="R59" s="1500"/>
      <c r="S59" s="1500"/>
      <c r="T59" s="1500"/>
      <c r="U59" s="1500"/>
      <c r="V59" s="1500"/>
      <c r="W59" s="1500"/>
      <c r="X59" s="1500"/>
      <c r="Y59" s="1500"/>
      <c r="Z59" s="1500"/>
      <c r="AA59" s="1500"/>
      <c r="AB59" s="1500"/>
      <c r="AC59" s="1500"/>
    </row>
    <row r="60" s="1125" customFormat="1" ht="15.75" spans="1:29">
      <c r="A60" s="1417"/>
      <c r="B60" s="1412"/>
      <c r="C60" s="1420"/>
      <c r="D60" s="1409"/>
      <c r="E60" s="1409"/>
      <c r="F60" s="1409"/>
      <c r="G60" s="1409"/>
      <c r="H60" s="1409"/>
      <c r="I60" s="1409"/>
      <c r="J60" s="1409"/>
      <c r="K60" s="1409"/>
      <c r="L60" s="1409"/>
      <c r="M60" s="1456"/>
      <c r="N60" s="1457"/>
      <c r="O60" s="1457"/>
      <c r="P60" s="1666"/>
      <c r="Q60" s="1499"/>
      <c r="R60" s="1500"/>
      <c r="S60" s="1500"/>
      <c r="T60" s="1500"/>
      <c r="U60" s="1500"/>
      <c r="V60" s="1500"/>
      <c r="W60" s="1500"/>
      <c r="X60" s="1500"/>
      <c r="Y60" s="1500"/>
      <c r="Z60" s="1500"/>
      <c r="AA60" s="1500"/>
      <c r="AB60" s="1500"/>
      <c r="AC60" s="1500"/>
    </row>
    <row r="61" s="1125" customFormat="1" ht="15.75" spans="1:29">
      <c r="A61" s="1417"/>
      <c r="B61" s="1410">
        <f>B13</f>
        <v>111</v>
      </c>
      <c r="C61" s="1418"/>
      <c r="D61" s="1418"/>
      <c r="E61" s="1418"/>
      <c r="F61" s="1418"/>
      <c r="G61" s="1418"/>
      <c r="H61" s="1419"/>
      <c r="I61" s="1419"/>
      <c r="J61" s="1419"/>
      <c r="K61" s="1419"/>
      <c r="L61" s="1465"/>
      <c r="M61" s="1466"/>
      <c r="N61" s="1467"/>
      <c r="O61" s="1467"/>
      <c r="P61" s="1667"/>
      <c r="Q61" s="1501"/>
      <c r="R61" s="1500"/>
      <c r="S61" s="1500"/>
      <c r="T61" s="1500"/>
      <c r="U61" s="1500"/>
      <c r="V61" s="1500"/>
      <c r="W61" s="1500"/>
      <c r="X61" s="1500"/>
      <c r="Y61" s="1500"/>
      <c r="Z61" s="1500"/>
      <c r="AA61" s="1500"/>
      <c r="AB61" s="1500"/>
      <c r="AC61" s="1500"/>
    </row>
    <row r="62" s="1125" customFormat="1" ht="15.75" spans="1:29">
      <c r="A62" s="1417"/>
      <c r="B62" s="1412"/>
      <c r="C62" s="1420"/>
      <c r="D62" s="1420"/>
      <c r="E62" s="1420"/>
      <c r="F62" s="1420"/>
      <c r="G62" s="1420"/>
      <c r="H62" s="1421"/>
      <c r="I62" s="1421"/>
      <c r="J62" s="1421"/>
      <c r="K62" s="1421"/>
      <c r="L62" s="1421"/>
      <c r="M62" s="1469"/>
      <c r="N62" s="1467"/>
      <c r="O62" s="1467"/>
      <c r="P62" s="1666"/>
      <c r="Q62" s="1499"/>
      <c r="R62" s="1500"/>
      <c r="S62" s="1500"/>
      <c r="T62" s="1500"/>
      <c r="U62" s="1500"/>
      <c r="V62" s="1500"/>
      <c r="W62" s="1500"/>
      <c r="X62" s="1500"/>
      <c r="Y62" s="1500"/>
      <c r="Z62" s="1500"/>
      <c r="AA62" s="1500"/>
      <c r="AB62" s="1500"/>
      <c r="AC62" s="1500"/>
    </row>
    <row r="63" ht="15" spans="1:29">
      <c r="A63" s="1405" t="s">
        <v>1499</v>
      </c>
      <c r="B63" s="1406" t="s">
        <v>1502</v>
      </c>
      <c r="C63" s="1427" t="s">
        <v>1532</v>
      </c>
      <c r="D63" s="1427" t="s">
        <v>1533</v>
      </c>
      <c r="E63" s="1427" t="s">
        <v>1534</v>
      </c>
      <c r="F63" s="1427" t="s">
        <v>1535</v>
      </c>
      <c r="G63" s="1427" t="s">
        <v>1536</v>
      </c>
      <c r="H63" s="1428"/>
      <c r="I63" s="1428"/>
      <c r="J63" s="1428"/>
      <c r="K63" s="1474"/>
      <c r="L63" s="1475"/>
      <c r="M63" s="1476"/>
      <c r="N63" s="1454"/>
      <c r="O63" s="1454"/>
      <c r="P63" s="1668"/>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1"/>
      <c r="N64" s="1457"/>
      <c r="O64" s="1457"/>
      <c r="P64" s="1665"/>
      <c r="Q64" s="1378"/>
      <c r="R64" s="1251"/>
      <c r="S64" s="1251"/>
      <c r="T64" s="1251"/>
      <c r="U64" s="1251"/>
      <c r="V64" s="1251"/>
      <c r="W64" s="1251"/>
      <c r="X64" s="1251"/>
      <c r="Y64" s="1251"/>
      <c r="Z64" s="1251"/>
      <c r="AA64" s="1251"/>
      <c r="AB64" s="1251"/>
      <c r="AC64" s="1251"/>
    </row>
    <row r="65" ht="15.75" spans="1:29">
      <c r="A65" s="1407"/>
      <c r="B65" s="1410" t="s">
        <v>1503</v>
      </c>
      <c r="C65" s="1429" t="s">
        <v>1532</v>
      </c>
      <c r="D65" s="1429" t="s">
        <v>1533</v>
      </c>
      <c r="E65" s="1429" t="s">
        <v>1534</v>
      </c>
      <c r="F65" s="1429" t="s">
        <v>1535</v>
      </c>
      <c r="G65" s="1429" t="s">
        <v>1536</v>
      </c>
      <c r="H65" s="1411"/>
      <c r="I65" s="1411"/>
      <c r="J65" s="1411"/>
      <c r="K65" s="1458"/>
      <c r="L65" s="1459"/>
      <c r="M65" s="1460"/>
      <c r="N65" s="1454"/>
      <c r="O65" s="1454"/>
      <c r="P65" s="1665"/>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1"/>
      <c r="N66" s="1457"/>
      <c r="O66" s="1457"/>
      <c r="P66" s="1665"/>
      <c r="Q66" s="1378"/>
      <c r="R66" s="1251"/>
      <c r="S66" s="1251"/>
      <c r="T66" s="1251"/>
      <c r="U66" s="1251"/>
      <c r="V66" s="1251"/>
      <c r="W66" s="1251"/>
      <c r="X66" s="1251"/>
      <c r="Y66" s="1251"/>
      <c r="Z66" s="1251"/>
      <c r="AA66" s="1251"/>
      <c r="AB66" s="1251"/>
      <c r="AC66" s="1251"/>
    </row>
    <row r="67" ht="15.75" spans="1:29">
      <c r="A67" s="1407"/>
      <c r="B67" s="1414" t="s">
        <v>1504</v>
      </c>
      <c r="C67" s="1434" t="s">
        <v>1537</v>
      </c>
      <c r="D67" s="1434" t="s">
        <v>1538</v>
      </c>
      <c r="E67" s="1434" t="s">
        <v>1539</v>
      </c>
      <c r="F67" s="1434" t="s">
        <v>1540</v>
      </c>
      <c r="G67" s="1434" t="s">
        <v>1541</v>
      </c>
      <c r="H67" s="1411"/>
      <c r="I67" s="1411"/>
      <c r="J67" s="1411"/>
      <c r="K67" s="1411"/>
      <c r="L67" s="1411"/>
      <c r="M67" s="1611"/>
      <c r="N67" s="1457"/>
      <c r="O67" s="1457"/>
      <c r="P67" s="1665"/>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7"/>
      <c r="O68" s="1457"/>
      <c r="P68" s="1665"/>
      <c r="Q68" s="1378"/>
      <c r="R68" s="1251"/>
      <c r="S68" s="1251"/>
      <c r="T68" s="1251"/>
      <c r="U68" s="1251"/>
      <c r="V68" s="1251"/>
      <c r="W68" s="1251"/>
      <c r="X68" s="1251"/>
      <c r="Y68" s="1251"/>
      <c r="Z68" s="1251"/>
      <c r="AA68" s="1251"/>
      <c r="AB68" s="1251"/>
      <c r="AC68" s="1251"/>
    </row>
    <row r="69" ht="15.75" spans="1:29">
      <c r="A69" s="1407"/>
      <c r="B69" s="1410" t="s">
        <v>1505</v>
      </c>
      <c r="C69" s="1429" t="s">
        <v>1532</v>
      </c>
      <c r="D69" s="1429" t="s">
        <v>1533</v>
      </c>
      <c r="E69" s="1429" t="s">
        <v>1534</v>
      </c>
      <c r="F69" s="1429" t="s">
        <v>1535</v>
      </c>
      <c r="G69" s="1429" t="s">
        <v>1536</v>
      </c>
      <c r="H69" s="1411"/>
      <c r="I69" s="1411"/>
      <c r="J69" s="1411"/>
      <c r="K69" s="1458"/>
      <c r="L69" s="1459"/>
      <c r="M69" s="1460"/>
      <c r="N69" s="1454"/>
      <c r="O69" s="1454"/>
      <c r="P69" s="1665"/>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1"/>
      <c r="N70" s="1457"/>
      <c r="O70" s="1457"/>
      <c r="P70" s="1665"/>
      <c r="Q70" s="1378"/>
      <c r="R70" s="1251"/>
      <c r="S70" s="1251"/>
      <c r="T70" s="1251"/>
      <c r="U70" s="1251"/>
      <c r="V70" s="1251"/>
      <c r="W70" s="1251"/>
      <c r="X70" s="1251"/>
      <c r="Y70" s="1251"/>
      <c r="Z70" s="1251"/>
      <c r="AA70" s="1251"/>
      <c r="AB70" s="1251"/>
      <c r="AC70" s="1251"/>
    </row>
    <row r="71" ht="15.75" spans="1:29">
      <c r="A71" s="1407"/>
      <c r="B71" s="1410" t="s">
        <v>1567</v>
      </c>
      <c r="C71" s="1418"/>
      <c r="D71" s="1418"/>
      <c r="E71" s="1418"/>
      <c r="F71" s="1418"/>
      <c r="G71" s="1418"/>
      <c r="H71" s="1435"/>
      <c r="I71" s="1435"/>
      <c r="J71" s="1435"/>
      <c r="K71" s="1484"/>
      <c r="L71" s="1485"/>
      <c r="M71" s="1486"/>
      <c r="N71" s="1454"/>
      <c r="O71" s="1454"/>
      <c r="P71" s="1665"/>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1"/>
      <c r="N72" s="1457"/>
      <c r="O72" s="1457"/>
      <c r="P72" s="1665"/>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2"/>
      <c r="M73" s="1613"/>
      <c r="N73" s="1448"/>
      <c r="O73" s="1448"/>
      <c r="P73" s="1665"/>
      <c r="Q73" s="1378"/>
      <c r="R73" s="1498"/>
      <c r="S73" s="1498"/>
      <c r="T73" s="1498"/>
      <c r="U73" s="1498"/>
      <c r="V73" s="1498"/>
      <c r="W73" s="1498"/>
      <c r="X73" s="1498"/>
      <c r="Y73" s="1498"/>
      <c r="Z73" s="1498"/>
      <c r="AA73" s="1498"/>
      <c r="AB73" s="1498"/>
      <c r="AC73" s="1498"/>
    </row>
    <row r="74" s="1123" customFormat="1" ht="15.75" spans="1:29">
      <c r="A74" s="1430"/>
      <c r="B74" s="1412"/>
      <c r="C74" s="1420"/>
      <c r="D74" s="1409"/>
      <c r="E74" s="1409"/>
      <c r="F74" s="1409"/>
      <c r="G74" s="1409"/>
      <c r="H74" s="1409"/>
      <c r="I74" s="1409"/>
      <c r="J74" s="1409"/>
      <c r="K74" s="1409"/>
      <c r="L74" s="1409"/>
      <c r="M74" s="1456"/>
      <c r="N74" s="1457"/>
      <c r="O74" s="1457"/>
      <c r="P74" s="1665"/>
      <c r="Q74" s="1378"/>
      <c r="R74" s="1498"/>
      <c r="S74" s="1498"/>
      <c r="T74" s="1498"/>
      <c r="U74" s="1498"/>
      <c r="V74" s="1498"/>
      <c r="W74" s="1498"/>
      <c r="X74" s="1498"/>
      <c r="Y74" s="1498"/>
      <c r="Z74" s="1498"/>
      <c r="AA74" s="1498"/>
      <c r="AB74" s="1498"/>
      <c r="AC74" s="1498"/>
    </row>
    <row r="75" s="1123" customFormat="1" ht="15.75" spans="1:29">
      <c r="A75" s="1430"/>
      <c r="B75" s="1410">
        <f>B24</f>
        <v>111</v>
      </c>
      <c r="C75" s="1182"/>
      <c r="D75" s="1182"/>
      <c r="E75" s="1182"/>
      <c r="F75" s="1182"/>
      <c r="G75" s="1418"/>
      <c r="H75" s="1418"/>
      <c r="I75" s="1418"/>
      <c r="J75" s="1418"/>
      <c r="K75" s="1418"/>
      <c r="L75" s="1418"/>
      <c r="M75" s="1613"/>
      <c r="N75" s="1448"/>
      <c r="O75" s="1448"/>
      <c r="P75" s="1665"/>
      <c r="Q75" s="1378"/>
      <c r="R75" s="1498"/>
      <c r="S75" s="1498"/>
      <c r="T75" s="1498"/>
      <c r="U75" s="1498"/>
      <c r="V75" s="1498"/>
      <c r="W75" s="1498"/>
      <c r="X75" s="1498"/>
      <c r="Y75" s="1498"/>
      <c r="Z75" s="1498"/>
      <c r="AA75" s="1498"/>
      <c r="AB75" s="1498"/>
      <c r="AC75" s="1498"/>
    </row>
    <row r="76" s="1123" customFormat="1" ht="15.75" spans="1:29">
      <c r="A76" s="1430"/>
      <c r="B76" s="1412"/>
      <c r="C76" s="1420"/>
      <c r="D76" s="1409"/>
      <c r="E76" s="1409"/>
      <c r="F76" s="1409"/>
      <c r="G76" s="1409"/>
      <c r="H76" s="1409"/>
      <c r="I76" s="1409"/>
      <c r="J76" s="1409"/>
      <c r="K76" s="1409"/>
      <c r="L76" s="1409"/>
      <c r="M76" s="1456"/>
      <c r="N76" s="1457"/>
      <c r="O76" s="1457"/>
      <c r="P76" s="1665"/>
      <c r="Q76" s="1378"/>
      <c r="R76" s="1498"/>
      <c r="S76" s="1498"/>
      <c r="T76" s="1498"/>
      <c r="U76" s="1498"/>
      <c r="V76" s="1498"/>
      <c r="W76" s="1498"/>
      <c r="X76" s="1498"/>
      <c r="Y76" s="1498"/>
      <c r="Z76" s="1498"/>
      <c r="AA76" s="1498"/>
      <c r="AB76" s="1498"/>
      <c r="AC76" s="1498"/>
    </row>
    <row r="77" s="1125" customFormat="1" ht="15.75" spans="1:29">
      <c r="A77" s="1417"/>
      <c r="B77" s="1410">
        <f>B25</f>
        <v>111</v>
      </c>
      <c r="C77" s="1418"/>
      <c r="D77" s="1418"/>
      <c r="E77" s="1418"/>
      <c r="F77" s="1418"/>
      <c r="G77" s="1418"/>
      <c r="H77" s="1419"/>
      <c r="I77" s="1419"/>
      <c r="J77" s="1419"/>
      <c r="K77" s="1419"/>
      <c r="L77" s="1465"/>
      <c r="M77" s="1466"/>
      <c r="N77" s="1467"/>
      <c r="O77" s="1467"/>
      <c r="P77" s="1666"/>
      <c r="Q77" s="1499"/>
      <c r="R77" s="1500"/>
      <c r="S77" s="1500"/>
      <c r="T77" s="1500"/>
      <c r="U77" s="1500"/>
      <c r="V77" s="1500"/>
      <c r="W77" s="1500"/>
      <c r="X77" s="1500"/>
      <c r="Y77" s="1500"/>
      <c r="Z77" s="1500"/>
      <c r="AA77" s="1500"/>
      <c r="AB77" s="1500"/>
      <c r="AC77" s="1500"/>
    </row>
    <row r="78" s="1125" customFormat="1" ht="15.75" spans="1:29">
      <c r="A78" s="1417"/>
      <c r="B78" s="1412"/>
      <c r="C78" s="1420"/>
      <c r="D78" s="1420"/>
      <c r="E78" s="1420"/>
      <c r="F78" s="1420"/>
      <c r="G78" s="1409"/>
      <c r="H78" s="1409"/>
      <c r="I78" s="1409"/>
      <c r="J78" s="1409"/>
      <c r="K78" s="1409"/>
      <c r="L78" s="1409"/>
      <c r="M78" s="1456"/>
      <c r="N78" s="1467"/>
      <c r="O78" s="1467"/>
      <c r="P78" s="1666"/>
      <c r="Q78" s="1499"/>
      <c r="R78" s="1500"/>
      <c r="S78" s="1500"/>
      <c r="T78" s="1500"/>
      <c r="U78" s="1500"/>
      <c r="V78" s="1500"/>
      <c r="W78" s="1500"/>
      <c r="X78" s="1500"/>
      <c r="Y78" s="1500"/>
      <c r="Z78" s="1500"/>
      <c r="AA78" s="1500"/>
      <c r="AB78" s="1500"/>
      <c r="AC78" s="1500"/>
    </row>
    <row r="79" ht="27.75" spans="1:29">
      <c r="A79" s="1405" t="s">
        <v>1508</v>
      </c>
      <c r="B79" s="1406" t="s">
        <v>1598</v>
      </c>
      <c r="C79" s="1428" t="str">
        <f>C26</f>
        <v>车库</v>
      </c>
      <c r="D79" s="1333"/>
      <c r="E79" s="1333"/>
      <c r="F79" s="1333"/>
      <c r="G79" s="1333"/>
      <c r="H79" s="1333"/>
      <c r="I79" s="1333"/>
      <c r="J79" s="1333"/>
      <c r="K79" s="1451"/>
      <c r="L79" s="1452"/>
      <c r="M79" s="1453"/>
      <c r="N79" s="1454"/>
      <c r="O79" s="1454"/>
      <c r="P79" s="1665"/>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1">
        <f t="shared" si="17"/>
        <v>100</v>
      </c>
      <c r="N80" s="1457"/>
      <c r="O80" s="1457"/>
      <c r="P80" s="1665"/>
      <c r="Q80" s="1378"/>
      <c r="R80" s="1251"/>
      <c r="S80" s="1251"/>
      <c r="T80" s="1251"/>
      <c r="U80" s="1251"/>
      <c r="V80" s="1251"/>
      <c r="W80" s="1251"/>
      <c r="X80" s="1251"/>
      <c r="Y80" s="1251"/>
      <c r="Z80" s="1251"/>
      <c r="AA80" s="1251"/>
      <c r="AB80" s="1251"/>
      <c r="AC80" s="1251"/>
    </row>
    <row r="81" ht="15.75" spans="1:29">
      <c r="A81" s="1407"/>
      <c r="B81" s="1410" t="s">
        <v>1589</v>
      </c>
      <c r="C81" s="1669"/>
      <c r="D81" s="1669"/>
      <c r="E81" s="1669"/>
      <c r="F81" s="1669"/>
      <c r="G81" s="1669"/>
      <c r="H81" s="1669"/>
      <c r="I81" s="1669"/>
      <c r="J81" s="1669"/>
      <c r="K81" s="1670"/>
      <c r="L81" s="1671"/>
      <c r="M81" s="1672"/>
      <c r="N81" s="1448"/>
      <c r="O81" s="1448"/>
      <c r="P81" s="1665"/>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6"/>
      <c r="N82" s="1457"/>
      <c r="O82" s="1457"/>
      <c r="P82" s="1666"/>
      <c r="Q82" s="1499"/>
      <c r="R82" s="1500"/>
      <c r="S82" s="1500"/>
      <c r="T82" s="1500"/>
      <c r="U82" s="1500"/>
      <c r="V82" s="1500"/>
      <c r="W82" s="1500"/>
      <c r="X82" s="1500"/>
      <c r="Y82" s="1500"/>
      <c r="Z82" s="1500"/>
      <c r="AA82" s="1500"/>
      <c r="AB82" s="1500"/>
      <c r="AC82" s="1500"/>
    </row>
    <row r="83" ht="15.75" spans="1:29">
      <c r="A83" s="1441"/>
      <c r="B83" s="1410" t="s">
        <v>1514</v>
      </c>
      <c r="C83" s="1418"/>
      <c r="D83" s="1418"/>
      <c r="E83" s="1435"/>
      <c r="F83" s="1435"/>
      <c r="G83" s="1435"/>
      <c r="H83" s="1435"/>
      <c r="I83" s="1435"/>
      <c r="J83" s="1435"/>
      <c r="K83" s="1484"/>
      <c r="L83" s="1485"/>
      <c r="M83" s="1486"/>
      <c r="N83" s="1454"/>
      <c r="O83" s="1454"/>
      <c r="P83" s="1665"/>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1">
        <f t="shared" si="18"/>
        <v>100</v>
      </c>
      <c r="N84" s="1457"/>
      <c r="O84" s="1457"/>
      <c r="P84" s="1665"/>
      <c r="Q84" s="1378"/>
      <c r="R84" s="1251"/>
      <c r="S84" s="1251"/>
      <c r="T84" s="1251"/>
      <c r="U84" s="1251"/>
      <c r="V84" s="1251"/>
      <c r="W84" s="1251"/>
      <c r="X84" s="1251"/>
      <c r="Y84" s="1251"/>
      <c r="Z84" s="1251"/>
      <c r="AA84" s="1251"/>
      <c r="AB84" s="1251"/>
      <c r="AC84" s="1251"/>
    </row>
    <row r="85" ht="15.75" spans="1:29">
      <c r="A85" s="1441"/>
      <c r="B85" s="1410" t="s">
        <v>1590</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4"/>
      <c r="L85" s="1485"/>
      <c r="M85" s="1486"/>
      <c r="N85" s="1454"/>
      <c r="O85" s="1454"/>
      <c r="P85" s="1665"/>
      <c r="Q85" s="1378"/>
      <c r="R85" s="1251"/>
      <c r="S85" s="1251"/>
      <c r="T85" s="1251"/>
      <c r="U85" s="1251"/>
      <c r="V85" s="1251"/>
      <c r="W85" s="1251"/>
      <c r="X85" s="1251"/>
      <c r="Y85" s="1251"/>
      <c r="Z85" s="1251"/>
      <c r="AA85" s="1251"/>
      <c r="AB85" s="1251"/>
      <c r="AC85" s="1251"/>
    </row>
    <row r="86" ht="15" spans="1:29">
      <c r="A86" s="1441"/>
      <c r="B86" s="1414"/>
      <c r="C86" s="878">
        <v>0.5</v>
      </c>
      <c r="D86" s="878">
        <v>0.6</v>
      </c>
      <c r="E86" s="878">
        <v>0.7</v>
      </c>
      <c r="F86" s="878">
        <v>0.8</v>
      </c>
      <c r="G86" s="878">
        <v>0.9</v>
      </c>
      <c r="H86" s="878">
        <v>1.0001</v>
      </c>
      <c r="I86" s="1673"/>
      <c r="J86" s="1673"/>
      <c r="K86" s="1674"/>
      <c r="L86" s="1675"/>
      <c r="M86" s="1676"/>
      <c r="N86" s="1454"/>
      <c r="O86" s="1454"/>
      <c r="P86" s="1665"/>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7"/>
      <c r="O87" s="1457"/>
      <c r="P87" s="1665"/>
      <c r="Q87" s="1378"/>
      <c r="R87" s="1251"/>
      <c r="S87" s="1251"/>
      <c r="T87" s="1251"/>
      <c r="U87" s="1251"/>
      <c r="V87" s="1251"/>
      <c r="W87" s="1251"/>
      <c r="X87" s="1251"/>
      <c r="Y87" s="1251"/>
      <c r="Z87" s="1251"/>
      <c r="AA87" s="1251"/>
      <c r="AB87" s="1251"/>
      <c r="AC87" s="1251"/>
    </row>
    <row r="88" ht="15.75" spans="1:29">
      <c r="A88" s="1441"/>
      <c r="B88" s="1414" t="s">
        <v>1591</v>
      </c>
      <c r="C88" s="1333"/>
      <c r="D88" s="1333"/>
      <c r="E88" s="1333"/>
      <c r="F88" s="1333"/>
      <c r="G88" s="1333"/>
      <c r="H88" s="1333"/>
      <c r="I88" s="1333"/>
      <c r="J88" s="1333"/>
      <c r="K88" s="1451"/>
      <c r="L88" s="1452"/>
      <c r="M88" s="1453"/>
      <c r="N88" s="1454"/>
      <c r="O88" s="1454"/>
      <c r="P88" s="1665"/>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7"/>
      <c r="O89" s="1457"/>
      <c r="P89" s="1665"/>
      <c r="Q89" s="1378"/>
      <c r="R89" s="1251"/>
      <c r="S89" s="1251"/>
      <c r="T89" s="1251"/>
      <c r="U89" s="1251"/>
      <c r="V89" s="1251"/>
      <c r="W89" s="1251"/>
      <c r="X89" s="1251"/>
      <c r="Y89" s="1251"/>
      <c r="Z89" s="1251"/>
      <c r="AA89" s="1251"/>
      <c r="AB89" s="1251"/>
      <c r="AC89" s="1251"/>
    </row>
    <row r="90" s="1125" customFormat="1" ht="15.75" spans="1:29">
      <c r="A90" s="1438"/>
      <c r="B90" s="1410" t="s">
        <v>1592</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79" t="str">
        <f>M91&amp;"(含)"&amp;"-"&amp;P91</f>
        <v>(含)-</v>
      </c>
      <c r="N90" s="1467"/>
      <c r="O90" s="1467"/>
      <c r="P90" s="1666"/>
      <c r="Q90" s="1499"/>
      <c r="R90" s="1500"/>
      <c r="S90" s="1500"/>
      <c r="T90" s="1500"/>
      <c r="U90" s="1500"/>
      <c r="V90" s="1500"/>
      <c r="W90" s="1500"/>
      <c r="X90" s="1500"/>
      <c r="Y90" s="1500"/>
      <c r="Z90" s="1500"/>
      <c r="AA90" s="1500"/>
      <c r="AB90" s="1500"/>
      <c r="AC90" s="1500"/>
    </row>
    <row r="91" s="1125" customFormat="1" ht="15" spans="1:29">
      <c r="A91" s="1438"/>
      <c r="B91" s="1414"/>
      <c r="C91" s="1394"/>
      <c r="D91" s="1394"/>
      <c r="E91" s="1394"/>
      <c r="F91" s="1394"/>
      <c r="G91" s="1394"/>
      <c r="H91" s="1394"/>
      <c r="I91" s="1394"/>
      <c r="J91" s="1491"/>
      <c r="K91" s="1491"/>
      <c r="L91" s="1492"/>
      <c r="M91" s="1493"/>
      <c r="N91" s="1467"/>
      <c r="O91" s="1467"/>
      <c r="P91" s="1666"/>
      <c r="Q91" s="1499"/>
      <c r="R91" s="1500"/>
      <c r="S91" s="1500"/>
      <c r="T91" s="1500"/>
      <c r="U91" s="1500"/>
      <c r="V91" s="1500"/>
      <c r="W91" s="1500"/>
      <c r="X91" s="1500"/>
      <c r="Y91" s="1500"/>
      <c r="Z91" s="1500"/>
      <c r="AA91" s="1500"/>
      <c r="AB91" s="1500"/>
      <c r="AC91" s="1500"/>
    </row>
    <row r="92" s="1125" customFormat="1" ht="15.75" spans="1:29">
      <c r="A92" s="1417"/>
      <c r="B92" s="1412"/>
      <c r="C92" s="1420"/>
      <c r="D92" s="1409"/>
      <c r="E92" s="1409"/>
      <c r="F92" s="1409"/>
      <c r="G92" s="1409"/>
      <c r="H92" s="1409"/>
      <c r="I92" s="1409"/>
      <c r="J92" s="1409"/>
      <c r="K92" s="1409"/>
      <c r="L92" s="1409"/>
      <c r="M92" s="1456"/>
      <c r="N92" s="1467"/>
      <c r="O92" s="1467"/>
      <c r="P92" s="1666"/>
      <c r="Q92" s="1499"/>
      <c r="R92" s="1500"/>
      <c r="S92" s="1500"/>
      <c r="T92" s="1500"/>
      <c r="U92" s="1500"/>
      <c r="V92" s="1500"/>
      <c r="W92" s="1500"/>
      <c r="X92" s="1500"/>
      <c r="Y92" s="1500"/>
      <c r="Z92" s="1500"/>
      <c r="AA92" s="1500"/>
      <c r="AB92" s="1500"/>
      <c r="AC92" s="1500"/>
    </row>
    <row r="93" ht="15.75" spans="1:29">
      <c r="A93" s="1441"/>
      <c r="B93" s="1410" t="s">
        <v>1593</v>
      </c>
      <c r="C93" s="1418"/>
      <c r="D93" s="1418"/>
      <c r="E93" s="1435"/>
      <c r="F93" s="1435"/>
      <c r="G93" s="1435"/>
      <c r="H93" s="1435"/>
      <c r="I93" s="1435"/>
      <c r="J93" s="1435"/>
      <c r="K93" s="1484"/>
      <c r="L93" s="1485"/>
      <c r="M93" s="1486"/>
      <c r="N93" s="1454"/>
      <c r="O93" s="1454"/>
      <c r="P93" s="1665"/>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1">
        <f t="shared" si="22"/>
        <v>100</v>
      </c>
      <c r="N94" s="1457"/>
      <c r="O94" s="1457"/>
      <c r="P94" s="1665"/>
      <c r="Q94" s="1378"/>
      <c r="R94" s="1251"/>
      <c r="S94" s="1251"/>
      <c r="T94" s="1251"/>
      <c r="U94" s="1251"/>
      <c r="V94" s="1251"/>
      <c r="W94" s="1251"/>
      <c r="X94" s="1251"/>
      <c r="Y94" s="1251"/>
      <c r="Z94" s="1251"/>
      <c r="AA94" s="1251"/>
      <c r="AB94" s="1251"/>
      <c r="AC94" s="1251"/>
    </row>
    <row r="95" ht="15.75" spans="1:29">
      <c r="A95" s="1441"/>
      <c r="B95" s="1410" t="s">
        <v>1594</v>
      </c>
      <c r="C95" s="1333"/>
      <c r="D95" s="1333"/>
      <c r="E95" s="1333"/>
      <c r="F95" s="1333"/>
      <c r="G95" s="1333"/>
      <c r="H95" s="1333"/>
      <c r="I95" s="1333"/>
      <c r="J95" s="1333"/>
      <c r="K95" s="1451"/>
      <c r="L95" s="1452"/>
      <c r="M95" s="1453"/>
      <c r="N95" s="1454"/>
      <c r="O95" s="1454"/>
      <c r="P95" s="1665"/>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1"/>
      <c r="N96" s="1457"/>
      <c r="O96" s="1457"/>
      <c r="P96" s="1665"/>
      <c r="Q96" s="1378"/>
      <c r="R96" s="1251"/>
      <c r="S96" s="1251"/>
      <c r="T96" s="1251"/>
      <c r="U96" s="1251"/>
      <c r="V96" s="1251"/>
      <c r="W96" s="1251"/>
      <c r="X96" s="1251"/>
      <c r="Y96" s="1251"/>
      <c r="Z96" s="1251"/>
      <c r="AA96" s="1251"/>
      <c r="AB96" s="1251"/>
      <c r="AC96" s="1251"/>
    </row>
    <row r="97" ht="15.75" spans="1:29">
      <c r="A97" s="1441"/>
      <c r="B97" s="1609">
        <f>B34</f>
        <v>111</v>
      </c>
      <c r="C97" s="1182"/>
      <c r="D97" s="1182"/>
      <c r="E97" s="1182"/>
      <c r="F97" s="1182"/>
      <c r="G97" s="1418"/>
      <c r="H97" s="1419"/>
      <c r="I97" s="1419"/>
      <c r="J97" s="1419"/>
      <c r="K97" s="1419"/>
      <c r="L97" s="1465"/>
      <c r="M97" s="1466"/>
      <c r="N97" s="1457"/>
      <c r="O97" s="1457"/>
      <c r="P97" s="1677"/>
      <c r="Q97" s="1620"/>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69"/>
      <c r="N98" s="1457"/>
      <c r="O98" s="1457"/>
      <c r="P98" s="1665"/>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5"/>
      <c r="M99" s="1466"/>
      <c r="N99" s="1467"/>
      <c r="O99" s="1467"/>
      <c r="P99" s="1666"/>
      <c r="Q99" s="1499"/>
      <c r="R99" s="1500"/>
      <c r="S99" s="1500"/>
      <c r="T99" s="1500"/>
      <c r="U99" s="1500"/>
      <c r="V99" s="1500"/>
      <c r="W99" s="1500"/>
      <c r="X99" s="1500"/>
      <c r="Y99" s="1500"/>
      <c r="Z99" s="1500"/>
      <c r="AA99" s="1500"/>
      <c r="AB99" s="1500"/>
      <c r="AC99" s="1500"/>
    </row>
    <row r="100" s="1125" customFormat="1" ht="15.75" spans="1:29">
      <c r="A100" s="1417"/>
      <c r="B100" s="1408"/>
      <c r="C100" s="1420"/>
      <c r="D100" s="1409"/>
      <c r="E100" s="1409"/>
      <c r="F100" s="1409"/>
      <c r="G100" s="1420"/>
      <c r="H100" s="1421"/>
      <c r="I100" s="1421"/>
      <c r="J100" s="1421"/>
      <c r="K100" s="1421"/>
      <c r="L100" s="1421"/>
      <c r="M100" s="1469"/>
      <c r="N100" s="1467"/>
      <c r="O100" s="1467"/>
      <c r="P100" s="1666"/>
      <c r="Q100" s="1499"/>
      <c r="R100" s="1500"/>
      <c r="S100" s="1500"/>
      <c r="T100" s="1500"/>
      <c r="U100" s="1500"/>
      <c r="V100" s="1500"/>
      <c r="W100" s="1500"/>
      <c r="X100" s="1500"/>
      <c r="Y100" s="1500"/>
      <c r="Z100" s="1500"/>
      <c r="AA100" s="1500"/>
      <c r="AB100" s="1500"/>
      <c r="AC100" s="1500"/>
    </row>
    <row r="101" ht="15.75" spans="1:29">
      <c r="A101" s="1441"/>
      <c r="B101" s="1410">
        <f>B36</f>
        <v>111</v>
      </c>
      <c r="C101" s="1418"/>
      <c r="D101" s="1418"/>
      <c r="E101" s="1418"/>
      <c r="F101" s="1418"/>
      <c r="G101" s="1418"/>
      <c r="H101" s="1419"/>
      <c r="I101" s="1419"/>
      <c r="J101" s="1419"/>
      <c r="K101" s="1419"/>
      <c r="L101" s="1465"/>
      <c r="M101" s="1466"/>
      <c r="N101" s="1454"/>
      <c r="O101" s="1454"/>
      <c r="P101" s="1665"/>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69"/>
      <c r="N102" s="1457"/>
      <c r="O102" s="1457"/>
      <c r="P102" s="1665"/>
      <c r="Q102" s="1378"/>
      <c r="R102" s="1251"/>
      <c r="S102" s="1251"/>
      <c r="T102" s="1251"/>
      <c r="U102" s="1251"/>
      <c r="V102" s="1251"/>
      <c r="W102" s="1251"/>
      <c r="X102" s="1251"/>
      <c r="Y102" s="1251"/>
      <c r="Z102" s="1251"/>
      <c r="AA102" s="1251"/>
      <c r="AB102" s="1251"/>
      <c r="AC102" s="1251"/>
    </row>
    <row r="103" ht="15" spans="14:29">
      <c r="N103" s="1251"/>
      <c r="O103" s="1251"/>
      <c r="P103" s="1659"/>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0" customFormat="1" ht="28.5" customHeight="1" spans="1:29">
      <c r="A1" s="1541" t="s">
        <v>1585</v>
      </c>
      <c r="B1" s="1542" t="s">
        <v>1599</v>
      </c>
      <c r="C1" s="1543" t="s">
        <v>1472</v>
      </c>
      <c r="D1" s="1544"/>
      <c r="E1" s="1545"/>
      <c r="F1" s="1546"/>
      <c r="G1" s="1547" t="s">
        <v>1473</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2" customFormat="1" ht="28.5" customHeight="1" spans="1:29">
      <c r="A2" s="1549" t="s">
        <v>987</v>
      </c>
      <c r="B2" s="1550" t="b">
        <f ca="1">IF(E1="项目模式",IF(C2="——",ROUND(C37*D3/10000,0),ROUND(C37*D3/10000,0)-D2),IF(E1="单套模式",IF(C2="——",ROUND(C37*D3/10000,4),ROUND(C37*D3/10000,4)-D2)))</f>
        <v>0</v>
      </c>
      <c r="C2" s="1551"/>
      <c r="D2" s="1502" t="e">
        <f ca="1">IF(E1="项目模式",SUMIF(INDIRECT("'"&amp;F2&amp;"'"&amp;"!A:A"),"承租人权益价值",INDIRECT("'"&amp;F2&amp;"'"&amp;"!c:c")),SUMIF(INDIRECT("'"&amp;F2&amp;"'"&amp;"!A:A"),"承租人权益价值（单套）",INDIRECT("'"&amp;F2&amp;"'"&amp;"!c:c")))</f>
        <v>#REF!</v>
      </c>
      <c r="E2" s="1552" t="s">
        <v>988</v>
      </c>
      <c r="F2" s="1553"/>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396" t="s">
        <v>989</v>
      </c>
      <c r="B3" s="1140" t="e">
        <f ca="1">IF(C2="——",C37,ROUND(B2*10000/D3,0))</f>
        <v>#DIV/0!</v>
      </c>
      <c r="C3" s="1554" t="s">
        <v>1474</v>
      </c>
      <c r="D3" s="1555">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3" t="s">
        <v>1486</v>
      </c>
      <c r="D6" s="1504"/>
      <c r="E6" s="1505" t="s">
        <v>1486</v>
      </c>
      <c r="F6" s="1506"/>
      <c r="G6" s="1503" t="s">
        <v>1486</v>
      </c>
      <c r="H6" s="1504"/>
      <c r="I6" s="1503" t="s">
        <v>1486</v>
      </c>
      <c r="J6" s="1504"/>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45539</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1489</v>
      </c>
      <c r="Q7" s="1364"/>
      <c r="R7" s="1365" t="s">
        <v>1490</v>
      </c>
      <c r="S7" s="1366">
        <f t="shared" ref="S7:S14" si="0">F7</f>
        <v>0</v>
      </c>
      <c r="T7" s="1365" t="s">
        <v>1490</v>
      </c>
      <c r="U7" s="1366">
        <f t="shared" ref="U7:U14" si="1">H7</f>
        <v>0</v>
      </c>
      <c r="V7" s="1365" t="s">
        <v>1490</v>
      </c>
      <c r="W7" s="1366">
        <f t="shared" ref="W7:W14"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34" si="3">D8/F8</f>
        <v>1</v>
      </c>
      <c r="AB8" s="1384">
        <f t="shared" ref="AB8:AB34" si="4">D8/H8</f>
        <v>1</v>
      </c>
      <c r="AC8" s="1384">
        <f t="shared" ref="AC8:AC34" si="5">D8/J8</f>
        <v>1</v>
      </c>
    </row>
    <row r="9" s="1123" customFormat="1" spans="1:29">
      <c r="A9" s="1168" t="s">
        <v>1493</v>
      </c>
      <c r="B9" s="1169" t="s">
        <v>1494</v>
      </c>
      <c r="C9" s="1556"/>
      <c r="D9" s="1171">
        <v>100</v>
      </c>
      <c r="E9" s="1557"/>
      <c r="F9" s="1558">
        <f>SUMIF(51:51,E9,52:52)-SUMIF(51:51,C9,52:52)+100</f>
        <v>100</v>
      </c>
      <c r="G9" s="1557"/>
      <c r="H9" s="1171">
        <f>SUMIF(51:51,G9,52:52)-SUMIF(51:51,C9,52:52)+100</f>
        <v>100</v>
      </c>
      <c r="I9" s="1557"/>
      <c r="J9" s="1171">
        <f>SUMIF(51:51,I9,52:52)-SUMIF(51:51,C9,52:52)+100</f>
        <v>100</v>
      </c>
      <c r="K9" s="1308"/>
      <c r="L9" s="1309"/>
      <c r="M9" s="1310"/>
      <c r="N9" s="1310"/>
      <c r="O9" s="1312"/>
      <c r="P9" s="699" t="s">
        <v>1495</v>
      </c>
      <c r="Q9" s="1369" t="str">
        <f t="shared" ref="Q9:Q14" si="6">B9</f>
        <v>用途</v>
      </c>
      <c r="R9" s="1365" t="s">
        <v>1490</v>
      </c>
      <c r="S9" s="1366">
        <f t="shared" si="0"/>
        <v>100</v>
      </c>
      <c r="T9" s="1365" t="s">
        <v>1490</v>
      </c>
      <c r="U9" s="1366">
        <f t="shared" si="1"/>
        <v>100</v>
      </c>
      <c r="V9" s="1365" t="s">
        <v>1490</v>
      </c>
      <c r="W9" s="1366">
        <f t="shared" si="2"/>
        <v>100</v>
      </c>
      <c r="X9" s="1367"/>
      <c r="Y9" s="1369" t="s">
        <v>1496</v>
      </c>
      <c r="Z9" s="1385" t="str">
        <f t="shared" ref="Z9:Z14" si="7">Q9</f>
        <v>用途</v>
      </c>
      <c r="AA9" s="1384">
        <f t="shared" si="3"/>
        <v>1</v>
      </c>
      <c r="AB9" s="1384">
        <f t="shared" si="4"/>
        <v>1</v>
      </c>
      <c r="AC9" s="1384">
        <f t="shared" si="5"/>
        <v>1</v>
      </c>
    </row>
    <row r="10" s="1124" customFormat="1" ht="27" spans="1:29">
      <c r="A10" s="1172"/>
      <c r="B10" s="1173" t="s">
        <v>1497</v>
      </c>
      <c r="C10" s="1559"/>
      <c r="D10" s="1175">
        <v>100</v>
      </c>
      <c r="E10" s="1559"/>
      <c r="F10" s="1560">
        <f>SUMIF(53:53,E10,54:54)-SUMIF(53:53,C10,54:54)+100</f>
        <v>100</v>
      </c>
      <c r="G10" s="1559"/>
      <c r="H10" s="1175">
        <f>SUMIF(53:53,G10,54:54)-SUMIF(53:53,C10,54:54)+100</f>
        <v>100</v>
      </c>
      <c r="I10" s="1559"/>
      <c r="J10" s="1175">
        <f>SUMIF(53:53,I10,54:54)-SUMIF(53:53,C10,54:54)+100</f>
        <v>100</v>
      </c>
      <c r="K10" s="1308"/>
      <c r="L10" s="1314"/>
      <c r="M10" s="1315"/>
      <c r="N10" s="1315"/>
      <c r="O10" s="1316"/>
      <c r="P10" s="699"/>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1"/>
      <c r="F11" s="1560">
        <f>SUMIF(55:55,E11,56:56)-SUMIF(55:55,C11,56:56)+100</f>
        <v>100</v>
      </c>
      <c r="G11" s="1561"/>
      <c r="H11" s="1175">
        <f>SUMIF(55:55,G11,56:56)-SUMIF(55:55,C11,56:56)+100</f>
        <v>100</v>
      </c>
      <c r="I11" s="1561"/>
      <c r="J11" s="1175">
        <f>SUMIF(55:55,I11,56:56)-SUMIF(55:55,C11,56:56)+100</f>
        <v>100</v>
      </c>
      <c r="K11" s="1327"/>
      <c r="L11" s="1318"/>
      <c r="M11" s="1304"/>
      <c r="N11" s="1304"/>
      <c r="O11" s="1319"/>
      <c r="P11" s="699"/>
      <c r="Q11" s="1369">
        <f t="shared" si="6"/>
        <v>111</v>
      </c>
      <c r="R11" s="1365" t="s">
        <v>1490</v>
      </c>
      <c r="S11" s="1366">
        <f t="shared" si="0"/>
        <v>100</v>
      </c>
      <c r="T11" s="1365" t="s">
        <v>1490</v>
      </c>
      <c r="U11" s="1366">
        <f t="shared" si="1"/>
        <v>100</v>
      </c>
      <c r="V11" s="1365" t="s">
        <v>1490</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1"/>
      <c r="F12" s="1560">
        <f>SUMIF(57:57,E12,58:58)-SUMIF(57:57,C12,58:58)+100</f>
        <v>100</v>
      </c>
      <c r="G12" s="1561"/>
      <c r="H12" s="1175">
        <f>SUMIF(57:57,G12,58:58)-SUMIF(57:57,C12,58:58)+100</f>
        <v>100</v>
      </c>
      <c r="I12" s="1561"/>
      <c r="J12" s="1175">
        <f>SUMIF(57:57,I12,58:58)-SUMIF(57:57,C12,58:58)+100</f>
        <v>100</v>
      </c>
      <c r="K12" s="1327"/>
      <c r="L12" s="1309"/>
      <c r="M12" s="1310"/>
      <c r="N12" s="1310"/>
      <c r="O12" s="1312"/>
      <c r="P12" s="699"/>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1"/>
      <c r="F13" s="1560">
        <f>SUMIF(59:59,E13,60:60)-SUMIF(59:59,C13,60:60)+100</f>
        <v>100</v>
      </c>
      <c r="G13" s="1562"/>
      <c r="H13" s="1189">
        <f>SUMIF(59:59,G13,60:60)-SUMIF(59:59,C13,60:60)+100</f>
        <v>100</v>
      </c>
      <c r="I13" s="1561"/>
      <c r="J13" s="1185">
        <f>SUMIF(59:59,I13,60:60)-SUMIF(59:59,C13,60:60)+100</f>
        <v>100</v>
      </c>
      <c r="K13" s="1327"/>
      <c r="L13" s="1320"/>
      <c r="M13" s="1304"/>
      <c r="N13" s="1304"/>
      <c r="O13" s="1319"/>
      <c r="P13" s="699"/>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81" spans="1:29">
      <c r="A14" s="1190" t="s">
        <v>1499</v>
      </c>
      <c r="B14" s="1509" t="s">
        <v>1502</v>
      </c>
      <c r="C14" s="1192" t="str">
        <f>IF(B1="工业",估价对象房地状况!G4,估价对象房地状况!C6)</f>
        <v>估价对象周边道路状况、公共交通通达情况、停车便捷程度，综合评价交通便捷度较好</v>
      </c>
      <c r="D14" s="1193">
        <v>100</v>
      </c>
      <c r="E14" s="1194"/>
      <c r="F14" s="1563">
        <f>SUMIF(61:61,E15,62:62)-SUMIF(61:61,C15,62:62)+100</f>
        <v>100</v>
      </c>
      <c r="G14" s="1321"/>
      <c r="H14" s="1193">
        <f>SUMIF(61:61,G15,62:62)-SUMIF(61:61,C15,62:62)+100</f>
        <v>100</v>
      </c>
      <c r="I14" s="1194"/>
      <c r="J14" s="1193">
        <f>SUMIF(61:61,I15,62:62)-SUMIF(61:61,C15,62:62)+100</f>
        <v>100</v>
      </c>
      <c r="K14" s="1602"/>
      <c r="L14" s="1320"/>
      <c r="M14" s="1304"/>
      <c r="N14" s="1304"/>
      <c r="O14" s="1319"/>
      <c r="P14" s="1322" t="s">
        <v>1501</v>
      </c>
      <c r="Q14" s="699" t="str">
        <f t="shared" si="6"/>
        <v>交通便捷度</v>
      </c>
      <c r="R14" s="1370" t="s">
        <v>1490</v>
      </c>
      <c r="S14" s="1371">
        <f t="shared" si="0"/>
        <v>100</v>
      </c>
      <c r="T14" s="1370" t="s">
        <v>1490</v>
      </c>
      <c r="U14" s="1371">
        <f t="shared" si="1"/>
        <v>100</v>
      </c>
      <c r="V14" s="1370" t="s">
        <v>1490</v>
      </c>
      <c r="W14" s="1371">
        <f t="shared" si="2"/>
        <v>100</v>
      </c>
      <c r="X14" s="1357"/>
      <c r="Y14" s="1322" t="s">
        <v>1501</v>
      </c>
      <c r="Z14" s="1344" t="str">
        <f t="shared" si="7"/>
        <v>交通便捷度</v>
      </c>
      <c r="AA14" s="1386">
        <f t="shared" si="3"/>
        <v>1</v>
      </c>
      <c r="AB14" s="1386">
        <f t="shared" si="4"/>
        <v>1</v>
      </c>
      <c r="AC14" s="1386">
        <f t="shared" si="5"/>
        <v>1</v>
      </c>
    </row>
    <row r="15" ht="15" spans="1:29">
      <c r="A15" s="1176"/>
      <c r="B15" s="1511"/>
      <c r="C15" s="1196"/>
      <c r="D15" s="1197"/>
      <c r="E15" s="1196"/>
      <c r="F15" s="1564"/>
      <c r="G15" s="1196"/>
      <c r="H15" s="1199"/>
      <c r="I15" s="1196"/>
      <c r="J15" s="1197"/>
      <c r="K15" s="1603"/>
      <c r="L15" s="1320"/>
      <c r="M15" s="1304"/>
      <c r="N15" s="1304"/>
      <c r="O15" s="1319"/>
      <c r="P15" s="1323"/>
      <c r="Q15" s="699"/>
      <c r="R15" s="1370"/>
      <c r="S15" s="1371"/>
      <c r="T15" s="1370"/>
      <c r="U15" s="1371"/>
      <c r="V15" s="1370"/>
      <c r="W15" s="1371"/>
      <c r="X15" s="1357"/>
      <c r="Y15" s="1323"/>
      <c r="Z15" s="1344"/>
      <c r="AA15" s="1386">
        <v>1</v>
      </c>
      <c r="AB15" s="1386">
        <v>1</v>
      </c>
      <c r="AC15" s="1386">
        <v>1</v>
      </c>
    </row>
    <row r="16" ht="40.5" spans="1:29">
      <c r="A16" s="1176"/>
      <c r="B16" s="1512" t="s">
        <v>1503</v>
      </c>
      <c r="C16" s="1201" t="str">
        <f>IF(B1="工业",估价对象房地状况!G5,估价对象房地状况!C7)</f>
        <v>估价对象所在区域公共配套设施齐备情况</v>
      </c>
      <c r="D16" s="1203">
        <v>100</v>
      </c>
      <c r="E16" s="1515"/>
      <c r="F16" s="1565">
        <f>SUMIF(63:63,E17,64:64)-SUMIF(63:63,C17,64:64)+100</f>
        <v>100</v>
      </c>
      <c r="G16" s="1523"/>
      <c r="H16" s="1203">
        <f>SUMIF(63:63,G17,64:64)-SUMIF(63:63,C17,64:64)+100</f>
        <v>100</v>
      </c>
      <c r="I16" s="1515"/>
      <c r="J16" s="1203">
        <f>SUMIF(63:63,I17,64:64)-SUMIF(63:63,C17,64:64)+100</f>
        <v>100</v>
      </c>
      <c r="K16" s="1602"/>
      <c r="L16" s="1320"/>
      <c r="M16" s="1304"/>
      <c r="N16" s="1304"/>
      <c r="O16" s="1319"/>
      <c r="P16" s="1323"/>
      <c r="Q16" s="699" t="str">
        <f>B16</f>
        <v>公共配套设施</v>
      </c>
      <c r="R16" s="1370" t="s">
        <v>1490</v>
      </c>
      <c r="S16" s="1371">
        <f>F16</f>
        <v>100</v>
      </c>
      <c r="T16" s="1370" t="s">
        <v>1490</v>
      </c>
      <c r="U16" s="1371">
        <f>H16</f>
        <v>100</v>
      </c>
      <c r="V16" s="1370" t="s">
        <v>1490</v>
      </c>
      <c r="W16" s="1371">
        <f>J16</f>
        <v>100</v>
      </c>
      <c r="X16" s="1357"/>
      <c r="Y16" s="1323"/>
      <c r="Z16" s="1344" t="str">
        <f>Q16</f>
        <v>公共配套设施</v>
      </c>
      <c r="AA16" s="1386">
        <f t="shared" si="3"/>
        <v>1</v>
      </c>
      <c r="AB16" s="1386">
        <f t="shared" si="4"/>
        <v>1</v>
      </c>
      <c r="AC16" s="1386">
        <f t="shared" si="5"/>
        <v>1</v>
      </c>
    </row>
    <row r="17" ht="15" spans="1:29">
      <c r="A17" s="1176"/>
      <c r="B17" s="1224"/>
      <c r="C17" s="1513"/>
      <c r="D17" s="1197"/>
      <c r="E17" s="1196"/>
      <c r="F17" s="1564"/>
      <c r="G17" s="1196"/>
      <c r="H17" s="1197"/>
      <c r="I17" s="1196"/>
      <c r="J17" s="1197"/>
      <c r="K17" s="1603"/>
      <c r="L17" s="1320"/>
      <c r="M17" s="1304"/>
      <c r="N17" s="1304"/>
      <c r="O17" s="1319"/>
      <c r="P17" s="1323"/>
      <c r="Q17" s="699"/>
      <c r="R17" s="1370"/>
      <c r="S17" s="1371"/>
      <c r="T17" s="1370"/>
      <c r="U17" s="1371"/>
      <c r="V17" s="1370"/>
      <c r="W17" s="1371"/>
      <c r="X17" s="1357"/>
      <c r="Y17" s="1323"/>
      <c r="Z17" s="1344"/>
      <c r="AA17" s="1386">
        <v>1</v>
      </c>
      <c r="AB17" s="1386">
        <v>1</v>
      </c>
      <c r="AC17" s="1386">
        <v>1</v>
      </c>
    </row>
    <row r="18" ht="27" spans="1:29">
      <c r="A18" s="1176"/>
      <c r="B18" s="1516" t="s">
        <v>1504</v>
      </c>
      <c r="C18" s="1201" t="str">
        <f>IF(B1="工业",估价对象房地状况!G6,估价对象房地状况!C8)</f>
        <v>估价对象所在区域基础设施水平</v>
      </c>
      <c r="D18" s="1203">
        <v>100</v>
      </c>
      <c r="E18" s="1202"/>
      <c r="F18" s="1565">
        <f>SUMIF(65:65,E19,66:66)-SUMIF(65:65,C19,66:66)+100</f>
        <v>100</v>
      </c>
      <c r="G18" s="1324"/>
      <c r="H18" s="1203">
        <f>SUMIF(65:65,G19,66:66)-SUMIF(65:65,C19,66:66)+100</f>
        <v>100</v>
      </c>
      <c r="I18" s="1515"/>
      <c r="J18" s="1203">
        <f>SUMIF(65:65,I19,66:66)-SUMIF(65:65,C19,66:66)+100</f>
        <v>100</v>
      </c>
      <c r="K18" s="1602"/>
      <c r="L18" s="1320"/>
      <c r="M18" s="1304"/>
      <c r="N18" s="1304"/>
      <c r="O18" s="1319"/>
      <c r="P18" s="1323"/>
      <c r="Q18" s="699" t="str">
        <f>B18</f>
        <v>基础设施水平</v>
      </c>
      <c r="R18" s="1370" t="s">
        <v>1490</v>
      </c>
      <c r="S18" s="1371">
        <f>F18</f>
        <v>100</v>
      </c>
      <c r="T18" s="1370" t="s">
        <v>1490</v>
      </c>
      <c r="U18" s="1371">
        <f>H18</f>
        <v>100</v>
      </c>
      <c r="V18" s="1370" t="s">
        <v>1490</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6"/>
      <c r="C19" s="1513"/>
      <c r="D19" s="1199"/>
      <c r="E19" s="1513"/>
      <c r="F19" s="1566"/>
      <c r="G19" s="1513"/>
      <c r="H19" s="1197"/>
      <c r="I19" s="1196"/>
      <c r="J19" s="1197"/>
      <c r="K19" s="1604"/>
      <c r="L19" s="1320"/>
      <c r="M19" s="1304"/>
      <c r="N19" s="1304"/>
      <c r="O19" s="1319"/>
      <c r="P19" s="1323"/>
      <c r="Q19" s="699"/>
      <c r="R19" s="1370"/>
      <c r="S19" s="1371"/>
      <c r="T19" s="1370"/>
      <c r="U19" s="1371"/>
      <c r="V19" s="1370"/>
      <c r="W19" s="1371"/>
      <c r="X19" s="1357"/>
      <c r="Y19" s="1323"/>
      <c r="Z19" s="1344"/>
      <c r="AA19" s="1386">
        <v>1</v>
      </c>
      <c r="AB19" s="1386">
        <v>1</v>
      </c>
      <c r="AC19" s="1386">
        <v>1</v>
      </c>
    </row>
    <row r="20" ht="54" spans="1:29">
      <c r="A20" s="1176"/>
      <c r="B20" s="1512" t="s">
        <v>1505</v>
      </c>
      <c r="C20" s="1201" t="str">
        <f>IF(B1="工业",估价对象房地状况!G7,估价对象房地状况!C9)</f>
        <v>区域自然环境：；人文环境；综合评价环境状况一般</v>
      </c>
      <c r="D20" s="1203">
        <v>100</v>
      </c>
      <c r="E20" s="1515"/>
      <c r="F20" s="1565">
        <f>SUMIF(67:67,E21,68:68)-SUMIF(67:67,C21,68:68)+100</f>
        <v>100</v>
      </c>
      <c r="G20" s="1523"/>
      <c r="H20" s="1199">
        <f>SUMIF(67:67,G21,68:68)-SUMIF(67:67,C21,68:68)+100</f>
        <v>100</v>
      </c>
      <c r="I20" s="1202"/>
      <c r="J20" s="1199">
        <f>SUMIF(67:67,I21,68:68)-SUMIF(67:67,C21,68:68)+100</f>
        <v>100</v>
      </c>
      <c r="K20" s="1602"/>
      <c r="L20" s="1320"/>
      <c r="M20" s="1304"/>
      <c r="N20" s="1304"/>
      <c r="O20" s="1319"/>
      <c r="P20" s="1323"/>
      <c r="Q20" s="699" t="str">
        <f>B20</f>
        <v>自然及人文环境</v>
      </c>
      <c r="R20" s="1370" t="s">
        <v>1490</v>
      </c>
      <c r="S20" s="1371">
        <f>F20</f>
        <v>100</v>
      </c>
      <c r="T20" s="1370" t="s">
        <v>1490</v>
      </c>
      <c r="U20" s="1371">
        <f>H20</f>
        <v>100</v>
      </c>
      <c r="V20" s="1370" t="s">
        <v>1490</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4"/>
      <c r="G21" s="1196"/>
      <c r="H21" s="1197"/>
      <c r="I21" s="1196"/>
      <c r="J21" s="1197"/>
      <c r="K21" s="1603"/>
      <c r="L21" s="1320"/>
      <c r="M21" s="1304"/>
      <c r="N21" s="1304"/>
      <c r="O21" s="1319"/>
      <c r="P21" s="1323"/>
      <c r="Q21" s="699"/>
      <c r="R21" s="1370"/>
      <c r="S21" s="1371"/>
      <c r="T21" s="1370"/>
      <c r="U21" s="1371"/>
      <c r="V21" s="1370"/>
      <c r="W21" s="1371"/>
      <c r="X21" s="1357"/>
      <c r="Y21" s="1323"/>
      <c r="Z21" s="1344"/>
      <c r="AA21" s="1386">
        <v>1</v>
      </c>
      <c r="AB21" s="1386">
        <v>1</v>
      </c>
      <c r="AC21" s="1386">
        <v>1</v>
      </c>
    </row>
    <row r="22" ht="15" spans="1:29">
      <c r="A22" s="1176"/>
      <c r="B22" s="1512" t="s">
        <v>1567</v>
      </c>
      <c r="C22" s="1210"/>
      <c r="D22" s="1199">
        <v>100</v>
      </c>
      <c r="E22" s="1210"/>
      <c r="F22" s="1567">
        <f>SUMIF(69:69,E22,70:70)-SUMIF(69:69,C22,70:70)+100</f>
        <v>100</v>
      </c>
      <c r="G22" s="1210"/>
      <c r="H22" s="1185">
        <f>SUMIF(69:69,G22,70:70)-SUMIF(69:69,C22,70:70)+100</f>
        <v>100</v>
      </c>
      <c r="I22" s="1210"/>
      <c r="J22" s="1185">
        <f>SUMIF(69:69,I22,70:70)-SUMIF(69:69,C22,70:70)+100</f>
        <v>100</v>
      </c>
      <c r="K22" s="1328"/>
      <c r="L22" s="1320"/>
      <c r="M22" s="1304"/>
      <c r="N22" s="1304"/>
      <c r="O22" s="1319"/>
      <c r="P22" s="1323"/>
      <c r="Q22" s="699" t="str">
        <f>B22</f>
        <v>楼层</v>
      </c>
      <c r="R22" s="1370" t="s">
        <v>1490</v>
      </c>
      <c r="S22" s="1371">
        <f>F22</f>
        <v>100</v>
      </c>
      <c r="T22" s="1370" t="s">
        <v>1490</v>
      </c>
      <c r="U22" s="1371">
        <f>H22</f>
        <v>100</v>
      </c>
      <c r="V22" s="1370" t="s">
        <v>1490</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7">
        <f>SUMIF(71:71,E23,72:72)-SUMIF(71:71,C23,72:72)+100</f>
        <v>100</v>
      </c>
      <c r="G23" s="1184"/>
      <c r="H23" s="1185">
        <f>SUMIF(71:71,G23,72:72)-SUMIF(71:71,C23,72:72)+100</f>
        <v>100</v>
      </c>
      <c r="I23" s="1184"/>
      <c r="J23" s="1185">
        <f>SUMIF(71:71,I23,72:72)-SUMIF(71:71,C23,72:72)+100</f>
        <v>100</v>
      </c>
      <c r="K23" s="1327"/>
      <c r="L23" s="1320"/>
      <c r="M23" s="1304"/>
      <c r="N23" s="1304"/>
      <c r="O23" s="1319"/>
      <c r="P23" s="1323"/>
      <c r="Q23" s="699">
        <f>B23</f>
        <v>111</v>
      </c>
      <c r="R23" s="1370" t="s">
        <v>1490</v>
      </c>
      <c r="S23" s="1371">
        <f>F23</f>
        <v>100</v>
      </c>
      <c r="T23" s="1370" t="s">
        <v>1490</v>
      </c>
      <c r="U23" s="1371">
        <f>H23</f>
        <v>100</v>
      </c>
      <c r="V23" s="1370" t="s">
        <v>1490</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7">
        <f>SUMIF(73:73,E24,74:74)-SUMIF(73:73,C24,74:74)+100</f>
        <v>100</v>
      </c>
      <c r="G24" s="1184"/>
      <c r="H24" s="1185">
        <f>SUMIF(73:73,G24,74:74)-SUMIF(73:73,C24,74:74)+100</f>
        <v>100</v>
      </c>
      <c r="I24" s="1184"/>
      <c r="J24" s="1185">
        <f>SUMIF(73:73,I24,74:74)-SUMIF(73:73,C24,74:74)+100</f>
        <v>100</v>
      </c>
      <c r="K24" s="1327"/>
      <c r="L24" s="1320"/>
      <c r="M24" s="1304"/>
      <c r="N24" s="1304"/>
      <c r="O24" s="1319"/>
      <c r="P24" s="1323"/>
      <c r="Q24" s="699">
        <f t="shared" ref="Q24:Q34" si="11">B24</f>
        <v>111</v>
      </c>
      <c r="R24" s="1370" t="s">
        <v>1490</v>
      </c>
      <c r="S24" s="1371">
        <f>F24</f>
        <v>100</v>
      </c>
      <c r="T24" s="1370" t="s">
        <v>1490</v>
      </c>
      <c r="U24" s="1371">
        <f>H24</f>
        <v>100</v>
      </c>
      <c r="V24" s="1370" t="s">
        <v>1490</v>
      </c>
      <c r="W24" s="1371">
        <f>J24</f>
        <v>100</v>
      </c>
      <c r="X24" s="1357"/>
      <c r="Y24" s="1323"/>
      <c r="Z24" s="1344">
        <f>Q24</f>
        <v>111</v>
      </c>
      <c r="AA24" s="1386">
        <f t="shared" si="3"/>
        <v>1</v>
      </c>
      <c r="AB24" s="1386">
        <f t="shared" si="4"/>
        <v>1</v>
      </c>
      <c r="AC24" s="1386">
        <f t="shared" si="5"/>
        <v>1</v>
      </c>
    </row>
    <row r="25" s="1123" customFormat="1" ht="15.75" spans="1:29">
      <c r="A25" s="1179"/>
      <c r="B25" s="1180">
        <v>111</v>
      </c>
      <c r="C25" s="1568"/>
      <c r="D25" s="1569">
        <v>100</v>
      </c>
      <c r="E25" s="1568"/>
      <c r="F25" s="1570">
        <f>SUMIF(75:75,E25,76:76)-SUMIF(75:75,C25,76:76)+100</f>
        <v>100</v>
      </c>
      <c r="G25" s="1568"/>
      <c r="H25" s="1569">
        <f>SUMIF(75:75,G25,76:76)-SUMIF(75:75,C25,76:76)+100</f>
        <v>100</v>
      </c>
      <c r="I25" s="1568"/>
      <c r="J25" s="1569">
        <f>SUMIF(75:75,I25,76:76)-SUMIF(75:75,C25,76:76)+100</f>
        <v>100</v>
      </c>
      <c r="K25" s="1327"/>
      <c r="L25" s="1309"/>
      <c r="M25" s="1310"/>
      <c r="N25" s="1310"/>
      <c r="O25" s="1312"/>
      <c r="P25" s="1323"/>
      <c r="Q25" s="1369">
        <f t="shared" si="11"/>
        <v>111</v>
      </c>
      <c r="R25" s="1365" t="s">
        <v>1490</v>
      </c>
      <c r="S25" s="1366">
        <f>F25</f>
        <v>100</v>
      </c>
      <c r="T25" s="1365" t="s">
        <v>1490</v>
      </c>
      <c r="U25" s="1366">
        <f>H25</f>
        <v>100</v>
      </c>
      <c r="V25" s="1365" t="s">
        <v>1490</v>
      </c>
      <c r="W25" s="1366">
        <f>J25</f>
        <v>100</v>
      </c>
      <c r="X25" s="1367"/>
      <c r="Y25" s="1323"/>
      <c r="Z25" s="1385">
        <f>Q25</f>
        <v>111</v>
      </c>
      <c r="AA25" s="1386">
        <f t="shared" si="3"/>
        <v>1</v>
      </c>
      <c r="AB25" s="1386">
        <f t="shared" si="4"/>
        <v>1</v>
      </c>
      <c r="AC25" s="1386">
        <f t="shared" si="5"/>
        <v>1</v>
      </c>
    </row>
    <row r="26" ht="28.5" spans="1:29">
      <c r="A26" s="1571" t="s">
        <v>1508</v>
      </c>
      <c r="B26" s="1169" t="s">
        <v>1514</v>
      </c>
      <c r="C26" s="1572"/>
      <c r="D26" s="1226">
        <v>100</v>
      </c>
      <c r="E26" s="1572"/>
      <c r="F26" s="1573">
        <f>SUMIF(77:77,E26,78:78)-SUMIF(77:77,C26,78:78)+100</f>
        <v>100</v>
      </c>
      <c r="G26" s="1572"/>
      <c r="H26" s="1226">
        <f>SUMIF(77:77,G26,78:78)-SUMIF(77:77,C26,78:78)+100</f>
        <v>100</v>
      </c>
      <c r="I26" s="1572"/>
      <c r="J26" s="1226">
        <f>SUMIF(77:77,I26,78:78)-SUMIF(77:77,C26,78:78)+100</f>
        <v>100</v>
      </c>
      <c r="K26" s="1328"/>
      <c r="L26" s="1320"/>
      <c r="M26" s="1304"/>
      <c r="N26" s="1304"/>
      <c r="O26" s="1319"/>
      <c r="P26" s="1329" t="s">
        <v>1510</v>
      </c>
      <c r="Q26" s="699" t="str">
        <f t="shared" si="11"/>
        <v>公共部分装修</v>
      </c>
      <c r="R26" s="1370" t="s">
        <v>1490</v>
      </c>
      <c r="S26" s="1371">
        <f t="shared" ref="S26:S34" si="12">F26</f>
        <v>100</v>
      </c>
      <c r="T26" s="1370" t="s">
        <v>1490</v>
      </c>
      <c r="U26" s="1371">
        <f t="shared" ref="U26:U34" si="13">H26</f>
        <v>100</v>
      </c>
      <c r="V26" s="1370" t="s">
        <v>1490</v>
      </c>
      <c r="W26" s="1371">
        <f t="shared" ref="W26:W34" si="14">J26</f>
        <v>100</v>
      </c>
      <c r="X26" s="1357"/>
      <c r="Y26" s="1332" t="s">
        <v>1510</v>
      </c>
      <c r="Z26" s="1344" t="str">
        <f t="shared" ref="Z26:Z34" si="15">Q26</f>
        <v>公共部分装修</v>
      </c>
      <c r="AA26" s="1386">
        <f t="shared" si="3"/>
        <v>1</v>
      </c>
      <c r="AB26" s="1386">
        <f t="shared" si="4"/>
        <v>1</v>
      </c>
      <c r="AC26" s="1386">
        <f t="shared" si="5"/>
        <v>1</v>
      </c>
    </row>
    <row r="27" s="1125" customFormat="1" ht="15" spans="1:29">
      <c r="A27" s="1232"/>
      <c r="B27" s="1173" t="s">
        <v>1590</v>
      </c>
      <c r="C27" s="1574"/>
      <c r="D27" s="1175">
        <v>100</v>
      </c>
      <c r="E27" s="1575"/>
      <c r="F27" s="1567" t="e">
        <f>LOOKUP(E27,80:80,81:81)-LOOKUP(C27,80:80,81:81)+100</f>
        <v>#N/A</v>
      </c>
      <c r="G27" s="1576"/>
      <c r="H27" s="1185" t="e">
        <f>LOOKUP(G27,80:80,81:81)-LOOKUP(C27,80:80,81:81)+100</f>
        <v>#N/A</v>
      </c>
      <c r="I27" s="1576"/>
      <c r="J27" s="1185" t="e">
        <f>LOOKUP(I27,80:80,81:81)-LOOKUP(C27,80:80,81:81)+100</f>
        <v>#N/A</v>
      </c>
      <c r="K27" s="1328"/>
      <c r="L27" s="1318"/>
      <c r="M27" s="1330"/>
      <c r="N27" s="1330"/>
      <c r="O27" s="1331"/>
      <c r="P27" s="1332"/>
      <c r="Q27" s="1606" t="str">
        <f t="shared" si="11"/>
        <v>成新率</v>
      </c>
      <c r="R27" s="1372" t="s">
        <v>1490</v>
      </c>
      <c r="S27" s="1373" t="e">
        <f t="shared" si="12"/>
        <v>#N/A</v>
      </c>
      <c r="T27" s="1372" t="s">
        <v>1490</v>
      </c>
      <c r="U27" s="1373" t="e">
        <f t="shared" si="13"/>
        <v>#N/A</v>
      </c>
      <c r="V27" s="1372" t="s">
        <v>1490</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1591</v>
      </c>
      <c r="C28" s="1577"/>
      <c r="D28" s="1185">
        <v>100</v>
      </c>
      <c r="E28" s="1577"/>
      <c r="F28" s="1567">
        <f>SUMIF(82:82,E28,83:83)-SUMIF(82:82,C28,83:83)+100</f>
        <v>100</v>
      </c>
      <c r="G28" s="1577"/>
      <c r="H28" s="1185">
        <f>SUMIF(82:82,G28,83:83)-SUMIF(82:82,C28,83:83)+100</f>
        <v>100</v>
      </c>
      <c r="I28" s="1577"/>
      <c r="J28" s="1185">
        <f>SUMIF(82:82,I28,83:83)-SUMIF(82:82,C28,83:83)+100</f>
        <v>100</v>
      </c>
      <c r="K28" s="1328"/>
      <c r="L28" s="1320"/>
      <c r="M28" s="1304"/>
      <c r="N28" s="1304"/>
      <c r="O28" s="1319"/>
      <c r="P28" s="1332"/>
      <c r="Q28" s="699" t="str">
        <f t="shared" si="11"/>
        <v>物业等级</v>
      </c>
      <c r="R28" s="1370" t="s">
        <v>1490</v>
      </c>
      <c r="S28" s="1371">
        <f t="shared" si="12"/>
        <v>100</v>
      </c>
      <c r="T28" s="1370" t="s">
        <v>1490</v>
      </c>
      <c r="U28" s="1371">
        <f t="shared" si="13"/>
        <v>100</v>
      </c>
      <c r="V28" s="1370" t="s">
        <v>1490</v>
      </c>
      <c r="W28" s="1371">
        <f t="shared" si="14"/>
        <v>100</v>
      </c>
      <c r="X28" s="1357"/>
      <c r="Y28" s="1332"/>
      <c r="Z28" s="1344" t="str">
        <f t="shared" si="15"/>
        <v>物业等级</v>
      </c>
      <c r="AA28" s="1386">
        <f t="shared" si="3"/>
        <v>1</v>
      </c>
      <c r="AB28" s="1386">
        <f t="shared" si="4"/>
        <v>1</v>
      </c>
      <c r="AC28" s="1386">
        <f t="shared" si="5"/>
        <v>1</v>
      </c>
    </row>
    <row r="29" ht="15" spans="1:29">
      <c r="A29" s="1227"/>
      <c r="B29" s="1173" t="s">
        <v>1600</v>
      </c>
      <c r="C29" s="1578"/>
      <c r="D29" s="1185">
        <v>100</v>
      </c>
      <c r="E29" s="1578"/>
      <c r="F29" s="1567">
        <f>SUMIF(84:84,E29,85:85)-SUMIF(84:84,C29,85:85)+100</f>
        <v>100</v>
      </c>
      <c r="G29" s="1578"/>
      <c r="H29" s="1185">
        <f>SUMIF(84:84,G29,85:85)-SUMIF(84:84,C29,85:85)+100</f>
        <v>100</v>
      </c>
      <c r="I29" s="1578"/>
      <c r="J29" s="1185">
        <f>SUMIF(84:84,I29,85:85)-SUMIF(84:84,C29,85:85)+100</f>
        <v>100</v>
      </c>
      <c r="K29" s="1328"/>
      <c r="L29" s="1320"/>
      <c r="M29" s="1304"/>
      <c r="N29" s="1304"/>
      <c r="O29" s="1319"/>
      <c r="P29" s="1332"/>
      <c r="Q29" s="699" t="str">
        <f t="shared" si="11"/>
        <v>有无电梯</v>
      </c>
      <c r="R29" s="1370" t="s">
        <v>1490</v>
      </c>
      <c r="S29" s="1371">
        <f t="shared" si="12"/>
        <v>100</v>
      </c>
      <c r="T29" s="1370" t="s">
        <v>1490</v>
      </c>
      <c r="U29" s="1371">
        <f t="shared" si="13"/>
        <v>100</v>
      </c>
      <c r="V29" s="1370" t="s">
        <v>1490</v>
      </c>
      <c r="W29" s="1371">
        <f t="shared" si="14"/>
        <v>100</v>
      </c>
      <c r="X29" s="1357"/>
      <c r="Y29" s="1332"/>
      <c r="Z29" s="1344" t="str">
        <f t="shared" si="15"/>
        <v>有无电梯</v>
      </c>
      <c r="AA29" s="1386">
        <f t="shared" si="3"/>
        <v>1</v>
      </c>
      <c r="AB29" s="1386">
        <f t="shared" si="4"/>
        <v>1</v>
      </c>
      <c r="AC29" s="1386">
        <f t="shared" si="5"/>
        <v>1</v>
      </c>
    </row>
    <row r="30" ht="15" spans="1:29">
      <c r="A30" s="1227"/>
      <c r="B30" s="1173" t="s">
        <v>594</v>
      </c>
      <c r="C30" s="1561"/>
      <c r="D30" s="1185">
        <v>100</v>
      </c>
      <c r="E30" s="1561"/>
      <c r="F30" s="1567" t="e">
        <f>LOOKUP(E30,87:87,88:88)-LOOKUP(C30,87:87,88:88)+100</f>
        <v>#N/A</v>
      </c>
      <c r="G30" s="1561"/>
      <c r="H30" s="1185" t="e">
        <f>LOOKUP(G30,87:87,88:88)-LOOKUP(C30,87:87,88:88)+100</f>
        <v>#N/A</v>
      </c>
      <c r="I30" s="1561"/>
      <c r="J30" s="1185" t="e">
        <f>LOOKUP(I30,87:87,88:88)-LOOKUP(C30,87:87,88:88)+100</f>
        <v>#N/A</v>
      </c>
      <c r="K30" s="1327"/>
      <c r="L30" s="1320"/>
      <c r="M30" s="1304"/>
      <c r="N30" s="1304"/>
      <c r="O30" s="1319"/>
      <c r="P30" s="1332"/>
      <c r="Q30" s="699" t="str">
        <f t="shared" si="11"/>
        <v>建筑面积</v>
      </c>
      <c r="R30" s="1370" t="s">
        <v>1490</v>
      </c>
      <c r="S30" s="1371" t="e">
        <f t="shared" si="12"/>
        <v>#N/A</v>
      </c>
      <c r="T30" s="1370" t="s">
        <v>1490</v>
      </c>
      <c r="U30" s="1371" t="e">
        <f t="shared" si="13"/>
        <v>#N/A</v>
      </c>
      <c r="V30" s="1370" t="s">
        <v>1490</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1601</v>
      </c>
      <c r="C31" s="1578"/>
      <c r="D31" s="1175">
        <v>100</v>
      </c>
      <c r="E31" s="1578"/>
      <c r="F31" s="1567">
        <f>SUMIF(89:89,E31,90:90)-SUMIF(89:89,C31,90:90)+100</f>
        <v>100</v>
      </c>
      <c r="G31" s="1578"/>
      <c r="H31" s="1185">
        <f>SUMIF(89:89,G31,90:90)-SUMIF(89:89,C31,90:90)+100</f>
        <v>100</v>
      </c>
      <c r="I31" s="1578"/>
      <c r="J31" s="1185">
        <f>SUMIF(89:89,I31,90:90)-SUMIF(89:89,C31,90:90)+100</f>
        <v>100</v>
      </c>
      <c r="K31" s="1328"/>
      <c r="L31" s="1309"/>
      <c r="M31" s="1310"/>
      <c r="N31" s="1310"/>
      <c r="O31" s="1312"/>
      <c r="P31" s="1332"/>
      <c r="Q31" s="1369" t="str">
        <f t="shared" si="11"/>
        <v>是否封闭</v>
      </c>
      <c r="R31" s="1365" t="s">
        <v>1490</v>
      </c>
      <c r="S31" s="1366">
        <f t="shared" si="12"/>
        <v>100</v>
      </c>
      <c r="T31" s="1365" t="s">
        <v>1490</v>
      </c>
      <c r="U31" s="1366">
        <f t="shared" si="13"/>
        <v>100</v>
      </c>
      <c r="V31" s="1365" t="s">
        <v>1490</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1"/>
      <c r="F32" s="1567">
        <f>SUMIF(91:91,E32,92:92)-SUMIF(91:91,C32,92:92)+100</f>
        <v>100</v>
      </c>
      <c r="G32" s="1561"/>
      <c r="H32" s="1185">
        <f>SUMIF(91:91,G32,92:92)-SUMIF(91:91,C32,92:92)+100</f>
        <v>100</v>
      </c>
      <c r="I32" s="1561"/>
      <c r="J32" s="1185">
        <f>SUMIF(91:91,I32,92:92)-SUMIF(91:91,C32,92:92)+100</f>
        <v>100</v>
      </c>
      <c r="K32" s="1327"/>
      <c r="L32" s="1320"/>
      <c r="M32" s="1304"/>
      <c r="N32" s="1304"/>
      <c r="O32" s="1319"/>
      <c r="P32" s="1332" t="s">
        <v>1510</v>
      </c>
      <c r="Q32" s="699">
        <f t="shared" si="11"/>
        <v>111</v>
      </c>
      <c r="R32" s="1370" t="s">
        <v>1490</v>
      </c>
      <c r="S32" s="1371">
        <f t="shared" si="12"/>
        <v>100</v>
      </c>
      <c r="T32" s="1370" t="s">
        <v>1490</v>
      </c>
      <c r="U32" s="1371">
        <f t="shared" si="13"/>
        <v>100</v>
      </c>
      <c r="V32" s="1370" t="s">
        <v>1490</v>
      </c>
      <c r="W32" s="1371">
        <f t="shared" si="14"/>
        <v>100</v>
      </c>
      <c r="X32" s="1357"/>
      <c r="Y32" s="1332" t="s">
        <v>1510</v>
      </c>
      <c r="Z32" s="1344">
        <f t="shared" si="15"/>
        <v>111</v>
      </c>
      <c r="AA32" s="1386">
        <f t="shared" si="3"/>
        <v>1</v>
      </c>
      <c r="AB32" s="1386">
        <f t="shared" si="4"/>
        <v>1</v>
      </c>
      <c r="AC32" s="1386">
        <f t="shared" si="5"/>
        <v>1</v>
      </c>
    </row>
    <row r="33" ht="15" spans="1:29">
      <c r="A33" s="1227"/>
      <c r="B33" s="1180">
        <v>111</v>
      </c>
      <c r="C33" s="1174"/>
      <c r="D33" s="1185">
        <v>100</v>
      </c>
      <c r="E33" s="1561"/>
      <c r="F33" s="1567">
        <f>SUMIF(93:93,E33,94:94)-SUMIF(93:93,C33,94:94)+100</f>
        <v>100</v>
      </c>
      <c r="G33" s="1561"/>
      <c r="H33" s="1185">
        <f>SUMIF(93:93,G33,94:94)-SUMIF(93:93,C33,94:94)+100</f>
        <v>100</v>
      </c>
      <c r="I33" s="1561"/>
      <c r="J33" s="1185">
        <f>SUMIF(93:93,I33,94:94)-SUMIF(93:93,C33,94:94)+100</f>
        <v>100</v>
      </c>
      <c r="K33" s="1327"/>
      <c r="L33" s="1320"/>
      <c r="M33" s="1304"/>
      <c r="N33" s="1304"/>
      <c r="O33" s="1319"/>
      <c r="P33" s="1332"/>
      <c r="Q33" s="699">
        <f t="shared" si="11"/>
        <v>111</v>
      </c>
      <c r="R33" s="1370" t="s">
        <v>1490</v>
      </c>
      <c r="S33" s="1371">
        <f t="shared" si="12"/>
        <v>100</v>
      </c>
      <c r="T33" s="1370" t="s">
        <v>1490</v>
      </c>
      <c r="U33" s="1371">
        <f t="shared" si="13"/>
        <v>100</v>
      </c>
      <c r="V33" s="1370" t="s">
        <v>1490</v>
      </c>
      <c r="W33" s="1371">
        <f t="shared" si="14"/>
        <v>100</v>
      </c>
      <c r="X33" s="1357"/>
      <c r="Y33" s="1332"/>
      <c r="Z33" s="1344">
        <f t="shared" si="15"/>
        <v>111</v>
      </c>
      <c r="AA33" s="1386">
        <f t="shared" si="3"/>
        <v>1</v>
      </c>
      <c r="AB33" s="1386">
        <f t="shared" si="4"/>
        <v>1</v>
      </c>
      <c r="AC33" s="1386">
        <f t="shared" si="5"/>
        <v>1</v>
      </c>
    </row>
    <row r="34" ht="15.75" spans="1:29">
      <c r="A34" s="1579"/>
      <c r="B34" s="1187">
        <v>111</v>
      </c>
      <c r="C34" s="1188"/>
      <c r="D34" s="1189">
        <v>100</v>
      </c>
      <c r="E34" s="1562"/>
      <c r="F34" s="1580">
        <f>SUMIF(95:95,E34,96:96)-SUMIF(95:95,C34,96:96)+100</f>
        <v>100</v>
      </c>
      <c r="G34" s="1562"/>
      <c r="H34" s="1189">
        <f>SUMIF(95:95,G34,96:96)-SUMIF(95:95,C34,96:96)+100</f>
        <v>100</v>
      </c>
      <c r="I34" s="1562"/>
      <c r="J34" s="1189">
        <f>SUMIF(95:95,I34,96:96)-SUMIF(95:95,C34,96:96)+100</f>
        <v>100</v>
      </c>
      <c r="K34" s="1327"/>
      <c r="L34" s="1320"/>
      <c r="M34" s="1304"/>
      <c r="N34" s="1304"/>
      <c r="O34" s="1319"/>
      <c r="P34" s="1332"/>
      <c r="Q34" s="699">
        <f t="shared" si="11"/>
        <v>111</v>
      </c>
      <c r="R34" s="1370" t="s">
        <v>1490</v>
      </c>
      <c r="S34" s="1371">
        <f t="shared" si="12"/>
        <v>100</v>
      </c>
      <c r="T34" s="1370" t="s">
        <v>1490</v>
      </c>
      <c r="U34" s="1371">
        <f t="shared" si="13"/>
        <v>100</v>
      </c>
      <c r="V34" s="1370" t="s">
        <v>1490</v>
      </c>
      <c r="W34" s="1371">
        <f t="shared" si="14"/>
        <v>100</v>
      </c>
      <c r="X34" s="1357"/>
      <c r="Y34" s="1332"/>
      <c r="Z34" s="1344">
        <f t="shared" si="15"/>
        <v>111</v>
      </c>
      <c r="AA34" s="1386">
        <f t="shared" si="3"/>
        <v>1</v>
      </c>
      <c r="AB34" s="1386">
        <f t="shared" si="4"/>
        <v>1</v>
      </c>
      <c r="AC34" s="1386">
        <f t="shared" si="5"/>
        <v>1</v>
      </c>
    </row>
    <row r="35" ht="15" spans="1:29">
      <c r="A35" s="1234" t="s">
        <v>1521</v>
      </c>
      <c r="B35" s="1581"/>
      <c r="C35" s="1582" t="s">
        <v>124</v>
      </c>
      <c r="D35" s="1583"/>
      <c r="E35" s="1584"/>
      <c r="F35" s="1585"/>
      <c r="G35" s="1586"/>
      <c r="H35" s="1587"/>
      <c r="I35" s="1584"/>
      <c r="J35" s="1587"/>
      <c r="K35" s="1335"/>
      <c r="L35" s="1336"/>
      <c r="M35" s="1251"/>
      <c r="N35" s="1304"/>
      <c r="O35" s="1251"/>
      <c r="P35" s="699" t="str">
        <f>A35</f>
        <v>成交单价（元/平方米）</v>
      </c>
      <c r="Q35" s="699"/>
      <c r="R35" s="1386">
        <f>E35</f>
        <v>0</v>
      </c>
      <c r="S35" s="1386"/>
      <c r="T35" s="1386">
        <f>G35</f>
        <v>0</v>
      </c>
      <c r="U35" s="1386"/>
      <c r="V35" s="1386">
        <f>I35</f>
        <v>0</v>
      </c>
      <c r="W35" s="1386"/>
      <c r="X35" s="1292"/>
      <c r="Y35" s="1388"/>
      <c r="Z35" s="1292"/>
      <c r="AA35" s="1292"/>
      <c r="AB35" s="1292"/>
      <c r="AC35" s="1292"/>
    </row>
    <row r="36" ht="15.75" spans="1:29">
      <c r="A36" s="1242" t="s">
        <v>1522</v>
      </c>
      <c r="B36" s="1588"/>
      <c r="C36" s="1589" t="e">
        <f>R37</f>
        <v>#DIV/0!</v>
      </c>
      <c r="D36" s="1245" t="s">
        <v>1523</v>
      </c>
      <c r="E36" s="1590" t="e">
        <f>R36</f>
        <v>#DIV/0!</v>
      </c>
      <c r="F36" s="1246"/>
      <c r="G36" s="1589" t="e">
        <f>T36</f>
        <v>#DIV/0!</v>
      </c>
      <c r="H36" s="1246"/>
      <c r="I36" s="1590" t="e">
        <f>V36</f>
        <v>#DIV/0!</v>
      </c>
      <c r="J36" s="1246"/>
      <c r="K36" s="1337">
        <f>F36+H36+J36</f>
        <v>0</v>
      </c>
      <c r="L36" s="1336"/>
      <c r="M36" s="1251"/>
      <c r="N36" s="1304"/>
      <c r="O36" s="1251"/>
      <c r="P36" s="699" t="str">
        <f>A36</f>
        <v>比较价值（元/平方米）</v>
      </c>
      <c r="Q36" s="699"/>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75" spans="1:29">
      <c r="A37" s="1248" t="s">
        <v>1524</v>
      </c>
      <c r="B37" s="1249"/>
      <c r="C37" s="1591" t="e">
        <f>R37</f>
        <v>#DIV/0!</v>
      </c>
      <c r="D37" s="1591"/>
      <c r="E37" s="1591"/>
      <c r="F37" s="1591"/>
      <c r="G37" s="1591"/>
      <c r="H37" s="1591"/>
      <c r="I37" s="1591"/>
      <c r="J37" s="1591"/>
      <c r="K37" s="1338"/>
      <c r="L37" s="1336"/>
      <c r="M37" s="1251"/>
      <c r="N37" s="1251"/>
      <c r="O37" s="1251"/>
      <c r="P37" s="1339" t="str">
        <f>A37</f>
        <v>估价对象XX用房的比较价值（楼面单价，元/平方米）</v>
      </c>
      <c r="Q37" s="1376"/>
      <c r="R37" s="1607" t="e">
        <f>IF(F1="售价",ROUND(IF(D36="简单平均",AVERAGE(R36:W36),R36*F36+T36*H36+V36*J36),0),ROUND(IF(D36="简单平均",AVERAGE(R36:V36),R36*F36+T36*H36+V36*J36),1))</f>
        <v>#DIV/0!</v>
      </c>
      <c r="S37" s="1607"/>
      <c r="T37" s="1607"/>
      <c r="U37" s="1607"/>
      <c r="V37" s="1607"/>
      <c r="W37" s="1607"/>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1525</v>
      </c>
      <c r="D40" s="743"/>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1526</v>
      </c>
      <c r="D41" s="742"/>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1527</v>
      </c>
      <c r="D42" s="742"/>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2"/>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2"/>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1528</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3" t="s">
        <v>1488</v>
      </c>
      <c r="B46" s="1594"/>
      <c r="C46" s="1595" t="str">
        <f>YEAR(C7)&amp;"-"&amp;MONTH(C7)</f>
        <v>2024-9</v>
      </c>
      <c r="D46" s="1596">
        <f>EDATE(C46,-1)</f>
        <v>45505</v>
      </c>
      <c r="E46" s="1596">
        <f t="shared" ref="E46:O46" si="16">EDATE(D46,-1)</f>
        <v>45474</v>
      </c>
      <c r="F46" s="1596">
        <f t="shared" si="16"/>
        <v>45444</v>
      </c>
      <c r="G46" s="1596">
        <f t="shared" si="16"/>
        <v>45413</v>
      </c>
      <c r="H46" s="1596">
        <f t="shared" si="16"/>
        <v>45383</v>
      </c>
      <c r="I46" s="1596">
        <f t="shared" si="16"/>
        <v>45352</v>
      </c>
      <c r="J46" s="1596">
        <f t="shared" si="16"/>
        <v>45323</v>
      </c>
      <c r="K46" s="1596">
        <f t="shared" si="16"/>
        <v>45292</v>
      </c>
      <c r="L46" s="1596">
        <f t="shared" si="16"/>
        <v>45261</v>
      </c>
      <c r="M46" s="1596">
        <f t="shared" si="16"/>
        <v>45231</v>
      </c>
      <c r="N46" s="1596">
        <f t="shared" si="16"/>
        <v>45200</v>
      </c>
      <c r="O46" s="1596">
        <f t="shared" si="16"/>
        <v>45170</v>
      </c>
      <c r="P46" s="1443"/>
      <c r="Q46" s="1497"/>
      <c r="R46" s="1497"/>
      <c r="S46" s="1497"/>
      <c r="T46" s="1497"/>
      <c r="U46" s="1497"/>
      <c r="V46" s="1497"/>
      <c r="W46" s="1497"/>
      <c r="X46" s="1497"/>
      <c r="Y46" s="1497"/>
      <c r="Z46" s="1497"/>
      <c r="AA46" s="1497"/>
      <c r="AB46" s="1497"/>
      <c r="AC46" s="1497"/>
      <c r="AD46" s="1497"/>
    </row>
    <row r="47" s="1123" customFormat="1" ht="15" spans="1:30">
      <c r="A47" s="1597"/>
      <c r="B47" s="1400"/>
      <c r="C47" s="1598">
        <v>100</v>
      </c>
      <c r="D47" s="1404"/>
      <c r="E47" s="1404"/>
      <c r="F47" s="1404"/>
      <c r="G47" s="1404"/>
      <c r="H47" s="1404"/>
      <c r="I47" s="1404"/>
      <c r="J47" s="1404"/>
      <c r="K47" s="1404"/>
      <c r="L47" s="1404"/>
      <c r="M47" s="1605"/>
      <c r="N47" s="1404"/>
      <c r="O47" s="1450"/>
      <c r="P47" s="1378"/>
      <c r="Q47" s="1498"/>
      <c r="R47" s="1498"/>
      <c r="S47" s="1498"/>
      <c r="T47" s="1498"/>
      <c r="U47" s="1498"/>
      <c r="V47" s="1498"/>
      <c r="W47" s="1498"/>
      <c r="X47" s="1498"/>
      <c r="Y47" s="1498"/>
      <c r="Z47" s="1498"/>
      <c r="AA47" s="1498"/>
      <c r="AB47" s="1498"/>
      <c r="AC47" s="1498"/>
      <c r="AD47" s="1498"/>
    </row>
    <row r="48" s="1123" customFormat="1" ht="15.75" spans="1:30">
      <c r="A48" s="1395" t="s">
        <v>1529</v>
      </c>
      <c r="B48" s="1396"/>
      <c r="C48" s="1397"/>
      <c r="D48" s="1398"/>
      <c r="E48" s="1398"/>
      <c r="F48" s="1398"/>
      <c r="G48" s="1398"/>
      <c r="H48" s="1398"/>
      <c r="I48" s="1398"/>
      <c r="J48" s="1398"/>
      <c r="K48" s="1398"/>
      <c r="L48" s="1398"/>
      <c r="M48" s="1444"/>
      <c r="N48" s="1398"/>
      <c r="O48" s="1445"/>
      <c r="P48" s="1378"/>
      <c r="Q48" s="1378"/>
      <c r="R48" s="1498"/>
      <c r="S48" s="1498"/>
      <c r="T48" s="1498"/>
      <c r="U48" s="1498"/>
      <c r="V48" s="1498"/>
      <c r="W48" s="1498"/>
      <c r="X48" s="1498"/>
      <c r="Y48" s="1498"/>
      <c r="Z48" s="1498"/>
      <c r="AA48" s="1498"/>
      <c r="AB48" s="1498"/>
      <c r="AC48" s="1498"/>
      <c r="AD48" s="1498"/>
    </row>
    <row r="49" s="1123" customFormat="1" ht="15" spans="1:30">
      <c r="A49" s="1399" t="s">
        <v>1491</v>
      </c>
      <c r="B49" s="1400"/>
      <c r="C49" s="1401" t="s">
        <v>1530</v>
      </c>
      <c r="D49" s="1402"/>
      <c r="E49" s="1402"/>
      <c r="F49" s="1402"/>
      <c r="G49" s="1402"/>
      <c r="H49" s="1402"/>
      <c r="I49" s="1402"/>
      <c r="J49" s="1402"/>
      <c r="K49" s="1402"/>
      <c r="L49" s="1446"/>
      <c r="M49" s="1447"/>
      <c r="N49" s="1448"/>
      <c r="O49" s="1448"/>
      <c r="P49" s="1449"/>
      <c r="Q49" s="1378"/>
      <c r="R49" s="1498"/>
      <c r="S49" s="1498"/>
      <c r="T49" s="1498"/>
      <c r="U49" s="1498"/>
      <c r="V49" s="1498"/>
      <c r="W49" s="1498"/>
      <c r="X49" s="1498"/>
      <c r="Y49" s="1498"/>
      <c r="Z49" s="1498"/>
      <c r="AA49" s="1498"/>
      <c r="AB49" s="1498"/>
      <c r="AC49" s="1498"/>
      <c r="AD49" s="1498"/>
    </row>
    <row r="50" s="1123" customFormat="1" ht="15.75" spans="1:30">
      <c r="A50" s="1399"/>
      <c r="B50" s="1400"/>
      <c r="C50" s="1403">
        <v>100</v>
      </c>
      <c r="D50" s="1404"/>
      <c r="E50" s="1404"/>
      <c r="F50" s="1404"/>
      <c r="G50" s="1404"/>
      <c r="H50" s="1404"/>
      <c r="I50" s="1404"/>
      <c r="J50" s="1404"/>
      <c r="K50" s="1404"/>
      <c r="L50" s="1404"/>
      <c r="M50" s="1450"/>
      <c r="N50" s="1448"/>
      <c r="O50" s="1448"/>
      <c r="P50" s="1378"/>
      <c r="Q50" s="1378"/>
      <c r="R50" s="1498"/>
      <c r="S50" s="1498"/>
      <c r="T50" s="1498"/>
      <c r="U50" s="1498"/>
      <c r="V50" s="1498"/>
      <c r="W50" s="1498"/>
      <c r="X50" s="1498"/>
      <c r="Y50" s="1498"/>
      <c r="Z50" s="1498"/>
      <c r="AA50" s="1498"/>
      <c r="AB50" s="1498"/>
      <c r="AC50" s="1498"/>
      <c r="AD50" s="1498"/>
    </row>
    <row r="51" spans="1:30">
      <c r="A51" s="1405" t="s">
        <v>1531</v>
      </c>
      <c r="B51" s="1406" t="s">
        <v>1494</v>
      </c>
      <c r="C51" s="1428">
        <f>C9</f>
        <v>0</v>
      </c>
      <c r="D51" s="1333"/>
      <c r="E51" s="1333"/>
      <c r="F51" s="1333"/>
      <c r="G51" s="1333"/>
      <c r="H51" s="1333"/>
      <c r="I51" s="1333"/>
      <c r="J51" s="1333"/>
      <c r="K51" s="1451"/>
      <c r="L51" s="1452"/>
      <c r="M51" s="1453"/>
      <c r="N51" s="1454"/>
      <c r="O51" s="1454"/>
      <c r="P51" s="1455"/>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6"/>
      <c r="N52" s="1457"/>
      <c r="O52" s="1457"/>
      <c r="P52" s="1455"/>
      <c r="Q52" s="1378"/>
      <c r="R52" s="1251"/>
      <c r="S52" s="1251"/>
      <c r="T52" s="1251"/>
      <c r="U52" s="1251"/>
      <c r="V52" s="1251"/>
      <c r="W52" s="1251"/>
      <c r="X52" s="1251"/>
      <c r="Y52" s="1251"/>
      <c r="Z52" s="1251"/>
      <c r="AA52" s="1251"/>
      <c r="AB52" s="1251"/>
      <c r="AC52" s="1251"/>
      <c r="AD52" s="1251"/>
    </row>
    <row r="53" ht="27.75" spans="1:30">
      <c r="A53" s="1407"/>
      <c r="B53" s="1410" t="s">
        <v>1497</v>
      </c>
      <c r="C53" s="1435"/>
      <c r="D53" s="1435"/>
      <c r="E53" s="1435"/>
      <c r="F53" s="1435"/>
      <c r="G53" s="1435"/>
      <c r="H53" s="1435"/>
      <c r="I53" s="1435"/>
      <c r="J53" s="1435"/>
      <c r="K53" s="1484"/>
      <c r="L53" s="1485"/>
      <c r="M53" s="1486"/>
      <c r="N53" s="1454"/>
      <c r="O53" s="1454"/>
      <c r="P53" s="1455"/>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6"/>
      <c r="N54" s="1457"/>
      <c r="O54" s="1457"/>
      <c r="P54" s="1455"/>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2"/>
      <c r="L55" s="1463"/>
      <c r="M55" s="1464"/>
      <c r="N55" s="1454"/>
      <c r="O55" s="1454"/>
      <c r="P55" s="1455"/>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6"/>
      <c r="N56" s="1457"/>
      <c r="O56" s="1457"/>
      <c r="P56" s="1455"/>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5"/>
      <c r="M57" s="1466"/>
      <c r="N57" s="1467"/>
      <c r="O57" s="1467"/>
      <c r="P57" s="1468"/>
      <c r="Q57" s="1499"/>
      <c r="R57" s="1500"/>
      <c r="S57" s="1500"/>
      <c r="T57" s="1500"/>
      <c r="U57" s="1500"/>
      <c r="V57" s="1500"/>
      <c r="W57" s="1500"/>
      <c r="X57" s="1500"/>
      <c r="Y57" s="1500"/>
      <c r="Z57" s="1500"/>
      <c r="AA57" s="1500"/>
      <c r="AB57" s="1500"/>
      <c r="AC57" s="1500"/>
      <c r="AD57" s="1500"/>
    </row>
    <row r="58" s="1125" customFormat="1" ht="15.75" spans="1:30">
      <c r="A58" s="1417"/>
      <c r="B58" s="1412"/>
      <c r="C58" s="1420"/>
      <c r="D58" s="1409"/>
      <c r="E58" s="1409"/>
      <c r="F58" s="1409"/>
      <c r="G58" s="1409"/>
      <c r="H58" s="1409"/>
      <c r="I58" s="1409"/>
      <c r="J58" s="1409"/>
      <c r="K58" s="1409"/>
      <c r="L58" s="1409"/>
      <c r="M58" s="1456"/>
      <c r="N58" s="1457"/>
      <c r="O58" s="1457"/>
      <c r="P58" s="1468"/>
      <c r="Q58" s="1499"/>
      <c r="R58" s="1500"/>
      <c r="S58" s="1500"/>
      <c r="T58" s="1500"/>
      <c r="U58" s="1500"/>
      <c r="V58" s="1500"/>
      <c r="W58" s="1500"/>
      <c r="X58" s="1500"/>
      <c r="Y58" s="1500"/>
      <c r="Z58" s="1500"/>
      <c r="AA58" s="1500"/>
      <c r="AB58" s="1500"/>
      <c r="AC58" s="1500"/>
      <c r="AD58" s="1500"/>
    </row>
    <row r="59" s="1125" customFormat="1" ht="15.75" spans="1:30">
      <c r="A59" s="1417"/>
      <c r="B59" s="1410">
        <f>B13</f>
        <v>111</v>
      </c>
      <c r="C59" s="1182"/>
      <c r="D59" s="1182"/>
      <c r="E59" s="1182"/>
      <c r="F59" s="1182"/>
      <c r="G59" s="1418"/>
      <c r="H59" s="1419"/>
      <c r="I59" s="1419"/>
      <c r="J59" s="1419"/>
      <c r="K59" s="1419"/>
      <c r="L59" s="1465"/>
      <c r="M59" s="1466"/>
      <c r="N59" s="1467"/>
      <c r="O59" s="1467"/>
      <c r="P59" s="1330"/>
      <c r="Q59" s="1501"/>
      <c r="R59" s="1500"/>
      <c r="S59" s="1500"/>
      <c r="T59" s="1500"/>
      <c r="U59" s="1500"/>
      <c r="V59" s="1500"/>
      <c r="W59" s="1500"/>
      <c r="X59" s="1500"/>
      <c r="Y59" s="1500"/>
      <c r="Z59" s="1500"/>
      <c r="AA59" s="1500"/>
      <c r="AB59" s="1500"/>
      <c r="AC59" s="1500"/>
      <c r="AD59" s="1500"/>
    </row>
    <row r="60" s="1125" customFormat="1" ht="15.75" spans="1:30">
      <c r="A60" s="1417"/>
      <c r="B60" s="1412"/>
      <c r="C60" s="1420"/>
      <c r="D60" s="1420"/>
      <c r="E60" s="1420"/>
      <c r="F60" s="1420"/>
      <c r="G60" s="1420"/>
      <c r="H60" s="1421"/>
      <c r="I60" s="1421"/>
      <c r="J60" s="1421"/>
      <c r="K60" s="1421"/>
      <c r="L60" s="1421"/>
      <c r="M60" s="1469"/>
      <c r="N60" s="1467"/>
      <c r="O60" s="1467"/>
      <c r="P60" s="1468"/>
      <c r="Q60" s="1499"/>
      <c r="R60" s="1500"/>
      <c r="S60" s="1500"/>
      <c r="T60" s="1500"/>
      <c r="U60" s="1500"/>
      <c r="V60" s="1500"/>
      <c r="W60" s="1500"/>
      <c r="X60" s="1500"/>
      <c r="Y60" s="1500"/>
      <c r="Z60" s="1500"/>
      <c r="AA60" s="1500"/>
      <c r="AB60" s="1500"/>
      <c r="AC60" s="1500"/>
      <c r="AD60" s="1500"/>
    </row>
    <row r="61" ht="15" spans="1:30">
      <c r="A61" s="1405" t="s">
        <v>1499</v>
      </c>
      <c r="B61" s="1406" t="s">
        <v>1502</v>
      </c>
      <c r="C61" s="1427" t="s">
        <v>1532</v>
      </c>
      <c r="D61" s="1427" t="s">
        <v>1533</v>
      </c>
      <c r="E61" s="1427" t="s">
        <v>1534</v>
      </c>
      <c r="F61" s="1427" t="s">
        <v>1535</v>
      </c>
      <c r="G61" s="1427" t="s">
        <v>1536</v>
      </c>
      <c r="H61" s="1428"/>
      <c r="I61" s="1428"/>
      <c r="J61" s="1428"/>
      <c r="K61" s="1474"/>
      <c r="L61" s="1475"/>
      <c r="M61" s="1476"/>
      <c r="N61" s="1454"/>
      <c r="O61" s="1454"/>
      <c r="P61" s="1477"/>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1"/>
      <c r="N62" s="1457"/>
      <c r="O62" s="1457"/>
      <c r="P62" s="1455"/>
      <c r="Q62" s="1378"/>
      <c r="R62" s="1251"/>
      <c r="S62" s="1251"/>
      <c r="T62" s="1251"/>
      <c r="U62" s="1251"/>
      <c r="V62" s="1251"/>
      <c r="W62" s="1251"/>
      <c r="X62" s="1251"/>
      <c r="Y62" s="1251"/>
      <c r="Z62" s="1251"/>
      <c r="AA62" s="1251"/>
      <c r="AB62" s="1251"/>
      <c r="AC62" s="1251"/>
      <c r="AD62" s="1251"/>
    </row>
    <row r="63" ht="27.75" spans="1:30">
      <c r="A63" s="1407"/>
      <c r="B63" s="1410" t="s">
        <v>1602</v>
      </c>
      <c r="C63" s="1429" t="s">
        <v>1532</v>
      </c>
      <c r="D63" s="1429" t="s">
        <v>1533</v>
      </c>
      <c r="E63" s="1429" t="s">
        <v>1534</v>
      </c>
      <c r="F63" s="1429" t="s">
        <v>1535</v>
      </c>
      <c r="G63" s="1429" t="s">
        <v>1536</v>
      </c>
      <c r="H63" s="1411"/>
      <c r="I63" s="1411"/>
      <c r="J63" s="1411"/>
      <c r="K63" s="1458"/>
      <c r="L63" s="1459"/>
      <c r="M63" s="1460"/>
      <c r="N63" s="1454"/>
      <c r="O63" s="1454"/>
      <c r="P63" s="1455"/>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1"/>
      <c r="N64" s="1457"/>
      <c r="O64" s="1457"/>
      <c r="P64" s="1455"/>
      <c r="Q64" s="1378"/>
      <c r="R64" s="1251"/>
      <c r="S64" s="1251"/>
      <c r="T64" s="1251"/>
      <c r="U64" s="1251"/>
      <c r="V64" s="1251"/>
      <c r="W64" s="1251"/>
      <c r="X64" s="1251"/>
      <c r="Y64" s="1251"/>
      <c r="Z64" s="1251"/>
      <c r="AA64" s="1251"/>
      <c r="AB64" s="1251"/>
      <c r="AC64" s="1251"/>
      <c r="AD64" s="1251"/>
    </row>
    <row r="65" ht="15.75" spans="1:30">
      <c r="A65" s="1407"/>
      <c r="B65" s="1414" t="s">
        <v>1504</v>
      </c>
      <c r="C65" s="1434" t="s">
        <v>1537</v>
      </c>
      <c r="D65" s="1434" t="s">
        <v>1538</v>
      </c>
      <c r="E65" s="1434" t="s">
        <v>1539</v>
      </c>
      <c r="F65" s="1434" t="s">
        <v>1540</v>
      </c>
      <c r="G65" s="1434" t="s">
        <v>1541</v>
      </c>
      <c r="H65" s="1411"/>
      <c r="I65" s="1411"/>
      <c r="J65" s="1411"/>
      <c r="K65" s="1411"/>
      <c r="L65" s="1411"/>
      <c r="M65" s="1611"/>
      <c r="N65" s="1457"/>
      <c r="O65" s="1457"/>
      <c r="P65" s="1455"/>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7"/>
      <c r="O66" s="1457"/>
      <c r="P66" s="1455"/>
      <c r="Q66" s="1378"/>
      <c r="R66" s="1251"/>
      <c r="S66" s="1251"/>
      <c r="T66" s="1251"/>
      <c r="U66" s="1251"/>
      <c r="V66" s="1251"/>
      <c r="W66" s="1251"/>
      <c r="X66" s="1251"/>
      <c r="Y66" s="1251"/>
      <c r="Z66" s="1251"/>
      <c r="AA66" s="1251"/>
      <c r="AB66" s="1251"/>
      <c r="AC66" s="1251"/>
      <c r="AD66" s="1251"/>
    </row>
    <row r="67" ht="15.75" spans="1:30">
      <c r="A67" s="1407"/>
      <c r="B67" s="1410" t="s">
        <v>1505</v>
      </c>
      <c r="C67" s="1429" t="s">
        <v>1532</v>
      </c>
      <c r="D67" s="1429" t="s">
        <v>1533</v>
      </c>
      <c r="E67" s="1429" t="s">
        <v>1534</v>
      </c>
      <c r="F67" s="1429" t="s">
        <v>1535</v>
      </c>
      <c r="G67" s="1429" t="s">
        <v>1536</v>
      </c>
      <c r="H67" s="1411"/>
      <c r="I67" s="1411"/>
      <c r="J67" s="1411"/>
      <c r="K67" s="1458"/>
      <c r="L67" s="1459"/>
      <c r="M67" s="1460"/>
      <c r="N67" s="1454"/>
      <c r="O67" s="1454"/>
      <c r="P67" s="1455"/>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1"/>
      <c r="N68" s="1457"/>
      <c r="O68" s="1457"/>
      <c r="P68" s="1455"/>
      <c r="Q68" s="1378"/>
      <c r="R68" s="1251"/>
      <c r="S68" s="1251"/>
      <c r="T68" s="1251"/>
      <c r="U68" s="1251"/>
      <c r="V68" s="1251"/>
      <c r="W68" s="1251"/>
      <c r="X68" s="1251"/>
      <c r="Y68" s="1251"/>
      <c r="Z68" s="1251"/>
      <c r="AA68" s="1251"/>
      <c r="AB68" s="1251"/>
      <c r="AC68" s="1251"/>
      <c r="AD68" s="1251"/>
    </row>
    <row r="69" ht="15.75" spans="1:30">
      <c r="A69" s="1407"/>
      <c r="B69" s="1410" t="s">
        <v>1567</v>
      </c>
      <c r="C69" s="1418"/>
      <c r="D69" s="1418"/>
      <c r="E69" s="1418"/>
      <c r="F69" s="1418"/>
      <c r="G69" s="1418"/>
      <c r="H69" s="1435"/>
      <c r="I69" s="1435"/>
      <c r="J69" s="1435"/>
      <c r="K69" s="1484"/>
      <c r="L69" s="1485"/>
      <c r="M69" s="1486"/>
      <c r="N69" s="1454"/>
      <c r="O69" s="1454"/>
      <c r="P69" s="1455"/>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1"/>
      <c r="N70" s="1457"/>
      <c r="O70" s="1457"/>
      <c r="P70" s="1455"/>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2"/>
      <c r="M71" s="1613"/>
      <c r="N71" s="1448"/>
      <c r="O71" s="1448"/>
      <c r="P71" s="1455"/>
      <c r="Q71" s="1378"/>
      <c r="R71" s="1498"/>
      <c r="S71" s="1498"/>
      <c r="T71" s="1498"/>
      <c r="U71" s="1498"/>
      <c r="V71" s="1498"/>
      <c r="W71" s="1498"/>
      <c r="X71" s="1498"/>
      <c r="Y71" s="1498"/>
      <c r="Z71" s="1498"/>
      <c r="AA71" s="1498"/>
      <c r="AB71" s="1498"/>
      <c r="AC71" s="1498"/>
      <c r="AD71" s="1498"/>
    </row>
    <row r="72" s="1123" customFormat="1" ht="15.75" spans="1:30">
      <c r="A72" s="1430"/>
      <c r="B72" s="1412"/>
      <c r="C72" s="1420"/>
      <c r="D72" s="1409"/>
      <c r="E72" s="1409"/>
      <c r="F72" s="1409"/>
      <c r="G72" s="1409"/>
      <c r="H72" s="1409"/>
      <c r="I72" s="1409"/>
      <c r="J72" s="1409"/>
      <c r="K72" s="1409"/>
      <c r="L72" s="1409"/>
      <c r="M72" s="1456"/>
      <c r="N72" s="1457"/>
      <c r="O72" s="1457"/>
      <c r="P72" s="1455"/>
      <c r="Q72" s="1378"/>
      <c r="R72" s="1498"/>
      <c r="S72" s="1498"/>
      <c r="T72" s="1498"/>
      <c r="U72" s="1498"/>
      <c r="V72" s="1498"/>
      <c r="W72" s="1498"/>
      <c r="X72" s="1498"/>
      <c r="Y72" s="1498"/>
      <c r="Z72" s="1498"/>
      <c r="AA72" s="1498"/>
      <c r="AB72" s="1498"/>
      <c r="AC72" s="1498"/>
      <c r="AD72" s="1498"/>
    </row>
    <row r="73" s="1123" customFormat="1" ht="15.75" spans="1:30">
      <c r="A73" s="1430"/>
      <c r="B73" s="1410">
        <f>B24</f>
        <v>111</v>
      </c>
      <c r="C73" s="1182"/>
      <c r="D73" s="1182"/>
      <c r="E73" s="1182"/>
      <c r="F73" s="1182"/>
      <c r="G73" s="1418"/>
      <c r="H73" s="1418"/>
      <c r="I73" s="1418"/>
      <c r="J73" s="1418"/>
      <c r="K73" s="1418"/>
      <c r="L73" s="1418"/>
      <c r="M73" s="1613"/>
      <c r="N73" s="1448"/>
      <c r="O73" s="1448"/>
      <c r="P73" s="1455"/>
      <c r="Q73" s="1378"/>
      <c r="R73" s="1498"/>
      <c r="S73" s="1498"/>
      <c r="T73" s="1498"/>
      <c r="U73" s="1498"/>
      <c r="V73" s="1498"/>
      <c r="W73" s="1498"/>
      <c r="X73" s="1498"/>
      <c r="Y73" s="1498"/>
      <c r="Z73" s="1498"/>
      <c r="AA73" s="1498"/>
      <c r="AB73" s="1498"/>
      <c r="AC73" s="1498"/>
      <c r="AD73" s="1498"/>
    </row>
    <row r="74" s="1123" customFormat="1" ht="15.75" spans="1:30">
      <c r="A74" s="1430"/>
      <c r="B74" s="1412"/>
      <c r="C74" s="1420"/>
      <c r="D74" s="1409"/>
      <c r="E74" s="1409"/>
      <c r="F74" s="1409"/>
      <c r="G74" s="1409"/>
      <c r="H74" s="1409"/>
      <c r="I74" s="1409"/>
      <c r="J74" s="1409"/>
      <c r="K74" s="1409"/>
      <c r="L74" s="1409"/>
      <c r="M74" s="1456"/>
      <c r="N74" s="1457"/>
      <c r="O74" s="1457"/>
      <c r="P74" s="1455"/>
      <c r="Q74" s="1378"/>
      <c r="R74" s="1498"/>
      <c r="S74" s="1498"/>
      <c r="T74" s="1498"/>
      <c r="U74" s="1498"/>
      <c r="V74" s="1498"/>
      <c r="W74" s="1498"/>
      <c r="X74" s="1498"/>
      <c r="Y74" s="1498"/>
      <c r="Z74" s="1498"/>
      <c r="AA74" s="1498"/>
      <c r="AB74" s="1498"/>
      <c r="AC74" s="1498"/>
      <c r="AD74" s="1498"/>
    </row>
    <row r="75" s="1125" customFormat="1" ht="15.75" spans="1:30">
      <c r="A75" s="1417"/>
      <c r="B75" s="1410">
        <f>B25</f>
        <v>111</v>
      </c>
      <c r="C75" s="1182"/>
      <c r="D75" s="1182"/>
      <c r="E75" s="1182"/>
      <c r="F75" s="1182"/>
      <c r="G75" s="1418"/>
      <c r="H75" s="1419"/>
      <c r="I75" s="1419"/>
      <c r="J75" s="1419"/>
      <c r="K75" s="1419"/>
      <c r="L75" s="1465"/>
      <c r="M75" s="1466"/>
      <c r="N75" s="1467"/>
      <c r="O75" s="1467"/>
      <c r="P75" s="1468"/>
      <c r="Q75" s="1499"/>
      <c r="R75" s="1500"/>
      <c r="S75" s="1500"/>
      <c r="T75" s="1500"/>
      <c r="U75" s="1500"/>
      <c r="V75" s="1500"/>
      <c r="W75" s="1500"/>
      <c r="X75" s="1500"/>
      <c r="Y75" s="1500"/>
      <c r="Z75" s="1500"/>
      <c r="AA75" s="1500"/>
      <c r="AB75" s="1500"/>
      <c r="AC75" s="1500"/>
      <c r="AD75" s="1500"/>
    </row>
    <row r="76" s="1125" customFormat="1" ht="15.75" spans="1:30">
      <c r="A76" s="1417"/>
      <c r="B76" s="1412"/>
      <c r="C76" s="1420"/>
      <c r="D76" s="1420"/>
      <c r="E76" s="1420"/>
      <c r="F76" s="1420"/>
      <c r="G76" s="1409"/>
      <c r="H76" s="1409"/>
      <c r="I76" s="1409"/>
      <c r="J76" s="1409"/>
      <c r="K76" s="1409"/>
      <c r="L76" s="1409"/>
      <c r="M76" s="1456"/>
      <c r="N76" s="1467"/>
      <c r="O76" s="1467"/>
      <c r="P76" s="1468"/>
      <c r="Q76" s="1499"/>
      <c r="R76" s="1500"/>
      <c r="S76" s="1500"/>
      <c r="T76" s="1500"/>
      <c r="U76" s="1500"/>
      <c r="V76" s="1500"/>
      <c r="W76" s="1500"/>
      <c r="X76" s="1500"/>
      <c r="Y76" s="1500"/>
      <c r="Z76" s="1500"/>
      <c r="AA76" s="1500"/>
      <c r="AB76" s="1500"/>
      <c r="AC76" s="1500"/>
      <c r="AD76" s="1500"/>
    </row>
    <row r="77" ht="15" spans="1:30">
      <c r="A77" s="1405" t="s">
        <v>1508</v>
      </c>
      <c r="B77" s="1406" t="s">
        <v>1514</v>
      </c>
      <c r="C77" s="1418"/>
      <c r="D77" s="1418"/>
      <c r="E77" s="1333"/>
      <c r="F77" s="1333"/>
      <c r="G77" s="1333"/>
      <c r="H77" s="1333"/>
      <c r="I77" s="1333"/>
      <c r="J77" s="1333"/>
      <c r="K77" s="1451"/>
      <c r="L77" s="1452"/>
      <c r="M77" s="1453"/>
      <c r="N77" s="1454"/>
      <c r="O77" s="1454"/>
      <c r="P77" s="1455"/>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1">
        <f t="shared" si="17"/>
        <v>100</v>
      </c>
      <c r="N78" s="1457"/>
      <c r="O78" s="1457"/>
      <c r="P78" s="1455"/>
      <c r="Q78" s="1378"/>
      <c r="R78" s="1251"/>
      <c r="S78" s="1251"/>
      <c r="T78" s="1251"/>
      <c r="U78" s="1251"/>
      <c r="V78" s="1251"/>
      <c r="W78" s="1251"/>
      <c r="X78" s="1251"/>
      <c r="Y78" s="1251"/>
      <c r="Z78" s="1251"/>
      <c r="AA78" s="1251"/>
      <c r="AB78" s="1251"/>
      <c r="AC78" s="1251"/>
      <c r="AD78" s="1251"/>
    </row>
    <row r="79" ht="15.75" spans="1:30">
      <c r="A79" s="1407"/>
      <c r="B79" s="1410" t="s">
        <v>1590</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58"/>
      <c r="L79" s="1459"/>
      <c r="M79" s="1460"/>
      <c r="N79" s="1448"/>
      <c r="O79" s="1448"/>
      <c r="P79" s="1455"/>
      <c r="Q79" s="1378"/>
      <c r="R79" s="1251"/>
      <c r="S79" s="1251"/>
      <c r="T79" s="1251"/>
      <c r="U79" s="1251"/>
      <c r="V79" s="1251"/>
      <c r="W79" s="1251"/>
      <c r="X79" s="1251"/>
      <c r="Y79" s="1251"/>
      <c r="Z79" s="1251"/>
      <c r="AA79" s="1251"/>
      <c r="AB79" s="1251"/>
      <c r="AC79" s="1251"/>
      <c r="AD79" s="1251"/>
    </row>
    <row r="80" ht="15" spans="1:30">
      <c r="A80" s="1407"/>
      <c r="B80" s="1414"/>
      <c r="C80" s="878">
        <v>0.5</v>
      </c>
      <c r="D80" s="878">
        <v>0.6</v>
      </c>
      <c r="E80" s="878">
        <v>0.7</v>
      </c>
      <c r="F80" s="878">
        <v>0.8</v>
      </c>
      <c r="G80" s="878">
        <v>0.9</v>
      </c>
      <c r="H80" s="878">
        <v>1.0001</v>
      </c>
      <c r="I80" s="1434"/>
      <c r="J80" s="1434"/>
      <c r="K80" s="1614"/>
      <c r="L80" s="1615"/>
      <c r="M80" s="1616"/>
      <c r="N80" s="1448"/>
      <c r="O80" s="1448"/>
      <c r="P80" s="1455"/>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7"/>
      <c r="O81" s="1457"/>
      <c r="P81" s="1468"/>
      <c r="Q81" s="1499"/>
      <c r="R81" s="1500"/>
      <c r="S81" s="1500"/>
      <c r="T81" s="1500"/>
      <c r="U81" s="1500"/>
      <c r="V81" s="1500"/>
      <c r="W81" s="1500"/>
      <c r="X81" s="1500"/>
      <c r="Y81" s="1500"/>
      <c r="Z81" s="1500"/>
      <c r="AA81" s="1500"/>
      <c r="AB81" s="1500"/>
      <c r="AC81" s="1500"/>
      <c r="AD81" s="1500"/>
    </row>
    <row r="82" ht="15.75" spans="1:30">
      <c r="A82" s="1441"/>
      <c r="B82" s="1414" t="s">
        <v>1591</v>
      </c>
      <c r="C82" s="1418"/>
      <c r="D82" s="1418"/>
      <c r="E82" s="1435"/>
      <c r="F82" s="1435"/>
      <c r="G82" s="1435"/>
      <c r="H82" s="1435"/>
      <c r="I82" s="1435"/>
      <c r="J82" s="1435"/>
      <c r="K82" s="1484"/>
      <c r="L82" s="1485"/>
      <c r="M82" s="1486"/>
      <c r="N82" s="1454"/>
      <c r="O82" s="1454"/>
      <c r="P82" s="1455"/>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1">
        <f t="shared" si="19"/>
        <v>100</v>
      </c>
      <c r="N83" s="1457"/>
      <c r="O83" s="1457"/>
      <c r="P83" s="1455"/>
      <c r="Q83" s="1378"/>
      <c r="R83" s="1251"/>
      <c r="S83" s="1251"/>
      <c r="T83" s="1251"/>
      <c r="U83" s="1251"/>
      <c r="V83" s="1251"/>
      <c r="W83" s="1251"/>
      <c r="X83" s="1251"/>
      <c r="Y83" s="1251"/>
      <c r="Z83" s="1251"/>
      <c r="AA83" s="1251"/>
      <c r="AB83" s="1251"/>
      <c r="AC83" s="1251"/>
      <c r="AD83" s="1251"/>
    </row>
    <row r="84" ht="15.75" spans="1:30">
      <c r="A84" s="1441"/>
      <c r="B84" s="1410" t="s">
        <v>1600</v>
      </c>
      <c r="C84" s="1418"/>
      <c r="D84" s="1418"/>
      <c r="E84" s="1418"/>
      <c r="F84" s="1418"/>
      <c r="G84" s="1418"/>
      <c r="H84" s="1418"/>
      <c r="I84" s="1435"/>
      <c r="J84" s="1435"/>
      <c r="K84" s="1484"/>
      <c r="L84" s="1485"/>
      <c r="M84" s="1486"/>
      <c r="N84" s="1454"/>
      <c r="O84" s="1454"/>
      <c r="P84" s="1455"/>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7"/>
      <c r="O85" s="1457"/>
      <c r="P85" s="1455"/>
      <c r="Q85" s="1378"/>
      <c r="R85" s="1251"/>
      <c r="S85" s="1251"/>
      <c r="T85" s="1251"/>
      <c r="U85" s="1251"/>
      <c r="V85" s="1251"/>
      <c r="W85" s="1251"/>
      <c r="X85" s="1251"/>
      <c r="Y85" s="1251"/>
      <c r="Z85" s="1251"/>
      <c r="AA85" s="1251"/>
      <c r="AB85" s="1251"/>
      <c r="AC85" s="1251"/>
      <c r="AD85" s="1251"/>
    </row>
    <row r="86" ht="15.75" spans="1:30">
      <c r="A86" s="1441"/>
      <c r="B86" s="1414" t="s">
        <v>594</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79" t="str">
        <f>M87&amp;"(含)"&amp;"-"&amp;P87</f>
        <v>(含)-</v>
      </c>
      <c r="N86" s="1454"/>
      <c r="O86" s="1454"/>
      <c r="P86" s="1455"/>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1"/>
      <c r="K87" s="1491"/>
      <c r="L87" s="1492"/>
      <c r="M87" s="1493"/>
      <c r="N87" s="1454"/>
      <c r="O87" s="1454"/>
      <c r="P87" s="1455"/>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7"/>
      <c r="O88" s="1457"/>
      <c r="P88" s="1455"/>
      <c r="Q88" s="1378"/>
      <c r="R88" s="1251"/>
      <c r="S88" s="1251"/>
      <c r="T88" s="1251"/>
      <c r="U88" s="1251"/>
      <c r="V88" s="1251"/>
      <c r="W88" s="1251"/>
      <c r="X88" s="1251"/>
      <c r="Y88" s="1251"/>
      <c r="Z88" s="1251"/>
      <c r="AA88" s="1251"/>
      <c r="AB88" s="1251"/>
      <c r="AC88" s="1251"/>
      <c r="AD88" s="1251"/>
    </row>
    <row r="89" s="1125" customFormat="1" ht="15.75" spans="1:30">
      <c r="A89" s="1438"/>
      <c r="B89" s="1410" t="s">
        <v>1601</v>
      </c>
      <c r="C89" s="1418"/>
      <c r="D89" s="1418"/>
      <c r="E89" s="1418"/>
      <c r="F89" s="1418"/>
      <c r="G89" s="1418"/>
      <c r="H89" s="1418"/>
      <c r="I89" s="1418"/>
      <c r="J89" s="1418"/>
      <c r="K89" s="1418"/>
      <c r="L89" s="1418"/>
      <c r="M89" s="1613"/>
      <c r="N89" s="1467"/>
      <c r="O89" s="1467"/>
      <c r="P89" s="1468"/>
      <c r="Q89" s="1499"/>
      <c r="R89" s="1500"/>
      <c r="S89" s="1500"/>
      <c r="T89" s="1500"/>
      <c r="U89" s="1500"/>
      <c r="V89" s="1500"/>
      <c r="W89" s="1500"/>
      <c r="X89" s="1500"/>
      <c r="Y89" s="1500"/>
      <c r="Z89" s="1500"/>
      <c r="AA89" s="1500"/>
      <c r="AB89" s="1500"/>
      <c r="AC89" s="1500"/>
      <c r="AD89" s="1500"/>
    </row>
    <row r="90" s="1125" customFormat="1" ht="15.75" spans="1:30">
      <c r="A90" s="1417"/>
      <c r="B90" s="1412"/>
      <c r="C90" s="1420"/>
      <c r="D90" s="1409"/>
      <c r="E90" s="1409"/>
      <c r="F90" s="1409"/>
      <c r="G90" s="1409"/>
      <c r="H90" s="1409"/>
      <c r="I90" s="1409"/>
      <c r="J90" s="1409"/>
      <c r="K90" s="1409"/>
      <c r="L90" s="1409"/>
      <c r="M90" s="1456"/>
      <c r="N90" s="1467"/>
      <c r="O90" s="1467"/>
      <c r="P90" s="1468"/>
      <c r="Q90" s="1499"/>
      <c r="R90" s="1500"/>
      <c r="S90" s="1500"/>
      <c r="T90" s="1500"/>
      <c r="U90" s="1500"/>
      <c r="V90" s="1500"/>
      <c r="W90" s="1500"/>
      <c r="X90" s="1500"/>
      <c r="Y90" s="1500"/>
      <c r="Z90" s="1500"/>
      <c r="AA90" s="1500"/>
      <c r="AB90" s="1500"/>
      <c r="AC90" s="1500"/>
      <c r="AD90" s="1500"/>
    </row>
    <row r="91" ht="15.75" spans="1:30">
      <c r="A91" s="1441"/>
      <c r="B91" s="1410">
        <f>B32</f>
        <v>111</v>
      </c>
      <c r="C91" s="1182"/>
      <c r="D91" s="1182"/>
      <c r="E91" s="1182"/>
      <c r="F91" s="1182"/>
      <c r="G91" s="1418"/>
      <c r="H91" s="1419"/>
      <c r="I91" s="1419"/>
      <c r="J91" s="1419"/>
      <c r="K91" s="1419"/>
      <c r="L91" s="1465"/>
      <c r="M91" s="1466"/>
      <c r="N91" s="1454"/>
      <c r="O91" s="1454"/>
      <c r="P91" s="1455"/>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69"/>
      <c r="N92" s="1457"/>
      <c r="O92" s="1457"/>
      <c r="P92" s="1455"/>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5"/>
      <c r="M93" s="1466"/>
      <c r="N93" s="1454"/>
      <c r="O93" s="1454"/>
      <c r="P93" s="1455"/>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69"/>
      <c r="N94" s="1457"/>
      <c r="O94" s="1457"/>
      <c r="P94" s="1455"/>
      <c r="Q94" s="1378"/>
      <c r="R94" s="1251"/>
      <c r="S94" s="1251"/>
      <c r="T94" s="1251"/>
      <c r="U94" s="1251"/>
      <c r="V94" s="1251"/>
      <c r="W94" s="1251"/>
      <c r="X94" s="1251"/>
      <c r="Y94" s="1251"/>
      <c r="Z94" s="1251"/>
      <c r="AA94" s="1251"/>
      <c r="AB94" s="1251"/>
      <c r="AC94" s="1251"/>
      <c r="AD94" s="1251"/>
    </row>
    <row r="95" ht="15.75" spans="1:30">
      <c r="A95" s="1441"/>
      <c r="B95" s="1609">
        <f>B34</f>
        <v>111</v>
      </c>
      <c r="C95" s="1182"/>
      <c r="D95" s="1182"/>
      <c r="E95" s="1182"/>
      <c r="F95" s="1182"/>
      <c r="G95" s="1418"/>
      <c r="H95" s="1419"/>
      <c r="I95" s="1419"/>
      <c r="J95" s="1419"/>
      <c r="K95" s="1419"/>
      <c r="L95" s="1465"/>
      <c r="M95" s="1466"/>
      <c r="N95" s="1457"/>
      <c r="O95" s="1457"/>
      <c r="P95" s="1617"/>
      <c r="Q95" s="1620"/>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69"/>
      <c r="N96" s="1457"/>
      <c r="O96" s="1457"/>
      <c r="P96" s="1455"/>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0"/>
      <c r="B98" s="1610"/>
      <c r="C98" s="1610"/>
      <c r="D98" s="1610"/>
      <c r="E98" s="1610"/>
      <c r="F98" s="1610"/>
      <c r="G98" s="1610"/>
      <c r="H98" s="1610"/>
      <c r="I98" s="1610"/>
      <c r="J98" s="1610"/>
      <c r="K98" s="1618"/>
      <c r="L98" s="1619"/>
      <c r="M98" s="1610"/>
      <c r="N98" s="1251"/>
      <c r="O98" s="1251"/>
      <c r="P98" s="1251"/>
      <c r="Q98" s="1251"/>
      <c r="R98" s="1251"/>
      <c r="S98" s="1251"/>
      <c r="T98" s="1251"/>
      <c r="U98" s="1251"/>
      <c r="V98" s="1251"/>
      <c r="W98" s="1251"/>
      <c r="X98" s="1251"/>
      <c r="Y98" s="1251"/>
      <c r="Z98" s="1251"/>
      <c r="AA98" s="1251"/>
      <c r="AB98" s="1251"/>
      <c r="AC98" s="1251"/>
      <c r="AD98" s="1251"/>
    </row>
    <row r="99" spans="1:30">
      <c r="A99" s="1610"/>
      <c r="B99" s="1610"/>
      <c r="C99" s="1610"/>
      <c r="D99" s="1610"/>
      <c r="E99" s="1610"/>
      <c r="F99" s="1610"/>
      <c r="G99" s="1610"/>
      <c r="H99" s="1610"/>
      <c r="I99" s="1610"/>
      <c r="J99" s="1610"/>
      <c r="K99" s="1618"/>
      <c r="L99" s="1619"/>
      <c r="M99" s="1610"/>
      <c r="N99" s="1251"/>
      <c r="O99" s="1251"/>
      <c r="P99" s="1251"/>
      <c r="Q99" s="1251"/>
      <c r="R99" s="1251"/>
      <c r="S99" s="1251"/>
      <c r="T99" s="1251"/>
      <c r="U99" s="1251"/>
      <c r="V99" s="1251"/>
      <c r="W99" s="1251"/>
      <c r="X99" s="1251"/>
      <c r="Y99" s="1251"/>
      <c r="Z99" s="1251"/>
      <c r="AA99" s="1251"/>
      <c r="AB99" s="1251"/>
      <c r="AC99" s="1251"/>
      <c r="AD99" s="1251"/>
    </row>
    <row r="100" spans="1:30">
      <c r="A100" s="1610"/>
      <c r="B100" s="1610"/>
      <c r="C100" s="1610"/>
      <c r="D100" s="1610"/>
      <c r="E100" s="1610"/>
      <c r="F100" s="1610"/>
      <c r="G100" s="1610"/>
      <c r="H100" s="1610"/>
      <c r="I100" s="1610"/>
      <c r="J100" s="1610"/>
      <c r="K100" s="1618"/>
      <c r="L100" s="1619"/>
      <c r="M100" s="1610"/>
      <c r="N100" s="1251"/>
      <c r="O100" s="1251"/>
      <c r="P100" s="1251"/>
      <c r="Q100" s="1251"/>
      <c r="R100" s="1251"/>
      <c r="S100" s="1251"/>
      <c r="T100" s="1251"/>
      <c r="U100" s="1251"/>
      <c r="V100" s="1251"/>
      <c r="W100" s="1251"/>
      <c r="X100" s="1251"/>
      <c r="Y100" s="1251"/>
      <c r="Z100" s="1251"/>
      <c r="AA100" s="1251"/>
      <c r="AB100" s="1251"/>
      <c r="AC100" s="1251"/>
      <c r="AD100" s="1251"/>
    </row>
    <row r="101" spans="1:30">
      <c r="A101" s="1610"/>
      <c r="B101" s="1610"/>
      <c r="C101" s="1610"/>
      <c r="D101" s="1610"/>
      <c r="E101" s="1610"/>
      <c r="F101" s="1610"/>
      <c r="G101" s="1610"/>
      <c r="H101" s="1610"/>
      <c r="I101" s="1610"/>
      <c r="J101" s="1610"/>
      <c r="K101" s="1618"/>
      <c r="L101" s="1619"/>
      <c r="M101" s="1610"/>
      <c r="N101" s="1251"/>
      <c r="O101" s="1251"/>
      <c r="P101" s="1251"/>
      <c r="Q101" s="1251"/>
      <c r="R101" s="1251"/>
      <c r="S101" s="1251"/>
      <c r="T101" s="1251"/>
      <c r="U101" s="1251"/>
      <c r="V101" s="1251"/>
      <c r="W101" s="1251"/>
      <c r="X101" s="1251"/>
      <c r="Y101" s="1251"/>
      <c r="Z101" s="1251"/>
      <c r="AA101" s="1251"/>
      <c r="AB101" s="1251"/>
      <c r="AC101" s="1251"/>
      <c r="AD101" s="1251"/>
    </row>
    <row r="102" spans="1:30">
      <c r="A102" s="1610"/>
      <c r="B102" s="1610"/>
      <c r="C102" s="1610"/>
      <c r="D102" s="1610"/>
      <c r="E102" s="1610"/>
      <c r="F102" s="1610"/>
      <c r="G102" s="1610"/>
      <c r="H102" s="1610"/>
      <c r="I102" s="1610"/>
      <c r="J102" s="1610"/>
      <c r="K102" s="1618"/>
      <c r="L102" s="1619"/>
      <c r="M102" s="1610"/>
      <c r="N102" s="1251"/>
      <c r="O102" s="1251"/>
      <c r="P102" s="1251"/>
      <c r="Q102" s="1251"/>
      <c r="R102" s="1251"/>
      <c r="S102" s="1251"/>
      <c r="T102" s="1251"/>
      <c r="U102" s="1251"/>
      <c r="V102" s="1251"/>
      <c r="W102" s="1251"/>
      <c r="X102" s="1251"/>
      <c r="Y102" s="1251"/>
      <c r="Z102" s="1251"/>
      <c r="AA102" s="1251"/>
      <c r="AB102" s="1251"/>
      <c r="AC102" s="1251"/>
      <c r="AD102" s="1251"/>
    </row>
    <row r="103" spans="1:30">
      <c r="A103" s="1610"/>
      <c r="B103" s="1610"/>
      <c r="C103" s="1610"/>
      <c r="D103" s="1610"/>
      <c r="E103" s="1610"/>
      <c r="F103" s="1610"/>
      <c r="G103" s="1610"/>
      <c r="H103" s="1610"/>
      <c r="I103" s="1610"/>
      <c r="J103" s="1610"/>
      <c r="K103" s="1618"/>
      <c r="L103" s="1619"/>
      <c r="M103" s="1610"/>
      <c r="N103" s="1610"/>
      <c r="O103" s="1610"/>
      <c r="P103" s="1251"/>
      <c r="Q103" s="1251"/>
      <c r="R103" s="1251"/>
      <c r="S103" s="1251"/>
      <c r="T103" s="1251"/>
      <c r="U103" s="1251"/>
      <c r="V103" s="1251"/>
      <c r="W103" s="1251"/>
      <c r="X103" s="1251"/>
      <c r="Y103" s="1251"/>
      <c r="Z103" s="1251"/>
      <c r="AA103" s="1251"/>
      <c r="AB103" s="1251"/>
      <c r="AC103" s="1251"/>
      <c r="AD103" s="1251"/>
    </row>
    <row r="104" spans="1:20">
      <c r="A104" s="1610"/>
      <c r="B104" s="1610"/>
      <c r="C104" s="1610"/>
      <c r="D104" s="1610"/>
      <c r="E104" s="1610"/>
      <c r="F104" s="1610"/>
      <c r="G104" s="1610"/>
      <c r="H104" s="1610"/>
      <c r="I104" s="1610"/>
      <c r="J104" s="1610"/>
      <c r="K104" s="1618"/>
      <c r="L104" s="1619"/>
      <c r="M104" s="1610"/>
      <c r="N104" s="1610"/>
      <c r="O104" s="1610"/>
      <c r="P104" s="1610"/>
      <c r="Q104" s="1610"/>
      <c r="R104" s="1610"/>
      <c r="S104" s="1610"/>
      <c r="T104" s="1610"/>
    </row>
    <row r="105" spans="1:20">
      <c r="A105" s="1610"/>
      <c r="B105" s="1610"/>
      <c r="C105" s="1610"/>
      <c r="D105" s="1610"/>
      <c r="E105" s="1610"/>
      <c r="F105" s="1610"/>
      <c r="G105" s="1610"/>
      <c r="H105" s="1610"/>
      <c r="I105" s="1610"/>
      <c r="J105" s="1610"/>
      <c r="K105" s="1618"/>
      <c r="L105" s="1619"/>
      <c r="M105" s="1610"/>
      <c r="N105" s="1610"/>
      <c r="O105" s="1610"/>
      <c r="P105" s="1610"/>
      <c r="Q105" s="1610"/>
      <c r="R105" s="1610"/>
      <c r="S105" s="1610"/>
      <c r="T105" s="1610"/>
    </row>
    <row r="106" spans="1:20">
      <c r="A106" s="1610"/>
      <c r="B106" s="1610"/>
      <c r="C106" s="1610"/>
      <c r="D106" s="1610"/>
      <c r="E106" s="1610"/>
      <c r="F106" s="1610"/>
      <c r="G106" s="1610"/>
      <c r="H106" s="1610"/>
      <c r="I106" s="1610"/>
      <c r="J106" s="1610"/>
      <c r="K106" s="1618"/>
      <c r="L106" s="1619"/>
      <c r="M106" s="1610"/>
      <c r="N106" s="1610"/>
      <c r="O106" s="1610"/>
      <c r="P106" s="1610"/>
      <c r="Q106" s="1610"/>
      <c r="R106" s="1610"/>
      <c r="S106" s="1610"/>
      <c r="T106" s="1610"/>
    </row>
    <row r="107" spans="1:20">
      <c r="A107" s="1610"/>
      <c r="B107" s="1610"/>
      <c r="C107" s="1610"/>
      <c r="D107" s="1610"/>
      <c r="E107" s="1610"/>
      <c r="F107" s="1610"/>
      <c r="G107" s="1610"/>
      <c r="H107" s="1610"/>
      <c r="I107" s="1610"/>
      <c r="J107" s="1610"/>
      <c r="K107" s="1618"/>
      <c r="L107" s="1619"/>
      <c r="M107" s="1610"/>
      <c r="N107" s="1610"/>
      <c r="O107" s="1610"/>
      <c r="P107" s="1610"/>
      <c r="Q107" s="1610"/>
      <c r="R107" s="1610"/>
      <c r="S107" s="1610"/>
      <c r="T107" s="1610"/>
    </row>
    <row r="108" spans="1:20">
      <c r="A108" s="1610"/>
      <c r="B108" s="1610"/>
      <c r="C108" s="1610"/>
      <c r="D108" s="1610"/>
      <c r="E108" s="1610"/>
      <c r="F108" s="1610"/>
      <c r="G108" s="1610"/>
      <c r="H108" s="1610"/>
      <c r="I108" s="1610"/>
      <c r="J108" s="1610"/>
      <c r="K108" s="1618"/>
      <c r="L108" s="1619"/>
      <c r="M108" s="1610"/>
      <c r="N108" s="1610"/>
      <c r="O108" s="1610"/>
      <c r="P108" s="1610"/>
      <c r="Q108" s="1610"/>
      <c r="R108" s="1610"/>
      <c r="S108" s="1610"/>
      <c r="T108" s="1610"/>
    </row>
    <row r="109" spans="1:20">
      <c r="A109" s="1610"/>
      <c r="B109" s="1610"/>
      <c r="C109" s="1610"/>
      <c r="D109" s="1610"/>
      <c r="E109" s="1610"/>
      <c r="F109" s="1610"/>
      <c r="G109" s="1610"/>
      <c r="H109" s="1610"/>
      <c r="I109" s="1610"/>
      <c r="J109" s="1610"/>
      <c r="K109" s="1618"/>
      <c r="L109" s="1619"/>
      <c r="M109" s="1610"/>
      <c r="N109" s="1610"/>
      <c r="O109" s="1610"/>
      <c r="P109" s="1610"/>
      <c r="Q109" s="1610"/>
      <c r="R109" s="1610"/>
      <c r="S109" s="1610"/>
      <c r="T109" s="1610"/>
    </row>
    <row r="110" spans="1:20">
      <c r="A110" s="1610"/>
      <c r="B110" s="1610"/>
      <c r="C110" s="1610"/>
      <c r="D110" s="1610"/>
      <c r="E110" s="1610"/>
      <c r="F110" s="1610"/>
      <c r="G110" s="1610"/>
      <c r="H110" s="1610"/>
      <c r="I110" s="1610"/>
      <c r="J110" s="1610"/>
      <c r="K110" s="1618"/>
      <c r="L110" s="1619"/>
      <c r="M110" s="1610"/>
      <c r="N110" s="1610"/>
      <c r="O110" s="1610"/>
      <c r="P110" s="1610"/>
      <c r="Q110" s="1610"/>
      <c r="R110" s="1610"/>
      <c r="S110" s="1610"/>
      <c r="T110" s="1610"/>
    </row>
    <row r="111" spans="1:20">
      <c r="A111" s="1610"/>
      <c r="B111" s="1610"/>
      <c r="C111" s="1610"/>
      <c r="D111" s="1610"/>
      <c r="E111" s="1610"/>
      <c r="F111" s="1610"/>
      <c r="G111" s="1610"/>
      <c r="H111" s="1610"/>
      <c r="I111" s="1610"/>
      <c r="J111" s="1610"/>
      <c r="K111" s="1618"/>
      <c r="L111" s="1619"/>
      <c r="M111" s="1610"/>
      <c r="N111" s="1610"/>
      <c r="O111" s="1610"/>
      <c r="P111" s="1610"/>
      <c r="Q111" s="1610"/>
      <c r="R111" s="1610"/>
      <c r="S111" s="1610"/>
      <c r="T111" s="1610"/>
    </row>
    <row r="112" spans="1:20">
      <c r="A112" s="1610"/>
      <c r="B112" s="1610"/>
      <c r="C112" s="1610"/>
      <c r="D112" s="1610"/>
      <c r="E112" s="1610"/>
      <c r="F112" s="1610"/>
      <c r="G112" s="1610"/>
      <c r="H112" s="1610"/>
      <c r="I112" s="1610"/>
      <c r="J112" s="1610"/>
      <c r="K112" s="1618"/>
      <c r="L112" s="1619"/>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8"/>
      <c r="L113" s="1619"/>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8"/>
      <c r="L114" s="1619"/>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8"/>
      <c r="L115" s="1619"/>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8"/>
      <c r="L116" s="1619"/>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8"/>
      <c r="L117" s="1619"/>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8"/>
      <c r="L118" s="1619"/>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8"/>
      <c r="L119" s="1619"/>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8"/>
      <c r="L120" s="1619"/>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8"/>
      <c r="L121" s="1619"/>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8"/>
      <c r="L122" s="1619"/>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8"/>
      <c r="L123" s="1619"/>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8"/>
      <c r="L124" s="1619"/>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8"/>
      <c r="L125" s="1619"/>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8"/>
      <c r="L126" s="1619"/>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8"/>
      <c r="L127" s="1619"/>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8"/>
      <c r="L128" s="1619"/>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8"/>
      <c r="L129" s="1619"/>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8"/>
      <c r="L130" s="1619"/>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8"/>
      <c r="L131" s="1619"/>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8"/>
      <c r="L132" s="1619"/>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8"/>
      <c r="L133" s="1619"/>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8"/>
      <c r="L134" s="1619"/>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8"/>
      <c r="L135" s="1619"/>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8"/>
      <c r="L136" s="1619"/>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8"/>
      <c r="L137" s="1619"/>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8"/>
      <c r="L138" s="1619"/>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8"/>
      <c r="L139" s="1619"/>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8"/>
      <c r="L140" s="1619"/>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8"/>
      <c r="L141" s="1619"/>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8"/>
      <c r="L142" s="1619"/>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8"/>
      <c r="L143" s="1619"/>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8"/>
      <c r="L144" s="1619"/>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8"/>
      <c r="L145" s="1619"/>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8"/>
      <c r="L146" s="1619"/>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8"/>
      <c r="L147" s="1619"/>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8"/>
      <c r="L148" s="1619"/>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8"/>
      <c r="L149" s="1619"/>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8"/>
      <c r="L150" s="1619"/>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8"/>
      <c r="L151" s="1619"/>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8"/>
      <c r="L152" s="1619"/>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8"/>
      <c r="L153" s="1619"/>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8"/>
      <c r="L154" s="1619"/>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8"/>
      <c r="L155" s="1619"/>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8"/>
      <c r="L156" s="1619"/>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8"/>
      <c r="L157" s="1619"/>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8"/>
      <c r="L158" s="1619"/>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8"/>
      <c r="L159" s="1619"/>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8"/>
      <c r="L160" s="1619"/>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8"/>
      <c r="L161" s="1619"/>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8"/>
      <c r="L162" s="1619"/>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8"/>
      <c r="L163" s="1619"/>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8"/>
      <c r="L164" s="1619"/>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8"/>
      <c r="L165" s="1619"/>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8"/>
      <c r="L166" s="1619"/>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8"/>
      <c r="L167" s="1619"/>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8"/>
      <c r="L168" s="1619"/>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8"/>
      <c r="L169" s="1619"/>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8"/>
      <c r="L170" s="1619"/>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8"/>
      <c r="L171" s="1619"/>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8"/>
      <c r="L172" s="1619"/>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8"/>
      <c r="L173" s="1619"/>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8"/>
      <c r="L174" s="1619"/>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8"/>
      <c r="L175" s="1619"/>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8"/>
      <c r="L176" s="1619"/>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8"/>
      <c r="L177" s="1619"/>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8"/>
      <c r="L178" s="1619"/>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8"/>
      <c r="L179" s="1619"/>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8"/>
      <c r="L180" s="1619"/>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8"/>
      <c r="L181" s="1619"/>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8"/>
      <c r="L182" s="1619"/>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8"/>
      <c r="L183" s="1619"/>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8"/>
      <c r="L184" s="1619"/>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8"/>
      <c r="L185" s="1619"/>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8"/>
      <c r="L186" s="1619"/>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8"/>
      <c r="L187" s="1619"/>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8"/>
      <c r="L188" s="1619"/>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8"/>
      <c r="L189" s="1619"/>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8"/>
      <c r="L190" s="1619"/>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8"/>
      <c r="L191" s="1619"/>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8"/>
      <c r="L192" s="1619"/>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8"/>
      <c r="L193" s="1619"/>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8"/>
      <c r="L194" s="1619"/>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8"/>
      <c r="L195" s="1619"/>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8"/>
      <c r="L196" s="1619"/>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8"/>
      <c r="L197" s="1619"/>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8"/>
      <c r="L198" s="1619"/>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8"/>
      <c r="L199" s="1619"/>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8"/>
      <c r="L200" s="1619"/>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8"/>
      <c r="L201" s="1619"/>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8"/>
      <c r="L202" s="1619"/>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8"/>
      <c r="L203" s="1619"/>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8"/>
      <c r="L204" s="1619"/>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8"/>
      <c r="L205" s="1619"/>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8"/>
      <c r="L206" s="1619"/>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8"/>
      <c r="L207" s="1619"/>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8"/>
      <c r="L208" s="1619"/>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8"/>
      <c r="L209" s="1619"/>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8"/>
      <c r="L210" s="1619"/>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8"/>
      <c r="L211" s="1619"/>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8"/>
      <c r="L212" s="1619"/>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8"/>
      <c r="L213" s="1619"/>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8"/>
      <c r="L214" s="1619"/>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8"/>
      <c r="L215" s="1619"/>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8"/>
      <c r="L216" s="1619"/>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8"/>
      <c r="L217" s="1619"/>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8"/>
      <c r="L218" s="1619"/>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8"/>
      <c r="L219" s="1619"/>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8"/>
      <c r="L220" s="1619"/>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8"/>
      <c r="L221" s="1619"/>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8"/>
      <c r="L222" s="1619"/>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8"/>
      <c r="L223" s="1619"/>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8"/>
      <c r="L224" s="1619"/>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8"/>
      <c r="L225" s="1619"/>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8"/>
      <c r="L226" s="1619"/>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8"/>
      <c r="L227" s="1619"/>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8"/>
      <c r="L228" s="1619"/>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8"/>
      <c r="L229" s="1619"/>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8"/>
      <c r="L230" s="1619"/>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8"/>
      <c r="L231" s="1619"/>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8"/>
      <c r="L232" s="1619"/>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8"/>
      <c r="L233" s="1619"/>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8"/>
      <c r="L234" s="1619"/>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8"/>
      <c r="L235" s="1619"/>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8"/>
      <c r="L236" s="1619"/>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8"/>
      <c r="L237" s="1619"/>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8"/>
      <c r="L238" s="1619"/>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8"/>
      <c r="L239" s="1619"/>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8"/>
      <c r="L240" s="1619"/>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8"/>
      <c r="L241" s="1619"/>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E1" sqref="E1"/>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1603</v>
      </c>
      <c r="B1" s="1133"/>
      <c r="C1" s="1134" t="s">
        <v>1604</v>
      </c>
      <c r="D1" s="1135"/>
      <c r="E1" s="1135"/>
      <c r="F1" s="1136" t="s">
        <v>1473</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1"/>
    </row>
    <row r="2" s="1122" customFormat="1" ht="28.5" customHeight="1" spans="1:30">
      <c r="A2" s="393" t="s">
        <v>987</v>
      </c>
      <c r="B2" s="1137" t="e">
        <f>F65</f>
        <v>#DIV/0!</v>
      </c>
      <c r="C2" s="1502"/>
      <c r="D2" s="1502"/>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1"/>
    </row>
    <row r="3" s="1122" customFormat="1" ht="28.5" customHeight="1" spans="1:29">
      <c r="A3" s="396" t="s">
        <v>989</v>
      </c>
      <c r="B3" s="1140" t="e">
        <f>ROUND(IF(D3="",B2*10000/'数据-汇总表'!E3,B2*10000/D3),0)</f>
        <v>#DIV/0!</v>
      </c>
      <c r="C3" s="396" t="s">
        <v>1474</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3" t="s">
        <v>1486</v>
      </c>
      <c r="D6" s="1504"/>
      <c r="E6" s="1505" t="s">
        <v>1486</v>
      </c>
      <c r="F6" s="1506"/>
      <c r="G6" s="1503" t="s">
        <v>1486</v>
      </c>
      <c r="H6" s="1504"/>
      <c r="I6" s="1503" t="s">
        <v>1486</v>
      </c>
      <c r="J6" s="1504"/>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45539</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t="s">
        <v>1530</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1492</v>
      </c>
      <c r="Q8" s="1368"/>
      <c r="R8" s="1365" t="s">
        <v>1490</v>
      </c>
      <c r="S8" s="1366">
        <f t="shared" si="0"/>
        <v>0</v>
      </c>
      <c r="T8" s="1365" t="s">
        <v>1490</v>
      </c>
      <c r="U8" s="1366">
        <f t="shared" si="1"/>
        <v>0</v>
      </c>
      <c r="V8" s="1365" t="s">
        <v>1490</v>
      </c>
      <c r="W8" s="1366">
        <f t="shared" si="2"/>
        <v>0</v>
      </c>
      <c r="X8" s="1367"/>
      <c r="Y8" s="1311" t="s">
        <v>1492</v>
      </c>
      <c r="Z8" s="1368"/>
      <c r="AA8" s="1384" t="e">
        <f t="shared" ref="AA8:AA45" si="3">D8/F8</f>
        <v>#DIV/0!</v>
      </c>
      <c r="AB8" s="1384" t="e">
        <f t="shared" ref="AB8:AB45" si="4">D8/H8</f>
        <v>#DIV/0!</v>
      </c>
      <c r="AC8" s="1384" t="e">
        <f t="shared" ref="AC8:AC45" si="5">D8/J8</f>
        <v>#DIV/0!</v>
      </c>
    </row>
    <row r="9" s="1123" customFormat="1" spans="1:29">
      <c r="A9" s="1168" t="s">
        <v>1493</v>
      </c>
      <c r="B9" s="1169" t="s">
        <v>1494</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699"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174"/>
      <c r="D10" s="1175">
        <v>100</v>
      </c>
      <c r="E10" s="1507"/>
      <c r="F10" s="1175">
        <f>ROUND(100/'数据-取费表'!G16,0)</f>
        <v>115</v>
      </c>
      <c r="G10" s="1508"/>
      <c r="H10" s="1175">
        <f>ROUND(100/'数据-取费表'!G16,0)</f>
        <v>115</v>
      </c>
      <c r="I10" s="1508"/>
      <c r="J10" s="1175">
        <f>ROUND(100/'数据-取费表'!G16,0)</f>
        <v>115</v>
      </c>
      <c r="K10" s="1313"/>
      <c r="L10" s="1314"/>
      <c r="M10" s="1315"/>
      <c r="N10" s="1315"/>
      <c r="O10" s="1316"/>
      <c r="P10" s="699"/>
      <c r="Q10" s="1369" t="str">
        <f t="shared" si="6"/>
        <v>土地使用年限（年）</v>
      </c>
      <c r="R10" s="1365" t="s">
        <v>1490</v>
      </c>
      <c r="S10" s="1366">
        <f t="shared" si="0"/>
        <v>115</v>
      </c>
      <c r="T10" s="1365" t="s">
        <v>1490</v>
      </c>
      <c r="U10" s="1366">
        <f t="shared" si="1"/>
        <v>115</v>
      </c>
      <c r="V10" s="1365" t="s">
        <v>1490</v>
      </c>
      <c r="W10" s="1366">
        <f t="shared" si="2"/>
        <v>115</v>
      </c>
      <c r="X10" s="1367"/>
      <c r="Y10" s="1369"/>
      <c r="Z10" s="1385" t="str">
        <f t="shared" si="7"/>
        <v>土地使用年限（年）</v>
      </c>
      <c r="AA10" s="1384">
        <f t="shared" si="3"/>
        <v>0.869565217391304</v>
      </c>
      <c r="AB10" s="1384">
        <f t="shared" si="4"/>
        <v>0.869565217391304</v>
      </c>
      <c r="AC10" s="1384">
        <f t="shared" si="5"/>
        <v>0.869565217391304</v>
      </c>
    </row>
    <row r="11" ht="15" spans="1:29">
      <c r="A11" s="1176"/>
      <c r="B11" s="1173" t="s">
        <v>1498</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699"/>
      <c r="Q11" s="1369" t="str">
        <f t="shared" si="6"/>
        <v>容积率</v>
      </c>
      <c r="R11" s="1365" t="s">
        <v>1490</v>
      </c>
      <c r="S11" s="1366" t="e">
        <f t="shared" si="0"/>
        <v>#N/A</v>
      </c>
      <c r="T11" s="1365" t="s">
        <v>1490</v>
      </c>
      <c r="U11" s="1366" t="e">
        <f t="shared" si="1"/>
        <v>#N/A</v>
      </c>
      <c r="V11" s="1365" t="s">
        <v>1490</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1605</v>
      </c>
      <c r="C12" s="1174"/>
      <c r="D12" s="1181">
        <v>100</v>
      </c>
      <c r="E12" s="1507"/>
      <c r="F12" s="1175">
        <f>SUMIF(81:81,E12,82:82)-SUMIF(81:81,C12,82:82)+100</f>
        <v>100</v>
      </c>
      <c r="G12" s="1508"/>
      <c r="H12" s="1175">
        <f>SUMIF(81:81,G12,82:82)-SUMIF(81:81,C12,82:82)+100</f>
        <v>100</v>
      </c>
      <c r="I12" s="1507"/>
      <c r="J12" s="1175">
        <f>SUMIF(81:81,I12,82:82)-SUMIF(81:81,C12,82:82)+100</f>
        <v>100</v>
      </c>
      <c r="K12" s="1313"/>
      <c r="L12" s="1309"/>
      <c r="M12" s="1310"/>
      <c r="N12" s="1310"/>
      <c r="O12" s="1312"/>
      <c r="P12" s="699"/>
      <c r="Q12" s="1369" t="str">
        <f t="shared" si="6"/>
        <v>配建</v>
      </c>
      <c r="R12" s="1365" t="s">
        <v>1490</v>
      </c>
      <c r="S12" s="1366">
        <f t="shared" si="0"/>
        <v>100</v>
      </c>
      <c r="T12" s="1365" t="s">
        <v>1490</v>
      </c>
      <c r="U12" s="1366">
        <f t="shared" si="1"/>
        <v>100</v>
      </c>
      <c r="V12" s="1365" t="s">
        <v>1490</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699"/>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699"/>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94.5" spans="1:29">
      <c r="A15" s="1190" t="s">
        <v>1499</v>
      </c>
      <c r="B15" s="1509" t="s">
        <v>1500</v>
      </c>
      <c r="C15" s="1510"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1501</v>
      </c>
      <c r="Q15" s="699" t="str">
        <f t="shared" si="6"/>
        <v>居住社区成熟度</v>
      </c>
      <c r="R15" s="1370" t="s">
        <v>1490</v>
      </c>
      <c r="S15" s="1371">
        <f t="shared" si="0"/>
        <v>100</v>
      </c>
      <c r="T15" s="1370" t="s">
        <v>1490</v>
      </c>
      <c r="U15" s="1371">
        <f t="shared" si="1"/>
        <v>100</v>
      </c>
      <c r="V15" s="1370" t="s">
        <v>1490</v>
      </c>
      <c r="W15" s="1371">
        <f t="shared" si="2"/>
        <v>100</v>
      </c>
      <c r="X15" s="1357"/>
      <c r="Y15" s="1322" t="s">
        <v>1501</v>
      </c>
      <c r="Z15" s="1344" t="str">
        <f t="shared" si="7"/>
        <v>居住社区成熟度</v>
      </c>
      <c r="AA15" s="1386">
        <f t="shared" si="3"/>
        <v>1</v>
      </c>
      <c r="AB15" s="1386">
        <f t="shared" si="4"/>
        <v>1</v>
      </c>
      <c r="AC15" s="1386">
        <f t="shared" si="5"/>
        <v>1</v>
      </c>
    </row>
    <row r="16" ht="15" spans="1:29">
      <c r="A16" s="1176"/>
      <c r="B16" s="1511"/>
      <c r="C16" s="1196"/>
      <c r="D16" s="1197"/>
      <c r="E16" s="1205"/>
      <c r="F16" s="1197"/>
      <c r="G16" s="1205"/>
      <c r="H16" s="1199"/>
      <c r="I16" s="1325"/>
      <c r="J16" s="1197"/>
      <c r="K16" s="1313"/>
      <c r="L16" s="1320"/>
      <c r="M16" s="1304"/>
      <c r="N16" s="1304"/>
      <c r="O16" s="1319"/>
      <c r="P16" s="1323"/>
      <c r="Q16" s="699"/>
      <c r="R16" s="1370"/>
      <c r="S16" s="1371"/>
      <c r="T16" s="1370"/>
      <c r="U16" s="1371"/>
      <c r="V16" s="1370"/>
      <c r="W16" s="1371"/>
      <c r="X16" s="1357"/>
      <c r="Y16" s="1323"/>
      <c r="Z16" s="1344"/>
      <c r="AA16" s="1386">
        <v>1</v>
      </c>
      <c r="AB16" s="1386">
        <v>1</v>
      </c>
      <c r="AC16" s="1386">
        <v>1</v>
      </c>
    </row>
    <row r="17" ht="68.25" spans="1:29">
      <c r="A17" s="1176"/>
      <c r="B17" s="1512" t="s">
        <v>1563</v>
      </c>
      <c r="C17" s="696"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699" t="str">
        <f>B17</f>
        <v>商业繁华度</v>
      </c>
      <c r="R17" s="1370" t="s">
        <v>1490</v>
      </c>
      <c r="S17" s="1371">
        <f>F17</f>
        <v>100</v>
      </c>
      <c r="T17" s="1370" t="s">
        <v>1490</v>
      </c>
      <c r="U17" s="1371">
        <f>H17</f>
        <v>100</v>
      </c>
      <c r="V17" s="1370" t="s">
        <v>1490</v>
      </c>
      <c r="W17" s="1371">
        <f>J17</f>
        <v>100</v>
      </c>
      <c r="X17" s="1357"/>
      <c r="Y17" s="1323"/>
      <c r="Z17" s="1344" t="str">
        <f>Q17</f>
        <v>商业繁华度</v>
      </c>
      <c r="AA17" s="1386">
        <f t="shared" si="3"/>
        <v>1</v>
      </c>
      <c r="AB17" s="1386">
        <f t="shared" si="4"/>
        <v>1</v>
      </c>
      <c r="AC17" s="1386">
        <f t="shared" si="5"/>
        <v>1</v>
      </c>
    </row>
    <row r="18" ht="15" spans="1:29">
      <c r="A18" s="1176"/>
      <c r="B18" s="1224"/>
      <c r="C18" s="1513"/>
      <c r="D18" s="1199"/>
      <c r="E18" s="1514"/>
      <c r="F18" s="1199"/>
      <c r="G18" s="1514"/>
      <c r="H18" s="1197"/>
      <c r="I18" s="1522"/>
      <c r="J18" s="1197"/>
      <c r="K18" s="1313"/>
      <c r="L18" s="1320"/>
      <c r="M18" s="1304"/>
      <c r="N18" s="1304"/>
      <c r="O18" s="1319"/>
      <c r="P18" s="1323"/>
      <c r="Q18" s="699"/>
      <c r="R18" s="1370"/>
      <c r="S18" s="1371"/>
      <c r="T18" s="1370"/>
      <c r="U18" s="1371"/>
      <c r="V18" s="1370"/>
      <c r="W18" s="1371"/>
      <c r="X18" s="1357"/>
      <c r="Y18" s="1323"/>
      <c r="Z18" s="1344"/>
      <c r="AA18" s="1386">
        <v>1</v>
      </c>
      <c r="AB18" s="1386">
        <v>1</v>
      </c>
      <c r="AC18" s="1386">
        <v>1</v>
      </c>
    </row>
    <row r="19" ht="68.25" spans="1:29">
      <c r="A19" s="1176"/>
      <c r="B19" s="1512" t="s">
        <v>1575</v>
      </c>
      <c r="C19" s="696" t="str">
        <f>估价对象房地状况!C17</f>
        <v>估价对象位于XX商圈，周边办公楼项目较多，入驻率高，办公集聚程度较好</v>
      </c>
      <c r="D19" s="1203">
        <v>100</v>
      </c>
      <c r="E19" s="1515"/>
      <c r="F19" s="1203">
        <f>SUMIF(91:91,E20,92:92)-SUMIF(91:91,C20,92:92)+100</f>
        <v>100</v>
      </c>
      <c r="G19" s="1515"/>
      <c r="H19" s="1199">
        <f>SUMIF(91:91,G20,92:92)-SUMIF(91:91,C20,92:92)+100</f>
        <v>100</v>
      </c>
      <c r="I19" s="1523"/>
      <c r="J19" s="1199">
        <f>SUMIF(91:91,I20,92:92)-SUMIF(91:91,C20,92:92)+100</f>
        <v>100</v>
      </c>
      <c r="K19" s="1317"/>
      <c r="L19" s="1320"/>
      <c r="M19" s="1304"/>
      <c r="N19" s="1304"/>
      <c r="O19" s="1319"/>
      <c r="P19" s="1323"/>
      <c r="Q19" s="699" t="str">
        <f>B19</f>
        <v>办公集聚程度</v>
      </c>
      <c r="R19" s="1370" t="s">
        <v>1490</v>
      </c>
      <c r="S19" s="1371">
        <f>F19</f>
        <v>100</v>
      </c>
      <c r="T19" s="1370" t="s">
        <v>1490</v>
      </c>
      <c r="U19" s="1371">
        <f>H19</f>
        <v>100</v>
      </c>
      <c r="V19" s="1370" t="s">
        <v>1490</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699"/>
      <c r="R20" s="1370"/>
      <c r="S20" s="1371"/>
      <c r="T20" s="1370"/>
      <c r="U20" s="1371"/>
      <c r="V20" s="1370"/>
      <c r="W20" s="1371"/>
      <c r="X20" s="1357"/>
      <c r="Y20" s="1323"/>
      <c r="Z20" s="1344"/>
      <c r="AA20" s="1386">
        <v>1</v>
      </c>
      <c r="AB20" s="1386">
        <v>1</v>
      </c>
      <c r="AC20" s="1386">
        <v>1</v>
      </c>
    </row>
    <row r="21" ht="81" spans="1:29">
      <c r="A21" s="1176"/>
      <c r="B21" s="1512" t="s">
        <v>1502</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699" t="str">
        <f>B21</f>
        <v>交通便捷度</v>
      </c>
      <c r="R21" s="1370" t="s">
        <v>1490</v>
      </c>
      <c r="S21" s="1371">
        <f>F21</f>
        <v>100</v>
      </c>
      <c r="T21" s="1370" t="s">
        <v>1490</v>
      </c>
      <c r="U21" s="1371">
        <f>H21</f>
        <v>100</v>
      </c>
      <c r="V21" s="1370" t="s">
        <v>1490</v>
      </c>
      <c r="W21" s="1371">
        <f>J21</f>
        <v>100</v>
      </c>
      <c r="X21" s="1357"/>
      <c r="Y21" s="1323"/>
      <c r="Z21" s="1344" t="str">
        <f>Q21</f>
        <v>交通便捷度</v>
      </c>
      <c r="AA21" s="1386">
        <f t="shared" si="3"/>
        <v>1</v>
      </c>
      <c r="AB21" s="1386">
        <f t="shared" si="4"/>
        <v>1</v>
      </c>
      <c r="AC21" s="1386">
        <f t="shared" si="5"/>
        <v>1</v>
      </c>
    </row>
    <row r="22" ht="15" spans="1:29">
      <c r="A22" s="1176"/>
      <c r="B22" s="1516"/>
      <c r="C22" s="1196"/>
      <c r="D22" s="1199"/>
      <c r="E22" s="1205"/>
      <c r="F22" s="1197"/>
      <c r="G22" s="1205"/>
      <c r="H22" s="1197"/>
      <c r="I22" s="1325"/>
      <c r="J22" s="1197"/>
      <c r="K22" s="1313"/>
      <c r="L22" s="1320"/>
      <c r="M22" s="1304"/>
      <c r="N22" s="1304"/>
      <c r="O22" s="1319"/>
      <c r="P22" s="1323"/>
      <c r="Q22" s="699"/>
      <c r="R22" s="1370"/>
      <c r="S22" s="1371"/>
      <c r="T22" s="1370"/>
      <c r="U22" s="1371"/>
      <c r="V22" s="1370"/>
      <c r="W22" s="1371"/>
      <c r="X22" s="1357"/>
      <c r="Y22" s="1323"/>
      <c r="Z22" s="1344"/>
      <c r="AA22" s="1386">
        <v>1</v>
      </c>
      <c r="AB22" s="1386">
        <v>1</v>
      </c>
      <c r="AC22" s="1386">
        <v>1</v>
      </c>
    </row>
    <row r="23" ht="15" spans="1:29">
      <c r="A23" s="1148"/>
      <c r="B23" s="1512" t="s">
        <v>1606</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699" t="str">
        <f t="shared" ref="Q23:Q38" si="8">B23</f>
        <v>区域土地利用方向</v>
      </c>
      <c r="R23" s="1370" t="s">
        <v>1490</v>
      </c>
      <c r="S23" s="1371">
        <f>F23</f>
        <v>100</v>
      </c>
      <c r="T23" s="1370" t="s">
        <v>1490</v>
      </c>
      <c r="U23" s="1371">
        <f>H23</f>
        <v>100</v>
      </c>
      <c r="V23" s="1370" t="s">
        <v>1490</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699"/>
      <c r="R24" s="1370"/>
      <c r="S24" s="1371"/>
      <c r="T24" s="1370"/>
      <c r="U24" s="1371"/>
      <c r="V24" s="1370"/>
      <c r="W24" s="1371"/>
      <c r="X24" s="1357"/>
      <c r="Y24" s="1323"/>
      <c r="Z24" s="1344"/>
      <c r="AA24" s="1386"/>
      <c r="AB24" s="1386"/>
      <c r="AC24" s="1386"/>
    </row>
    <row r="25" ht="54" spans="1:29">
      <c r="A25" s="1148"/>
      <c r="B25" s="1516" t="s">
        <v>1607</v>
      </c>
      <c r="C25" s="696"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699" t="str">
        <f t="shared" si="8"/>
        <v>自然及人文环境状况</v>
      </c>
      <c r="R25" s="1370" t="s">
        <v>1490</v>
      </c>
      <c r="S25" s="1371">
        <f>F25</f>
        <v>100</v>
      </c>
      <c r="T25" s="1370" t="s">
        <v>1490</v>
      </c>
      <c r="U25" s="1371">
        <f>H25</f>
        <v>100</v>
      </c>
      <c r="V25" s="1370" t="s">
        <v>1490</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699"/>
      <c r="R26" s="1370"/>
      <c r="S26" s="1371"/>
      <c r="T26" s="1370"/>
      <c r="U26" s="1371"/>
      <c r="V26" s="1370"/>
      <c r="W26" s="1371"/>
      <c r="X26" s="1357"/>
      <c r="Y26" s="1323"/>
      <c r="Z26" s="1344"/>
      <c r="AA26" s="1386">
        <v>1</v>
      </c>
      <c r="AB26" s="1386">
        <v>1</v>
      </c>
      <c r="AC26" s="1386">
        <v>1</v>
      </c>
    </row>
    <row r="27" s="1123" customFormat="1" ht="40.5" spans="1:29">
      <c r="A27" s="1206"/>
      <c r="B27" s="1516" t="s">
        <v>1503</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1490</v>
      </c>
      <c r="S27" s="1366">
        <f>F27</f>
        <v>100</v>
      </c>
      <c r="T27" s="1365" t="s">
        <v>1490</v>
      </c>
      <c r="U27" s="1366">
        <f>H27</f>
        <v>100</v>
      </c>
      <c r="V27" s="1365" t="s">
        <v>1490</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6" t="s">
        <v>1504</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1490</v>
      </c>
      <c r="S29" s="1366">
        <f>F29</f>
        <v>100</v>
      </c>
      <c r="T29" s="1365" t="s">
        <v>1490</v>
      </c>
      <c r="U29" s="1366">
        <f>H29</f>
        <v>100</v>
      </c>
      <c r="V29" s="1365" t="s">
        <v>1490</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1564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699" t="str">
        <f t="shared" si="8"/>
        <v>临街状况</v>
      </c>
      <c r="R31" s="1370" t="s">
        <v>1490</v>
      </c>
      <c r="S31" s="1371">
        <f t="shared" ref="S31:S45" si="10">F31</f>
        <v>100</v>
      </c>
      <c r="T31" s="1370" t="s">
        <v>1490</v>
      </c>
      <c r="U31" s="1371">
        <f t="shared" ref="U31:U45" si="11">H31</f>
        <v>100</v>
      </c>
      <c r="V31" s="1370" t="s">
        <v>1490</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6" t="s">
        <v>1577</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699" t="str">
        <f t="shared" si="8"/>
        <v>毗邻道路的类型与等级</v>
      </c>
      <c r="R32" s="1370" t="s">
        <v>1490</v>
      </c>
      <c r="S32" s="1371">
        <f t="shared" si="10"/>
        <v>100</v>
      </c>
      <c r="T32" s="1370" t="s">
        <v>1490</v>
      </c>
      <c r="U32" s="1371">
        <f t="shared" si="11"/>
        <v>100</v>
      </c>
      <c r="V32" s="1370" t="s">
        <v>1490</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699"/>
      <c r="R33" s="1370"/>
      <c r="S33" s="1371"/>
      <c r="T33" s="1370"/>
      <c r="U33" s="1371"/>
      <c r="V33" s="1370"/>
      <c r="W33" s="1371"/>
      <c r="X33" s="1357"/>
      <c r="Y33" s="1323"/>
      <c r="Z33" s="1344"/>
      <c r="AA33" s="1386">
        <v>1</v>
      </c>
      <c r="AB33" s="1386">
        <v>1</v>
      </c>
      <c r="AC33" s="1386">
        <v>1</v>
      </c>
    </row>
    <row r="34" ht="15" spans="1:29">
      <c r="A34" s="1176"/>
      <c r="B34" s="1173" t="s">
        <v>1608</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699" t="str">
        <f t="shared" si="8"/>
        <v>土地级别</v>
      </c>
      <c r="R34" s="1370" t="s">
        <v>1490</v>
      </c>
      <c r="S34" s="1371">
        <f t="shared" si="10"/>
        <v>100</v>
      </c>
      <c r="T34" s="1370" t="s">
        <v>1490</v>
      </c>
      <c r="U34" s="1371">
        <f t="shared" si="11"/>
        <v>100</v>
      </c>
      <c r="V34" s="1370" t="s">
        <v>1490</v>
      </c>
      <c r="W34" s="1371">
        <f t="shared" si="12"/>
        <v>100</v>
      </c>
      <c r="X34" s="1357"/>
      <c r="Y34" s="1323"/>
      <c r="Z34" s="1344" t="str">
        <f t="shared" si="13"/>
        <v>土地级别</v>
      </c>
      <c r="AA34" s="1386">
        <f t="shared" si="3"/>
        <v>1</v>
      </c>
      <c r="AB34" s="1386">
        <f t="shared" si="4"/>
        <v>1</v>
      </c>
      <c r="AC34" s="1386">
        <f t="shared" si="5"/>
        <v>1</v>
      </c>
    </row>
    <row r="35" ht="15" spans="1:29">
      <c r="A35" s="1148"/>
      <c r="B35" s="1517">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699">
        <f t="shared" si="8"/>
        <v>111</v>
      </c>
      <c r="R35" s="1370" t="s">
        <v>1490</v>
      </c>
      <c r="S35" s="1371">
        <f t="shared" si="10"/>
        <v>100</v>
      </c>
      <c r="T35" s="1370" t="s">
        <v>1490</v>
      </c>
      <c r="U35" s="1371">
        <f t="shared" si="11"/>
        <v>100</v>
      </c>
      <c r="V35" s="1370" t="s">
        <v>1490</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1510</v>
      </c>
      <c r="Q36" s="699">
        <f t="shared" si="8"/>
        <v>111</v>
      </c>
      <c r="R36" s="1370" t="s">
        <v>1490</v>
      </c>
      <c r="S36" s="1371">
        <f t="shared" si="10"/>
        <v>100</v>
      </c>
      <c r="T36" s="1370" t="s">
        <v>1490</v>
      </c>
      <c r="U36" s="1371">
        <f t="shared" si="11"/>
        <v>100</v>
      </c>
      <c r="V36" s="1370" t="s">
        <v>1490</v>
      </c>
      <c r="W36" s="1371">
        <f t="shared" si="12"/>
        <v>100</v>
      </c>
      <c r="X36" s="1357"/>
      <c r="Y36" s="1332" t="s">
        <v>1510</v>
      </c>
      <c r="Z36" s="1344">
        <f t="shared" si="13"/>
        <v>111</v>
      </c>
      <c r="AA36" s="1386">
        <f t="shared" si="3"/>
        <v>1</v>
      </c>
      <c r="AB36" s="1386">
        <f t="shared" si="4"/>
        <v>1</v>
      </c>
      <c r="AC36" s="1386">
        <f t="shared" si="5"/>
        <v>1</v>
      </c>
    </row>
    <row r="37" s="1125" customFormat="1" ht="15.75" spans="1:29">
      <c r="A37" s="1219"/>
      <c r="B37" s="1518">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699">
        <f t="shared" si="8"/>
        <v>111</v>
      </c>
      <c r="R37" s="1372" t="s">
        <v>1490</v>
      </c>
      <c r="S37" s="1373">
        <f t="shared" si="10"/>
        <v>100</v>
      </c>
      <c r="T37" s="1372" t="s">
        <v>1490</v>
      </c>
      <c r="U37" s="1373">
        <f t="shared" si="11"/>
        <v>100</v>
      </c>
      <c r="V37" s="1372" t="s">
        <v>1490</v>
      </c>
      <c r="W37" s="1373">
        <f t="shared" si="12"/>
        <v>100</v>
      </c>
      <c r="X37" s="1374"/>
      <c r="Y37" s="1332"/>
      <c r="Z37" s="1387">
        <f t="shared" si="13"/>
        <v>111</v>
      </c>
      <c r="AA37" s="1386">
        <f t="shared" si="3"/>
        <v>1</v>
      </c>
      <c r="AB37" s="1386">
        <f t="shared" si="4"/>
        <v>1</v>
      </c>
      <c r="AC37" s="1386">
        <f t="shared" si="5"/>
        <v>1</v>
      </c>
    </row>
    <row r="38" ht="15" spans="1:29">
      <c r="A38" s="1227" t="s">
        <v>1508</v>
      </c>
      <c r="B38" s="1224" t="s">
        <v>1609</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699" t="str">
        <f t="shared" si="8"/>
        <v>宗地面积</v>
      </c>
      <c r="R38" s="1370" t="s">
        <v>1490</v>
      </c>
      <c r="S38" s="1371" t="e">
        <f t="shared" si="10"/>
        <v>#N/A</v>
      </c>
      <c r="T38" s="1370" t="s">
        <v>1490</v>
      </c>
      <c r="U38" s="1371" t="e">
        <f t="shared" si="11"/>
        <v>#N/A</v>
      </c>
      <c r="V38" s="1370" t="s">
        <v>1490</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1610</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699" t="str">
        <f t="shared" ref="Q39:Q45" si="14">B39</f>
        <v>宗地形状</v>
      </c>
      <c r="R39" s="1370" t="s">
        <v>1490</v>
      </c>
      <c r="S39" s="1371">
        <f t="shared" si="10"/>
        <v>100</v>
      </c>
      <c r="T39" s="1370" t="s">
        <v>1490</v>
      </c>
      <c r="U39" s="1371">
        <f t="shared" si="11"/>
        <v>100</v>
      </c>
      <c r="V39" s="1370" t="s">
        <v>1490</v>
      </c>
      <c r="W39" s="1371">
        <f t="shared" si="12"/>
        <v>100</v>
      </c>
      <c r="X39" s="1357"/>
      <c r="Y39" s="1332"/>
      <c r="Z39" s="1344" t="str">
        <f t="shared" si="13"/>
        <v>宗地形状</v>
      </c>
      <c r="AA39" s="1386">
        <f t="shared" si="3"/>
        <v>1</v>
      </c>
      <c r="AB39" s="1386">
        <f t="shared" si="4"/>
        <v>1</v>
      </c>
      <c r="AC39" s="1386">
        <f t="shared" si="5"/>
        <v>1</v>
      </c>
    </row>
    <row r="40" ht="15" spans="1:29">
      <c r="A40" s="1227"/>
      <c r="B40" s="1173" t="s">
        <v>1611</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699" t="str">
        <f t="shared" si="14"/>
        <v>临街宽度及深度</v>
      </c>
      <c r="R40" s="1370" t="s">
        <v>1490</v>
      </c>
      <c r="S40" s="1371">
        <f t="shared" si="10"/>
        <v>100</v>
      </c>
      <c r="T40" s="1370" t="s">
        <v>1490</v>
      </c>
      <c r="U40" s="1371">
        <f t="shared" si="11"/>
        <v>100</v>
      </c>
      <c r="V40" s="1370" t="s">
        <v>1490</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1612</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699" t="str">
        <f t="shared" si="14"/>
        <v>宗地开发程度</v>
      </c>
      <c r="R41" s="1365" t="s">
        <v>1490</v>
      </c>
      <c r="S41" s="1366">
        <f t="shared" si="10"/>
        <v>100</v>
      </c>
      <c r="T41" s="1365" t="s">
        <v>1490</v>
      </c>
      <c r="U41" s="1366">
        <f t="shared" si="11"/>
        <v>100</v>
      </c>
      <c r="V41" s="1365" t="s">
        <v>1490</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1613</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1510</v>
      </c>
      <c r="Q42" s="699" t="str">
        <f t="shared" si="14"/>
        <v>工程地质条件</v>
      </c>
      <c r="R42" s="1370" t="s">
        <v>1490</v>
      </c>
      <c r="S42" s="1371">
        <f t="shared" si="10"/>
        <v>100</v>
      </c>
      <c r="T42" s="1370" t="s">
        <v>1490</v>
      </c>
      <c r="U42" s="1371">
        <f t="shared" si="11"/>
        <v>100</v>
      </c>
      <c r="V42" s="1370" t="s">
        <v>1490</v>
      </c>
      <c r="W42" s="1371">
        <f t="shared" si="12"/>
        <v>100</v>
      </c>
      <c r="X42" s="1357"/>
      <c r="Y42" s="1332" t="s">
        <v>1510</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699">
        <f t="shared" si="14"/>
        <v>111</v>
      </c>
      <c r="R43" s="1370" t="s">
        <v>1490</v>
      </c>
      <c r="S43" s="1371">
        <f t="shared" si="10"/>
        <v>100</v>
      </c>
      <c r="T43" s="1370" t="s">
        <v>1490</v>
      </c>
      <c r="U43" s="1371">
        <f t="shared" si="11"/>
        <v>100</v>
      </c>
      <c r="V43" s="1370" t="s">
        <v>1490</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699">
        <f t="shared" si="14"/>
        <v>111</v>
      </c>
      <c r="R44" s="1370" t="s">
        <v>1490</v>
      </c>
      <c r="S44" s="1371">
        <f t="shared" si="10"/>
        <v>100</v>
      </c>
      <c r="T44" s="1370" t="s">
        <v>1490</v>
      </c>
      <c r="U44" s="1371">
        <f t="shared" si="11"/>
        <v>100</v>
      </c>
      <c r="V44" s="1370" t="s">
        <v>1490</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19">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699">
        <f t="shared" si="14"/>
        <v>111</v>
      </c>
      <c r="R45" s="1372" t="s">
        <v>1490</v>
      </c>
      <c r="S45" s="1373">
        <f t="shared" si="10"/>
        <v>100</v>
      </c>
      <c r="T45" s="1372" t="s">
        <v>1490</v>
      </c>
      <c r="U45" s="1373">
        <f t="shared" si="11"/>
        <v>100</v>
      </c>
      <c r="V45" s="1372" t="s">
        <v>1490</v>
      </c>
      <c r="W45" s="1373">
        <f t="shared" si="12"/>
        <v>100</v>
      </c>
      <c r="X45" s="1374"/>
      <c r="Y45" s="1332"/>
      <c r="Z45" s="1387">
        <f t="shared" si="13"/>
        <v>111</v>
      </c>
      <c r="AA45" s="1386">
        <f t="shared" si="3"/>
        <v>1</v>
      </c>
      <c r="AB45" s="1386">
        <f t="shared" si="4"/>
        <v>1</v>
      </c>
      <c r="AC45" s="1386">
        <f t="shared" si="5"/>
        <v>1</v>
      </c>
    </row>
    <row r="46" ht="15" spans="1:29">
      <c r="A46" s="1234" t="s">
        <v>1595</v>
      </c>
      <c r="B46" s="1235" t="s">
        <v>1614</v>
      </c>
      <c r="C46" s="1236" t="s">
        <v>124</v>
      </c>
      <c r="D46" s="1237"/>
      <c r="E46" s="1238"/>
      <c r="F46" s="1239"/>
      <c r="G46" s="1240"/>
      <c r="H46" s="1241"/>
      <c r="I46" s="1238"/>
      <c r="J46" s="1241"/>
      <c r="K46" s="1335"/>
      <c r="L46" s="1336"/>
      <c r="M46" s="1251"/>
      <c r="N46" s="1304"/>
      <c r="O46" s="1251"/>
      <c r="P46" s="699" t="str">
        <f>A46</f>
        <v>成交单价</v>
      </c>
      <c r="Q46" s="699"/>
      <c r="R46" s="1344">
        <f>E46</f>
        <v>0</v>
      </c>
      <c r="S46" s="1344"/>
      <c r="T46" s="1344">
        <f>G46</f>
        <v>0</v>
      </c>
      <c r="U46" s="1344"/>
      <c r="V46" s="1344">
        <f>I46</f>
        <v>0</v>
      </c>
      <c r="W46" s="1344"/>
      <c r="X46" s="1292"/>
      <c r="Y46" s="1388"/>
      <c r="Z46" s="1292"/>
      <c r="AA46" s="1292"/>
      <c r="AB46" s="1292"/>
      <c r="AC46" s="1292"/>
    </row>
    <row r="47" ht="15.75" spans="1:29">
      <c r="A47" s="1242" t="s">
        <v>1522</v>
      </c>
      <c r="B47" s="1243"/>
      <c r="C47" s="1244" t="e">
        <f>R48</f>
        <v>#DIV/0!</v>
      </c>
      <c r="D47" s="1245" t="s">
        <v>1523</v>
      </c>
      <c r="E47" s="1244" t="e">
        <f>R47</f>
        <v>#DIV/0!</v>
      </c>
      <c r="F47" s="1246"/>
      <c r="G47" s="1247" t="e">
        <f>T47</f>
        <v>#DIV/0!</v>
      </c>
      <c r="H47" s="1246"/>
      <c r="I47" s="1244" t="e">
        <f>V47</f>
        <v>#DIV/0!</v>
      </c>
      <c r="J47" s="1246"/>
      <c r="K47" s="1337">
        <f>F47+H47+J47</f>
        <v>0</v>
      </c>
      <c r="L47" s="1336"/>
      <c r="M47" s="1251"/>
      <c r="N47" s="1251"/>
      <c r="O47" s="1251"/>
      <c r="P47" s="699" t="str">
        <f>A47</f>
        <v>比较价值（元/平方米）</v>
      </c>
      <c r="Q47" s="699"/>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1615</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1525</v>
      </c>
      <c r="D51" s="743"/>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1526</v>
      </c>
      <c r="D52" s="742"/>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1527</v>
      </c>
      <c r="D53" s="742"/>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1616</v>
      </c>
      <c r="B55" s="1261" t="s">
        <v>1617</v>
      </c>
      <c r="C55" s="1262" t="s">
        <v>1618</v>
      </c>
      <c r="D55" s="1263" t="s">
        <v>1619</v>
      </c>
      <c r="E55" s="1264" t="s">
        <v>1620</v>
      </c>
      <c r="F55" s="1520" t="s">
        <v>1621</v>
      </c>
      <c r="G55" s="1144" t="s">
        <v>1622</v>
      </c>
      <c r="H55" s="694"/>
      <c r="I55" s="1524" t="s">
        <v>1623</v>
      </c>
      <c r="J55" s="1525">
        <f>项目基本情况!F35</f>
        <v>0</v>
      </c>
      <c r="K55" s="1345" t="s">
        <v>1624</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1625</v>
      </c>
      <c r="B56" s="1267" t="e">
        <f>C48</f>
        <v>#DIV/0!</v>
      </c>
      <c r="C56" s="1268">
        <v>1</v>
      </c>
      <c r="D56" s="1269">
        <v>1</v>
      </c>
      <c r="E56" s="1268">
        <f>'数据-汇总表'!E8+'数据-汇总表'!E9</f>
        <v>22008.76</v>
      </c>
      <c r="F56" s="1521" t="e">
        <f t="shared" ref="F56:F64" si="15">ROUND(B56*E56/10000,0)</f>
        <v>#DIV/0!</v>
      </c>
      <c r="G56" s="1271"/>
      <c r="H56" s="699"/>
      <c r="I56" s="1526">
        <v>1</v>
      </c>
      <c r="J56" s="1527">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1626</v>
      </c>
      <c r="B57" s="410" t="e">
        <f>ROUND($C$48*C57*D57,0)</f>
        <v>#DIV/0!</v>
      </c>
      <c r="C57" s="613">
        <f t="shared" ref="C57:C64" si="16">IF($C$55="北京市系数",I57,J57)</f>
        <v>0</v>
      </c>
      <c r="D57" s="1273">
        <v>0.25</v>
      </c>
      <c r="E57" s="1274"/>
      <c r="F57" s="1521" t="e">
        <f t="shared" si="15"/>
        <v>#DIV/0!</v>
      </c>
      <c r="G57" s="1275" t="s">
        <v>1627</v>
      </c>
      <c r="H57" s="1276">
        <f>项目基本情况!B37</f>
        <v>0</v>
      </c>
      <c r="I57" s="1526">
        <f>SUMIF(修正!A57:A68,H57,修正!B57:B68)</f>
        <v>0</v>
      </c>
      <c r="J57" s="1528"/>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1628</v>
      </c>
      <c r="B58" s="410" t="e">
        <f t="shared" ref="B58:B64" si="17">ROUND($C$48*C58*D58,0)</f>
        <v>#DIV/0!</v>
      </c>
      <c r="C58" s="613">
        <f t="shared" si="16"/>
        <v>0</v>
      </c>
      <c r="D58" s="1273">
        <v>0.25</v>
      </c>
      <c r="E58" s="1274"/>
      <c r="F58" s="1521" t="e">
        <f t="shared" si="15"/>
        <v>#DIV/0!</v>
      </c>
      <c r="G58" s="1277"/>
      <c r="H58" s="1276">
        <f>项目基本情况!B37</f>
        <v>0</v>
      </c>
      <c r="I58" s="1526">
        <f>SUMIF(修正!A57:A68,H58,修正!C57:C68)</f>
        <v>0</v>
      </c>
      <c r="J58" s="1528"/>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1629</v>
      </c>
      <c r="B59" s="410" t="e">
        <f t="shared" si="17"/>
        <v>#DIV/0!</v>
      </c>
      <c r="C59" s="613">
        <f t="shared" si="16"/>
        <v>0</v>
      </c>
      <c r="D59" s="1273">
        <v>0.25</v>
      </c>
      <c r="E59" s="1274"/>
      <c r="F59" s="1521" t="e">
        <f t="shared" si="15"/>
        <v>#DIV/0!</v>
      </c>
      <c r="G59" s="1277"/>
      <c r="H59" s="1276">
        <f>项目基本情况!B37</f>
        <v>0</v>
      </c>
      <c r="I59" s="1526">
        <f>SUMIF(修正!A57:A68,H59,修正!D57:D68)</f>
        <v>0</v>
      </c>
      <c r="J59" s="1528"/>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1630</v>
      </c>
      <c r="B60" s="410" t="e">
        <f t="shared" si="17"/>
        <v>#DIV/0!</v>
      </c>
      <c r="C60" s="613">
        <f t="shared" si="16"/>
        <v>0</v>
      </c>
      <c r="D60" s="1273">
        <v>0.25</v>
      </c>
      <c r="E60" s="409">
        <f>'数据-汇总表'!E11</f>
        <v>0</v>
      </c>
      <c r="F60" s="1521" t="e">
        <f t="shared" si="15"/>
        <v>#DIV/0!</v>
      </c>
      <c r="G60" s="1279" t="s">
        <v>1631</v>
      </c>
      <c r="H60" s="1276">
        <f>项目基本情况!C37</f>
        <v>0</v>
      </c>
      <c r="I60" s="1526">
        <f>SUMIF(修正!A57:A68,H60,修正!E57:E68)</f>
        <v>0</v>
      </c>
      <c r="J60" s="1528"/>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1632</v>
      </c>
      <c r="B61" s="410" t="e">
        <f t="shared" si="17"/>
        <v>#DIV/0!</v>
      </c>
      <c r="C61" s="613">
        <f t="shared" si="16"/>
        <v>0</v>
      </c>
      <c r="D61" s="1273">
        <v>0.25</v>
      </c>
      <c r="E61" s="409">
        <f>'数据-汇总表'!E12</f>
        <v>0</v>
      </c>
      <c r="F61" s="1521" t="e">
        <f t="shared" si="15"/>
        <v>#DIV/0!</v>
      </c>
      <c r="G61" s="1280" t="s">
        <v>1633</v>
      </c>
      <c r="H61" s="1276">
        <f>IF(G61="商业",项目基本情况!B37,IF(G61="办公",项目基本情况!C37,IF(G61="住宅",项目基本情况!D37,项目基本情况!E37)))</f>
        <v>0</v>
      </c>
      <c r="I61" s="1526">
        <f>SUMIF(修正!A57:A68,H61,修正!F57:F68)</f>
        <v>0</v>
      </c>
      <c r="J61" s="1528"/>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1634</v>
      </c>
      <c r="B62" s="410" t="e">
        <f t="shared" si="17"/>
        <v>#DIV/0!</v>
      </c>
      <c r="C62" s="613">
        <f t="shared" si="16"/>
        <v>0</v>
      </c>
      <c r="D62" s="1273">
        <v>0.25</v>
      </c>
      <c r="E62" s="409">
        <f>'数据-汇总表'!E13</f>
        <v>0</v>
      </c>
      <c r="F62" s="1521" t="e">
        <f t="shared" si="15"/>
        <v>#DIV/0!</v>
      </c>
      <c r="G62" s="1280" t="s">
        <v>1635</v>
      </c>
      <c r="H62" s="1276">
        <f>IF(G62="商业",项目基本情况!B37,IF(G62="办公",项目基本情况!C37,IF(G62="住宅",项目基本情况!D37,项目基本情况!E37)))</f>
        <v>0</v>
      </c>
      <c r="I62" s="1526">
        <f>SUMIF(修正!A57:A68,H62,修正!G57:G68)</f>
        <v>0</v>
      </c>
      <c r="J62" s="1528"/>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1636</v>
      </c>
      <c r="B63" s="410" t="e">
        <f t="shared" si="17"/>
        <v>#DIV/0!</v>
      </c>
      <c r="C63" s="613">
        <f t="shared" si="16"/>
        <v>0</v>
      </c>
      <c r="D63" s="1273">
        <v>0.25</v>
      </c>
      <c r="E63" s="409">
        <f>'数据-汇总表'!E14</f>
        <v>0</v>
      </c>
      <c r="F63" s="1521" t="e">
        <f t="shared" si="15"/>
        <v>#DIV/0!</v>
      </c>
      <c r="G63" s="1279" t="s">
        <v>1627</v>
      </c>
      <c r="H63" s="1276">
        <f>项目基本情况!B37</f>
        <v>0</v>
      </c>
      <c r="I63" s="1526">
        <f>SUMIF(修正!A57:A68,H63,修正!G57:G68)</f>
        <v>0</v>
      </c>
      <c r="J63" s="1528"/>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1637</v>
      </c>
      <c r="B64" s="410" t="e">
        <f t="shared" si="17"/>
        <v>#DIV/0!</v>
      </c>
      <c r="C64" s="613">
        <f t="shared" si="16"/>
        <v>0</v>
      </c>
      <c r="D64" s="1273">
        <v>0.25</v>
      </c>
      <c r="E64" s="409">
        <f>'数据-汇总表'!E15</f>
        <v>0</v>
      </c>
      <c r="F64" s="1521" t="e">
        <f t="shared" si="15"/>
        <v>#DIV/0!</v>
      </c>
      <c r="G64" s="1281" t="s">
        <v>1631</v>
      </c>
      <c r="H64" s="1282">
        <f>项目基本情况!C37</f>
        <v>0</v>
      </c>
      <c r="I64" s="1529">
        <f>SUMIF(修正!A57:A68,H64,修正!G57:G68)</f>
        <v>0</v>
      </c>
      <c r="J64" s="1530"/>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1638</v>
      </c>
      <c r="B65" s="1284" t="s">
        <v>1639</v>
      </c>
      <c r="C65" s="1284" t="s">
        <v>1639</v>
      </c>
      <c r="D65" s="1284" t="s">
        <v>1639</v>
      </c>
      <c r="E65" s="1284">
        <f>IF(B46="楼面地价",SUM(E56:E64),'数据-汇总表'!D3)</f>
        <v>22008.76</v>
      </c>
      <c r="F65" s="1285" t="e">
        <f>IF(B46="楼面地价",SUM(F56:F64),ROUND(C48*E65/10000,0))</f>
        <v>#DIV/0!</v>
      </c>
      <c r="G65" s="1532"/>
      <c r="H65" s="1532"/>
      <c r="I65" s="1532"/>
      <c r="J65" s="1532"/>
      <c r="K65" s="1534"/>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2024-9-1</v>
      </c>
      <c r="D67" s="1290">
        <f>EDATE(C67,-3)</f>
        <v>45444</v>
      </c>
      <c r="E67" s="1290">
        <f>EDATE(D67,-3)</f>
        <v>45352</v>
      </c>
      <c r="F67" s="1290">
        <f t="shared" ref="F67:O67" si="18">EDATE(E67,-3)</f>
        <v>45261</v>
      </c>
      <c r="G67" s="1290">
        <f t="shared" si="18"/>
        <v>45170</v>
      </c>
      <c r="H67" s="1290">
        <f t="shared" si="18"/>
        <v>45078</v>
      </c>
      <c r="I67" s="1290">
        <f t="shared" si="18"/>
        <v>44986</v>
      </c>
      <c r="J67" s="1290">
        <f t="shared" si="18"/>
        <v>44896</v>
      </c>
      <c r="K67" s="1290">
        <f t="shared" si="18"/>
        <v>44805</v>
      </c>
      <c r="L67" s="1290">
        <f t="shared" si="18"/>
        <v>44713</v>
      </c>
      <c r="M67" s="1290">
        <f t="shared" si="18"/>
        <v>44621</v>
      </c>
      <c r="N67" s="1290">
        <f t="shared" si="18"/>
        <v>44531</v>
      </c>
      <c r="O67" s="1290">
        <f t="shared" si="18"/>
        <v>44440</v>
      </c>
      <c r="P67" s="1251"/>
      <c r="Q67" s="1251"/>
      <c r="R67" s="1251"/>
      <c r="S67" s="1251"/>
      <c r="T67" s="1251"/>
      <c r="U67" s="1251"/>
      <c r="V67" s="1251"/>
      <c r="W67" s="1251"/>
      <c r="X67" s="1251"/>
      <c r="Y67" s="1251"/>
      <c r="Z67" s="1251"/>
      <c r="AA67" s="1251"/>
      <c r="AB67" s="1251"/>
      <c r="AC67" s="1251"/>
    </row>
    <row r="68" ht="21" spans="1:29">
      <c r="A68" s="1291" t="s">
        <v>1528</v>
      </c>
      <c r="B68" s="1292"/>
      <c r="C68" s="1293"/>
      <c r="D68" s="1293"/>
      <c r="E68" s="1293"/>
      <c r="F68" s="1294"/>
      <c r="G68" s="1294"/>
      <c r="H68" s="1293"/>
      <c r="I68" s="1293"/>
      <c r="J68" s="1352"/>
      <c r="K68" s="1535"/>
      <c r="L68" s="1536"/>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1640</v>
      </c>
      <c r="B69" s="1390"/>
      <c r="C69" s="1391" t="str">
        <f>YEAR(C67)&amp;"-"&amp;ROUNDUP(MONTH(C67)/3,0)</f>
        <v>2024-3</v>
      </c>
      <c r="D69" s="1391" t="str">
        <f>YEAR(D67)&amp;"-"&amp;ROUNDUP(MONTH(D67)/3,0)</f>
        <v>2024-2</v>
      </c>
      <c r="E69" s="1391" t="str">
        <f t="shared" ref="E69:O69" si="19">YEAR(E67)&amp;"-"&amp;ROUNDUP(MONTH(E67)/3,0)</f>
        <v>2024-1</v>
      </c>
      <c r="F69" s="1391" t="str">
        <f t="shared" si="19"/>
        <v>2023-4</v>
      </c>
      <c r="G69" s="1391" t="str">
        <f t="shared" si="19"/>
        <v>2023-3</v>
      </c>
      <c r="H69" s="1391" t="str">
        <f t="shared" si="19"/>
        <v>2023-2</v>
      </c>
      <c r="I69" s="1391" t="str">
        <f t="shared" si="19"/>
        <v>2023-1</v>
      </c>
      <c r="J69" s="1391" t="str">
        <f t="shared" si="19"/>
        <v>2022-4</v>
      </c>
      <c r="K69" s="1391" t="str">
        <f t="shared" si="19"/>
        <v>2022-3</v>
      </c>
      <c r="L69" s="1391" t="str">
        <f t="shared" si="19"/>
        <v>2022-2</v>
      </c>
      <c r="M69" s="1391" t="str">
        <f t="shared" si="19"/>
        <v>2022-1</v>
      </c>
      <c r="N69" s="1391" t="str">
        <f t="shared" si="19"/>
        <v>2021-4</v>
      </c>
      <c r="O69" s="1391" t="str">
        <f t="shared" si="19"/>
        <v>2021-3</v>
      </c>
      <c r="P69" s="1443"/>
      <c r="Q69" s="1497"/>
      <c r="R69" s="1497"/>
      <c r="S69" s="1497"/>
      <c r="T69" s="1497"/>
      <c r="U69" s="1497"/>
      <c r="V69" s="1497"/>
      <c r="W69" s="1497"/>
      <c r="X69" s="1497"/>
      <c r="Y69" s="1497"/>
      <c r="Z69" s="1497"/>
      <c r="AA69" s="1497"/>
      <c r="AB69" s="1497"/>
      <c r="AC69" s="1497"/>
    </row>
    <row r="70" s="1123" customFormat="1" ht="30" customHeight="1" spans="1:29">
      <c r="A70" s="1533" t="s">
        <v>1641</v>
      </c>
      <c r="B70" s="1393" t="str">
        <f>"北京市平均增长率"&amp;TEXT(SUMIF(基准地价修正!N25:N29,A70,基准地价修正!P25:P29),"0.00%")</f>
        <v>北京市平均增长率0.00%</v>
      </c>
      <c r="C70" s="878">
        <v>100</v>
      </c>
      <c r="D70" s="1394"/>
      <c r="E70" s="1394"/>
      <c r="F70" s="1394"/>
      <c r="G70" s="1394"/>
      <c r="H70" s="1394"/>
      <c r="I70" s="1394"/>
      <c r="J70" s="1394"/>
      <c r="K70" s="1394"/>
      <c r="L70" s="1394"/>
      <c r="M70" s="1537"/>
      <c r="N70" s="1394"/>
      <c r="O70" s="1538"/>
      <c r="P70" s="1378"/>
      <c r="Q70" s="1498"/>
      <c r="R70" s="1498"/>
      <c r="S70" s="1498"/>
      <c r="T70" s="1498"/>
      <c r="U70" s="1498"/>
      <c r="V70" s="1498"/>
      <c r="W70" s="1498"/>
      <c r="X70" s="1498"/>
      <c r="Y70" s="1498"/>
      <c r="Z70" s="1498"/>
      <c r="AA70" s="1498"/>
      <c r="AB70" s="1498"/>
      <c r="AC70" s="1498"/>
    </row>
    <row r="71" s="1123" customFormat="1" ht="15.75" spans="1:29">
      <c r="A71" s="1395" t="s">
        <v>1529</v>
      </c>
      <c r="B71" s="1396"/>
      <c r="C71" s="1397"/>
      <c r="D71" s="1398"/>
      <c r="E71" s="1398"/>
      <c r="F71" s="1398"/>
      <c r="G71" s="1398"/>
      <c r="H71" s="1398"/>
      <c r="I71" s="1398"/>
      <c r="J71" s="1398"/>
      <c r="K71" s="1398"/>
      <c r="L71" s="1398"/>
      <c r="M71" s="1444"/>
      <c r="N71" s="1398"/>
      <c r="O71" s="1539"/>
      <c r="P71" s="1378"/>
      <c r="Q71" s="1378"/>
      <c r="R71" s="1498"/>
      <c r="S71" s="1498"/>
      <c r="T71" s="1498"/>
      <c r="U71" s="1498"/>
      <c r="V71" s="1498"/>
      <c r="W71" s="1498"/>
      <c r="X71" s="1498"/>
      <c r="Y71" s="1498"/>
      <c r="Z71" s="1498"/>
      <c r="AA71" s="1498"/>
      <c r="AB71" s="1498"/>
      <c r="AC71" s="1498"/>
    </row>
    <row r="72" s="1123" customFormat="1" ht="15" spans="1:29">
      <c r="A72" s="1399" t="s">
        <v>1491</v>
      </c>
      <c r="B72" s="1400"/>
      <c r="C72" s="1401" t="s">
        <v>1530</v>
      </c>
      <c r="D72" s="1402"/>
      <c r="E72" s="1402"/>
      <c r="F72" s="1402"/>
      <c r="G72" s="1402"/>
      <c r="H72" s="1402"/>
      <c r="I72" s="1402"/>
      <c r="J72" s="1402"/>
      <c r="K72" s="1402"/>
      <c r="L72" s="1446"/>
      <c r="M72" s="1447"/>
      <c r="N72" s="1448"/>
      <c r="O72" s="1448"/>
      <c r="P72" s="1449"/>
      <c r="Q72" s="1378"/>
      <c r="R72" s="1498"/>
      <c r="S72" s="1498"/>
      <c r="T72" s="1498"/>
      <c r="U72" s="1498"/>
      <c r="V72" s="1498"/>
      <c r="W72" s="1498"/>
      <c r="X72" s="1498"/>
      <c r="Y72" s="1498"/>
      <c r="Z72" s="1498"/>
      <c r="AA72" s="1498"/>
      <c r="AB72" s="1498"/>
      <c r="AC72" s="1498"/>
    </row>
    <row r="73" s="1123" customFormat="1" ht="15.75" spans="1:29">
      <c r="A73" s="1399"/>
      <c r="B73" s="1400"/>
      <c r="C73" s="1403">
        <v>100</v>
      </c>
      <c r="D73" s="1404"/>
      <c r="E73" s="1404"/>
      <c r="F73" s="1404"/>
      <c r="G73" s="1404"/>
      <c r="H73" s="1404"/>
      <c r="I73" s="1404"/>
      <c r="J73" s="1404"/>
      <c r="K73" s="1404"/>
      <c r="L73" s="1404"/>
      <c r="M73" s="1450"/>
      <c r="N73" s="1448"/>
      <c r="O73" s="1448"/>
      <c r="P73" s="1378"/>
      <c r="Q73" s="1378"/>
      <c r="R73" s="1498"/>
      <c r="S73" s="1498"/>
      <c r="T73" s="1498"/>
      <c r="U73" s="1498"/>
      <c r="V73" s="1498"/>
      <c r="W73" s="1498"/>
      <c r="X73" s="1498"/>
      <c r="Y73" s="1498"/>
      <c r="Z73" s="1498"/>
      <c r="AA73" s="1498"/>
      <c r="AB73" s="1498"/>
      <c r="AC73" s="1498"/>
    </row>
    <row r="74" spans="1:29">
      <c r="A74" s="1405" t="s">
        <v>1531</v>
      </c>
      <c r="B74" s="1406" t="s">
        <v>1494</v>
      </c>
      <c r="C74" s="1333"/>
      <c r="D74" s="1333"/>
      <c r="E74" s="1333"/>
      <c r="F74" s="1333"/>
      <c r="G74" s="1333"/>
      <c r="H74" s="1333"/>
      <c r="I74" s="1333"/>
      <c r="J74" s="1333"/>
      <c r="K74" s="1451"/>
      <c r="L74" s="1452"/>
      <c r="M74" s="1453"/>
      <c r="N74" s="1454"/>
      <c r="O74" s="1454"/>
      <c r="P74" s="1455"/>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6"/>
      <c r="N75" s="1457"/>
      <c r="O75" s="1457"/>
      <c r="P75" s="1455"/>
      <c r="Q75" s="1378"/>
      <c r="R75" s="1251"/>
      <c r="S75" s="1251"/>
      <c r="T75" s="1251"/>
      <c r="U75" s="1251"/>
      <c r="V75" s="1251"/>
      <c r="W75" s="1251"/>
      <c r="X75" s="1251"/>
      <c r="Y75" s="1251"/>
      <c r="Z75" s="1251"/>
      <c r="AA75" s="1251"/>
      <c r="AB75" s="1251"/>
      <c r="AC75" s="1251"/>
    </row>
    <row r="76" ht="27.75" spans="1:29">
      <c r="A76" s="1407"/>
      <c r="B76" s="1410" t="s">
        <v>1497</v>
      </c>
      <c r="C76" s="1411"/>
      <c r="D76" s="1411"/>
      <c r="E76" s="1411"/>
      <c r="F76" s="1411"/>
      <c r="G76" s="1411"/>
      <c r="H76" s="1411"/>
      <c r="I76" s="1411"/>
      <c r="J76" s="1411"/>
      <c r="K76" s="1458"/>
      <c r="L76" s="1459"/>
      <c r="M76" s="1460"/>
      <c r="N76" s="1454"/>
      <c r="O76" s="1454"/>
      <c r="P76" s="1455"/>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1"/>
      <c r="N77" s="1457"/>
      <c r="O77" s="1457"/>
      <c r="P77" s="1455"/>
      <c r="Q77" s="1378"/>
      <c r="R77" s="1251"/>
      <c r="S77" s="1251"/>
      <c r="T77" s="1251"/>
      <c r="U77" s="1251"/>
      <c r="V77" s="1251"/>
      <c r="W77" s="1251"/>
      <c r="X77" s="1251"/>
      <c r="Y77" s="1251"/>
      <c r="Z77" s="1251"/>
      <c r="AA77" s="1251"/>
      <c r="AB77" s="1251"/>
      <c r="AC77" s="1251"/>
    </row>
    <row r="78" ht="15.75" spans="1:29">
      <c r="A78" s="1407"/>
      <c r="B78" s="1414" t="s">
        <v>1498</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7"/>
      <c r="O78" s="1457"/>
      <c r="P78" s="1455"/>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2"/>
      <c r="L79" s="1463"/>
      <c r="M79" s="1464"/>
      <c r="N79" s="1454"/>
      <c r="O79" s="1454"/>
      <c r="P79" s="1455"/>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7"/>
      <c r="O80" s="1457"/>
      <c r="P80" s="1455"/>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5"/>
      <c r="M81" s="1466"/>
      <c r="N81" s="1467"/>
      <c r="O81" s="1467"/>
      <c r="P81" s="1468"/>
      <c r="Q81" s="1499"/>
      <c r="R81" s="1500"/>
      <c r="S81" s="1500"/>
      <c r="T81" s="1500"/>
      <c r="U81" s="1500"/>
      <c r="V81" s="1500"/>
      <c r="W81" s="1500"/>
      <c r="X81" s="1500"/>
      <c r="Y81" s="1500"/>
      <c r="Z81" s="1500"/>
      <c r="AA81" s="1500"/>
      <c r="AB81" s="1500"/>
      <c r="AC81" s="1500"/>
    </row>
    <row r="82" s="1125" customFormat="1" ht="15.75" spans="1:29">
      <c r="A82" s="1417"/>
      <c r="B82" s="1412"/>
      <c r="C82" s="1420"/>
      <c r="D82" s="1409"/>
      <c r="E82" s="1409"/>
      <c r="F82" s="1409"/>
      <c r="G82" s="1409"/>
      <c r="H82" s="1409"/>
      <c r="I82" s="1409"/>
      <c r="J82" s="1409"/>
      <c r="K82" s="1409"/>
      <c r="L82" s="1409"/>
      <c r="M82" s="1456"/>
      <c r="N82" s="1457"/>
      <c r="O82" s="1457"/>
      <c r="P82" s="1468"/>
      <c r="Q82" s="1499"/>
      <c r="R82" s="1500"/>
      <c r="S82" s="1500"/>
      <c r="T82" s="1500"/>
      <c r="U82" s="1500"/>
      <c r="V82" s="1500"/>
      <c r="W82" s="1500"/>
      <c r="X82" s="1500"/>
      <c r="Y82" s="1500"/>
      <c r="Z82" s="1500"/>
      <c r="AA82" s="1500"/>
      <c r="AB82" s="1500"/>
      <c r="AC82" s="1500"/>
    </row>
    <row r="83" s="1125" customFormat="1" ht="15.75" spans="1:29">
      <c r="A83" s="1417"/>
      <c r="B83" s="1410">
        <f>B13</f>
        <v>111</v>
      </c>
      <c r="C83" s="1418"/>
      <c r="D83" s="1418"/>
      <c r="E83" s="1418"/>
      <c r="F83" s="1418"/>
      <c r="G83" s="1418"/>
      <c r="H83" s="1419"/>
      <c r="I83" s="1419"/>
      <c r="J83" s="1419"/>
      <c r="K83" s="1419"/>
      <c r="L83" s="1465"/>
      <c r="M83" s="1466"/>
      <c r="N83" s="1467"/>
      <c r="O83" s="1467"/>
      <c r="P83" s="1330"/>
      <c r="Q83" s="1501"/>
      <c r="R83" s="1500"/>
      <c r="S83" s="1500"/>
      <c r="T83" s="1500"/>
      <c r="U83" s="1500"/>
      <c r="V83" s="1500"/>
      <c r="W83" s="1500"/>
      <c r="X83" s="1500"/>
      <c r="Y83" s="1500"/>
      <c r="Z83" s="1500"/>
      <c r="AA83" s="1500"/>
      <c r="AB83" s="1500"/>
      <c r="AC83" s="1500"/>
    </row>
    <row r="84" s="1125" customFormat="1" ht="15.75" spans="1:29">
      <c r="A84" s="1417"/>
      <c r="B84" s="1412"/>
      <c r="C84" s="1420"/>
      <c r="D84" s="1420"/>
      <c r="E84" s="1420"/>
      <c r="F84" s="1420"/>
      <c r="G84" s="1420"/>
      <c r="H84" s="1421"/>
      <c r="I84" s="1421"/>
      <c r="J84" s="1421"/>
      <c r="K84" s="1421"/>
      <c r="L84" s="1421"/>
      <c r="M84" s="1469"/>
      <c r="N84" s="1467"/>
      <c r="O84" s="1467"/>
      <c r="P84" s="1468"/>
      <c r="Q84" s="1499"/>
      <c r="R84" s="1500"/>
      <c r="S84" s="1500"/>
      <c r="T84" s="1500"/>
      <c r="U84" s="1500"/>
      <c r="V84" s="1500"/>
      <c r="W84" s="1500"/>
      <c r="X84" s="1500"/>
      <c r="Y84" s="1500"/>
      <c r="Z84" s="1500"/>
      <c r="AA84" s="1500"/>
      <c r="AB84" s="1500"/>
      <c r="AC84" s="1500"/>
    </row>
    <row r="85" s="1125" customFormat="1" ht="15.75" spans="1:29">
      <c r="A85" s="1417"/>
      <c r="B85" s="1414">
        <f>B14</f>
        <v>111</v>
      </c>
      <c r="C85" s="1402"/>
      <c r="D85" s="1402"/>
      <c r="E85" s="1402"/>
      <c r="F85" s="1402"/>
      <c r="G85" s="1402"/>
      <c r="H85" s="1422"/>
      <c r="I85" s="1422"/>
      <c r="J85" s="1422"/>
      <c r="K85" s="1422"/>
      <c r="L85" s="1470"/>
      <c r="M85" s="1471"/>
      <c r="N85" s="1467"/>
      <c r="O85" s="1467"/>
      <c r="P85" s="1472"/>
      <c r="Q85" s="1499"/>
      <c r="R85" s="1500"/>
      <c r="S85" s="1500"/>
      <c r="T85" s="1500"/>
      <c r="U85" s="1500"/>
      <c r="V85" s="1500"/>
      <c r="W85" s="1500"/>
      <c r="X85" s="1500"/>
      <c r="Y85" s="1500"/>
      <c r="Z85" s="1500"/>
      <c r="AA85" s="1500"/>
      <c r="AB85" s="1500"/>
      <c r="AC85" s="1500"/>
    </row>
    <row r="86" s="1125" customFormat="1" ht="15.75" spans="1:29">
      <c r="A86" s="1423"/>
      <c r="B86" s="1424"/>
      <c r="C86" s="1425"/>
      <c r="D86" s="1425"/>
      <c r="E86" s="1425"/>
      <c r="F86" s="1425"/>
      <c r="G86" s="1425"/>
      <c r="H86" s="1426"/>
      <c r="I86" s="1426"/>
      <c r="J86" s="1426"/>
      <c r="K86" s="1426"/>
      <c r="L86" s="1426"/>
      <c r="M86" s="1473"/>
      <c r="N86" s="1467"/>
      <c r="O86" s="1467"/>
      <c r="P86" s="1468"/>
      <c r="Q86" s="1499"/>
      <c r="R86" s="1500"/>
      <c r="S86" s="1500"/>
      <c r="T86" s="1500"/>
      <c r="U86" s="1500"/>
      <c r="V86" s="1500"/>
      <c r="W86" s="1500"/>
      <c r="X86" s="1500"/>
      <c r="Y86" s="1500"/>
      <c r="Z86" s="1500"/>
      <c r="AA86" s="1500"/>
      <c r="AB86" s="1500"/>
      <c r="AC86" s="1500"/>
    </row>
    <row r="87" spans="1:29">
      <c r="A87" s="1405" t="s">
        <v>1499</v>
      </c>
      <c r="B87" s="1406" t="s">
        <v>1500</v>
      </c>
      <c r="C87" s="1427" t="s">
        <v>1532</v>
      </c>
      <c r="D87" s="1427" t="s">
        <v>1533</v>
      </c>
      <c r="E87" s="1427" t="s">
        <v>1534</v>
      </c>
      <c r="F87" s="1427" t="s">
        <v>1535</v>
      </c>
      <c r="G87" s="1427" t="s">
        <v>1536</v>
      </c>
      <c r="H87" s="1428"/>
      <c r="I87" s="1428"/>
      <c r="J87" s="1428"/>
      <c r="K87" s="1474"/>
      <c r="L87" s="1475"/>
      <c r="M87" s="1476"/>
      <c r="N87" s="1454"/>
      <c r="O87" s="1454"/>
      <c r="P87" s="1477"/>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1"/>
      <c r="N88" s="1457"/>
      <c r="O88" s="1457"/>
      <c r="P88" s="1455"/>
      <c r="Q88" s="1378"/>
      <c r="R88" s="1251"/>
      <c r="S88" s="1251"/>
      <c r="T88" s="1251"/>
      <c r="U88" s="1251"/>
      <c r="V88" s="1251"/>
      <c r="W88" s="1251"/>
      <c r="X88" s="1251"/>
      <c r="Y88" s="1251"/>
      <c r="Z88" s="1251"/>
      <c r="AA88" s="1251"/>
      <c r="AB88" s="1251"/>
      <c r="AC88" s="1251"/>
    </row>
    <row r="89" ht="15.75" spans="1:29">
      <c r="A89" s="1407"/>
      <c r="B89" s="1410" t="s">
        <v>1563</v>
      </c>
      <c r="C89" s="1429" t="s">
        <v>1532</v>
      </c>
      <c r="D89" s="1429" t="s">
        <v>1533</v>
      </c>
      <c r="E89" s="1429" t="s">
        <v>1534</v>
      </c>
      <c r="F89" s="1429" t="s">
        <v>1535</v>
      </c>
      <c r="G89" s="1429" t="s">
        <v>1536</v>
      </c>
      <c r="H89" s="1411"/>
      <c r="I89" s="1411"/>
      <c r="J89" s="1411"/>
      <c r="K89" s="1458"/>
      <c r="L89" s="1459"/>
      <c r="M89" s="1460"/>
      <c r="N89" s="1454"/>
      <c r="O89" s="1454"/>
      <c r="P89" s="1455"/>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1"/>
      <c r="N90" s="1457"/>
      <c r="O90" s="1457"/>
      <c r="P90" s="1455"/>
      <c r="Q90" s="1378"/>
      <c r="R90" s="1251"/>
      <c r="S90" s="1251"/>
      <c r="T90" s="1251"/>
      <c r="U90" s="1251"/>
      <c r="V90" s="1251"/>
      <c r="W90" s="1251"/>
      <c r="X90" s="1251"/>
      <c r="Y90" s="1251"/>
      <c r="Z90" s="1251"/>
      <c r="AA90" s="1251"/>
      <c r="AB90" s="1251"/>
      <c r="AC90" s="1251"/>
    </row>
    <row r="91" ht="15.75" spans="1:29">
      <c r="A91" s="1407"/>
      <c r="B91" s="1410" t="s">
        <v>1575</v>
      </c>
      <c r="C91" s="1429" t="s">
        <v>1532</v>
      </c>
      <c r="D91" s="1429" t="s">
        <v>1533</v>
      </c>
      <c r="E91" s="1429" t="s">
        <v>1534</v>
      </c>
      <c r="F91" s="1429" t="s">
        <v>1535</v>
      </c>
      <c r="G91" s="1429" t="s">
        <v>1536</v>
      </c>
      <c r="H91" s="1411"/>
      <c r="I91" s="1411"/>
      <c r="J91" s="1411"/>
      <c r="K91" s="1458"/>
      <c r="L91" s="1459"/>
      <c r="M91" s="1460"/>
      <c r="N91" s="1454"/>
      <c r="O91" s="1454"/>
      <c r="P91" s="1455"/>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1"/>
      <c r="N92" s="1457"/>
      <c r="O92" s="1457"/>
      <c r="P92" s="1455"/>
      <c r="Q92" s="1378"/>
      <c r="R92" s="1251"/>
      <c r="S92" s="1251"/>
      <c r="T92" s="1251"/>
      <c r="U92" s="1251"/>
      <c r="V92" s="1251"/>
      <c r="W92" s="1251"/>
      <c r="X92" s="1251"/>
      <c r="Y92" s="1251"/>
      <c r="Z92" s="1251"/>
      <c r="AA92" s="1251"/>
      <c r="AB92" s="1251"/>
      <c r="AC92" s="1251"/>
    </row>
    <row r="93" ht="15.75" spans="1:29">
      <c r="A93" s="1407"/>
      <c r="B93" s="1410" t="s">
        <v>1502</v>
      </c>
      <c r="C93" s="1429" t="s">
        <v>1532</v>
      </c>
      <c r="D93" s="1429" t="s">
        <v>1533</v>
      </c>
      <c r="E93" s="1429" t="s">
        <v>1534</v>
      </c>
      <c r="F93" s="1429" t="s">
        <v>1535</v>
      </c>
      <c r="G93" s="1429" t="s">
        <v>1536</v>
      </c>
      <c r="H93" s="1411"/>
      <c r="I93" s="1411"/>
      <c r="J93" s="1411"/>
      <c r="K93" s="1458"/>
      <c r="L93" s="1459"/>
      <c r="M93" s="1460"/>
      <c r="N93" s="1454"/>
      <c r="O93" s="1454"/>
      <c r="P93" s="1455"/>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1"/>
      <c r="N94" s="1457"/>
      <c r="O94" s="1457"/>
      <c r="P94" s="1455"/>
      <c r="Q94" s="1378"/>
      <c r="R94" s="1251"/>
      <c r="S94" s="1251"/>
      <c r="T94" s="1251"/>
      <c r="U94" s="1251"/>
      <c r="V94" s="1251"/>
      <c r="W94" s="1251"/>
      <c r="X94" s="1251"/>
      <c r="Y94" s="1251"/>
      <c r="Z94" s="1251"/>
      <c r="AA94" s="1251"/>
      <c r="AB94" s="1251"/>
      <c r="AC94" s="1251"/>
    </row>
    <row r="95" s="1123" customFormat="1" ht="15.75" spans="1:29">
      <c r="A95" s="1430"/>
      <c r="B95" s="1410" t="s">
        <v>1606</v>
      </c>
      <c r="C95" s="1429" t="s">
        <v>1532</v>
      </c>
      <c r="D95" s="1429" t="s">
        <v>1533</v>
      </c>
      <c r="E95" s="1429" t="s">
        <v>1534</v>
      </c>
      <c r="F95" s="1429" t="s">
        <v>1535</v>
      </c>
      <c r="G95" s="1429" t="s">
        <v>1536</v>
      </c>
      <c r="H95" s="1429"/>
      <c r="I95" s="1429"/>
      <c r="J95" s="1429"/>
      <c r="K95" s="1429"/>
      <c r="L95" s="1478"/>
      <c r="M95" s="1479"/>
      <c r="N95" s="1448"/>
      <c r="O95" s="1448"/>
      <c r="P95" s="1455"/>
      <c r="Q95" s="1378"/>
      <c r="R95" s="1498"/>
      <c r="S95" s="1498"/>
      <c r="T95" s="1498"/>
      <c r="U95" s="1498"/>
      <c r="V95" s="1498"/>
      <c r="W95" s="1498"/>
      <c r="X95" s="1498"/>
      <c r="Y95" s="1498"/>
      <c r="Z95" s="1498"/>
      <c r="AA95" s="1498"/>
      <c r="AB95" s="1498"/>
      <c r="AC95" s="1498"/>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1"/>
      <c r="N96" s="1457"/>
      <c r="O96" s="1457"/>
      <c r="P96" s="1455"/>
      <c r="Q96" s="1378"/>
      <c r="R96" s="1498"/>
      <c r="S96" s="1498"/>
      <c r="T96" s="1498"/>
      <c r="U96" s="1498"/>
      <c r="V96" s="1498"/>
      <c r="W96" s="1498"/>
      <c r="X96" s="1498"/>
      <c r="Y96" s="1498"/>
      <c r="Z96" s="1498"/>
      <c r="AA96" s="1498"/>
      <c r="AB96" s="1498"/>
      <c r="AC96" s="1498"/>
    </row>
    <row r="97" s="1123" customFormat="1" ht="27.75" spans="1:29">
      <c r="A97" s="1430"/>
      <c r="B97" s="1410" t="s">
        <v>1607</v>
      </c>
      <c r="C97" s="1427" t="s">
        <v>1532</v>
      </c>
      <c r="D97" s="1427" t="s">
        <v>1533</v>
      </c>
      <c r="E97" s="1427" t="s">
        <v>1534</v>
      </c>
      <c r="F97" s="1427" t="s">
        <v>1535</v>
      </c>
      <c r="G97" s="1427" t="s">
        <v>1536</v>
      </c>
      <c r="H97" s="1429"/>
      <c r="I97" s="1429"/>
      <c r="J97" s="1429"/>
      <c r="K97" s="1429"/>
      <c r="L97" s="1429"/>
      <c r="M97" s="1479"/>
      <c r="N97" s="1448"/>
      <c r="O97" s="1448"/>
      <c r="P97" s="1455"/>
      <c r="Q97" s="1378"/>
      <c r="R97" s="1498"/>
      <c r="S97" s="1498"/>
      <c r="T97" s="1498"/>
      <c r="U97" s="1498"/>
      <c r="V97" s="1498"/>
      <c r="W97" s="1498"/>
      <c r="X97" s="1498"/>
      <c r="Y97" s="1498"/>
      <c r="Z97" s="1498"/>
      <c r="AA97" s="1498"/>
      <c r="AB97" s="1498"/>
      <c r="AC97" s="1498"/>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1"/>
      <c r="N98" s="1457"/>
      <c r="O98" s="1457"/>
      <c r="P98" s="1455"/>
      <c r="Q98" s="1378"/>
      <c r="R98" s="1498"/>
      <c r="S98" s="1498"/>
      <c r="T98" s="1498"/>
      <c r="U98" s="1498"/>
      <c r="V98" s="1498"/>
      <c r="W98" s="1498"/>
      <c r="X98" s="1498"/>
      <c r="Y98" s="1498"/>
      <c r="Z98" s="1498"/>
      <c r="AA98" s="1498"/>
      <c r="AB98" s="1498"/>
      <c r="AC98" s="1498"/>
    </row>
    <row r="99" s="1125" customFormat="1" ht="15.75" spans="1:29">
      <c r="A99" s="1417"/>
      <c r="B99" s="1410" t="s">
        <v>1503</v>
      </c>
      <c r="C99" s="1427" t="s">
        <v>1532</v>
      </c>
      <c r="D99" s="1427" t="s">
        <v>1533</v>
      </c>
      <c r="E99" s="1427" t="s">
        <v>1534</v>
      </c>
      <c r="F99" s="1427" t="s">
        <v>1535</v>
      </c>
      <c r="G99" s="1427" t="s">
        <v>1536</v>
      </c>
      <c r="H99" s="1432"/>
      <c r="I99" s="1432"/>
      <c r="J99" s="1432"/>
      <c r="K99" s="1432"/>
      <c r="L99" s="1480"/>
      <c r="M99" s="1481"/>
      <c r="N99" s="1467"/>
      <c r="O99" s="1467"/>
      <c r="P99" s="1468"/>
      <c r="Q99" s="1499"/>
      <c r="R99" s="1500"/>
      <c r="S99" s="1500"/>
      <c r="T99" s="1500"/>
      <c r="U99" s="1500"/>
      <c r="V99" s="1500"/>
      <c r="W99" s="1500"/>
      <c r="X99" s="1500"/>
      <c r="Y99" s="1500"/>
      <c r="Z99" s="1500"/>
      <c r="AA99" s="1500"/>
      <c r="AB99" s="1500"/>
      <c r="AC99" s="1500"/>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2"/>
      <c r="N100" s="1467"/>
      <c r="O100" s="1467"/>
      <c r="P100" s="1468"/>
      <c r="Q100" s="1499"/>
      <c r="R100" s="1500"/>
      <c r="S100" s="1500"/>
      <c r="T100" s="1500"/>
      <c r="U100" s="1500"/>
      <c r="V100" s="1500"/>
      <c r="W100" s="1500"/>
      <c r="X100" s="1500"/>
      <c r="Y100" s="1500"/>
      <c r="Z100" s="1500"/>
      <c r="AA100" s="1500"/>
      <c r="AB100" s="1500"/>
      <c r="AC100" s="1500"/>
    </row>
    <row r="101" s="1125" customFormat="1" ht="15.75" spans="1:29">
      <c r="A101" s="1417"/>
      <c r="B101" s="1414" t="s">
        <v>1504</v>
      </c>
      <c r="C101" s="1434" t="s">
        <v>1537</v>
      </c>
      <c r="D101" s="1434" t="s">
        <v>1538</v>
      </c>
      <c r="E101" s="1434" t="s">
        <v>1539</v>
      </c>
      <c r="F101" s="1434" t="s">
        <v>1540</v>
      </c>
      <c r="G101" s="1434" t="s">
        <v>1541</v>
      </c>
      <c r="H101" s="1432"/>
      <c r="I101" s="1432"/>
      <c r="J101" s="1432"/>
      <c r="K101" s="1432"/>
      <c r="L101" s="1432"/>
      <c r="M101" s="1483"/>
      <c r="N101" s="1467"/>
      <c r="O101" s="1467"/>
      <c r="P101" s="1468"/>
      <c r="Q101" s="1499"/>
      <c r="R101" s="1500"/>
      <c r="S101" s="1500"/>
      <c r="T101" s="1500"/>
      <c r="U101" s="1500"/>
      <c r="V101" s="1500"/>
      <c r="W101" s="1500"/>
      <c r="X101" s="1500"/>
      <c r="Y101" s="1500"/>
      <c r="Z101" s="1500"/>
      <c r="AA101" s="1500"/>
      <c r="AB101" s="1500"/>
      <c r="AC101" s="1500"/>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3"/>
      <c r="N102" s="1467"/>
      <c r="O102" s="1467"/>
      <c r="P102" s="1468"/>
      <c r="Q102" s="1499"/>
      <c r="R102" s="1500"/>
      <c r="S102" s="1500"/>
      <c r="T102" s="1500"/>
      <c r="U102" s="1500"/>
      <c r="V102" s="1500"/>
      <c r="W102" s="1500"/>
      <c r="X102" s="1500"/>
      <c r="Y102" s="1500"/>
      <c r="Z102" s="1500"/>
      <c r="AA102" s="1500"/>
      <c r="AB102" s="1500"/>
      <c r="AC102" s="1500"/>
    </row>
    <row r="103" ht="15.75" spans="1:29">
      <c r="A103" s="1407"/>
      <c r="B103" s="1410" t="str">
        <f>B31</f>
        <v>临街状况</v>
      </c>
      <c r="C103" s="1411" t="s">
        <v>1642</v>
      </c>
      <c r="D103" s="1411" t="s">
        <v>1643</v>
      </c>
      <c r="E103" s="1411" t="s">
        <v>1644</v>
      </c>
      <c r="F103" s="1411" t="s">
        <v>1645</v>
      </c>
      <c r="G103" s="1411"/>
      <c r="H103" s="1411"/>
      <c r="I103" s="1411"/>
      <c r="J103" s="1411"/>
      <c r="K103" s="1458"/>
      <c r="L103" s="1459"/>
      <c r="M103" s="1460"/>
      <c r="N103" s="1454"/>
      <c r="O103" s="1454"/>
      <c r="P103" s="1455"/>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7"/>
      <c r="O104" s="1457"/>
      <c r="P104" s="1455"/>
      <c r="Q104" s="1378"/>
      <c r="R104" s="1251"/>
      <c r="S104" s="1251"/>
      <c r="T104" s="1251"/>
      <c r="U104" s="1251"/>
      <c r="V104" s="1251"/>
      <c r="W104" s="1251"/>
      <c r="X104" s="1251"/>
      <c r="Y104" s="1251"/>
      <c r="Z104" s="1251"/>
      <c r="AA104" s="1251"/>
      <c r="AB104" s="1251"/>
      <c r="AC104" s="1251"/>
    </row>
    <row r="105" ht="27.75" spans="1:29">
      <c r="A105" s="1407"/>
      <c r="B105" s="1410" t="s">
        <v>1577</v>
      </c>
      <c r="C105" s="1418"/>
      <c r="D105" s="1418"/>
      <c r="E105" s="1418"/>
      <c r="F105" s="1418"/>
      <c r="G105" s="1418"/>
      <c r="H105" s="1435"/>
      <c r="I105" s="1435"/>
      <c r="J105" s="1435"/>
      <c r="K105" s="1484"/>
      <c r="L105" s="1485"/>
      <c r="M105" s="1486"/>
      <c r="N105" s="1454"/>
      <c r="O105" s="1454"/>
      <c r="P105" s="1455"/>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7"/>
      <c r="O106" s="1457"/>
      <c r="P106" s="1455"/>
      <c r="Q106" s="1378"/>
      <c r="R106" s="1251"/>
      <c r="S106" s="1251"/>
      <c r="T106" s="1251"/>
      <c r="U106" s="1251"/>
      <c r="V106" s="1251"/>
      <c r="W106" s="1251"/>
      <c r="X106" s="1251"/>
      <c r="Y106" s="1251"/>
      <c r="Z106" s="1251"/>
      <c r="AA106" s="1251"/>
      <c r="AB106" s="1251"/>
      <c r="AC106" s="1251"/>
    </row>
    <row r="107" ht="15.75" spans="1:29">
      <c r="A107" s="1407"/>
      <c r="B107" s="1410" t="s">
        <v>1608</v>
      </c>
      <c r="C107" s="1435"/>
      <c r="D107" s="1435"/>
      <c r="E107" s="1435"/>
      <c r="F107" s="1435"/>
      <c r="G107" s="1435"/>
      <c r="H107" s="1435"/>
      <c r="I107" s="1435"/>
      <c r="J107" s="1435"/>
      <c r="K107" s="1484"/>
      <c r="L107" s="1485"/>
      <c r="M107" s="1486"/>
      <c r="N107" s="1454"/>
      <c r="O107" s="1454"/>
      <c r="P107" s="1455"/>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7"/>
      <c r="O108" s="1457"/>
      <c r="P108" s="1455"/>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7"/>
      <c r="L109" s="1488"/>
      <c r="M109" s="1489"/>
      <c r="N109" s="1454"/>
      <c r="O109" s="1454"/>
      <c r="P109" s="1455"/>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0"/>
      <c r="N110" s="1457"/>
      <c r="O110" s="1457"/>
      <c r="P110" s="1455"/>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4"/>
      <c r="L111" s="1485"/>
      <c r="M111" s="1486"/>
      <c r="N111" s="1454"/>
      <c r="O111" s="1454"/>
      <c r="P111" s="1455"/>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6"/>
      <c r="N112" s="1457"/>
      <c r="O112" s="1457"/>
      <c r="P112" s="1455"/>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1"/>
      <c r="K113" s="1491"/>
      <c r="L113" s="1492"/>
      <c r="M113" s="1493"/>
      <c r="N113" s="1467"/>
      <c r="O113" s="1467"/>
      <c r="P113" s="1468"/>
      <c r="Q113" s="1499"/>
      <c r="R113" s="1500"/>
      <c r="S113" s="1500"/>
      <c r="T113" s="1500"/>
      <c r="U113" s="1500"/>
      <c r="V113" s="1500"/>
      <c r="W113" s="1500"/>
      <c r="X113" s="1500"/>
      <c r="Y113" s="1500"/>
      <c r="Z113" s="1500"/>
      <c r="AA113" s="1500"/>
      <c r="AB113" s="1500"/>
      <c r="AC113" s="1500"/>
    </row>
    <row r="114" s="1125" customFormat="1" ht="15.75" spans="1:29">
      <c r="A114" s="1417"/>
      <c r="B114" s="1414"/>
      <c r="C114" s="1404"/>
      <c r="D114" s="1440"/>
      <c r="E114" s="1440"/>
      <c r="F114" s="1440"/>
      <c r="G114" s="1440"/>
      <c r="H114" s="1440"/>
      <c r="I114" s="1440"/>
      <c r="J114" s="1440"/>
      <c r="K114" s="1440"/>
      <c r="L114" s="1440"/>
      <c r="M114" s="1494"/>
      <c r="N114" s="1457"/>
      <c r="O114" s="1457"/>
      <c r="P114" s="1468"/>
      <c r="Q114" s="1499"/>
      <c r="R114" s="1500"/>
      <c r="S114" s="1500"/>
      <c r="T114" s="1500"/>
      <c r="U114" s="1500"/>
      <c r="V114" s="1500"/>
      <c r="W114" s="1500"/>
      <c r="X114" s="1500"/>
      <c r="Y114" s="1500"/>
      <c r="Z114" s="1500"/>
      <c r="AA114" s="1500"/>
      <c r="AB114" s="1500"/>
      <c r="AC114" s="1500"/>
    </row>
    <row r="115" spans="1:29">
      <c r="A115" s="1405" t="s">
        <v>1508</v>
      </c>
      <c r="B115" s="1406" t="s">
        <v>1609</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4"/>
      <c r="O115" s="1454"/>
      <c r="P115" s="1455"/>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1"/>
      <c r="K116" s="1491"/>
      <c r="L116" s="1492"/>
      <c r="M116" s="1493"/>
      <c r="N116" s="1454"/>
      <c r="O116" s="1454"/>
      <c r="P116" s="1455"/>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0"/>
      <c r="N117" s="1457"/>
      <c r="O117" s="1457"/>
      <c r="P117" s="1455"/>
      <c r="Q117" s="1378"/>
      <c r="R117" s="1251"/>
      <c r="S117" s="1251"/>
      <c r="T117" s="1251"/>
      <c r="U117" s="1251"/>
      <c r="V117" s="1251"/>
      <c r="W117" s="1251"/>
      <c r="X117" s="1251"/>
      <c r="Y117" s="1251"/>
      <c r="Z117" s="1251"/>
      <c r="AA117" s="1251"/>
      <c r="AB117" s="1251"/>
      <c r="AC117" s="1251"/>
    </row>
    <row r="118" ht="15.75" spans="1:29">
      <c r="A118" s="1441"/>
      <c r="B118" s="1410" t="s">
        <v>1610</v>
      </c>
      <c r="C118" s="1435"/>
      <c r="D118" s="1435"/>
      <c r="E118" s="1435"/>
      <c r="F118" s="1435"/>
      <c r="G118" s="1435"/>
      <c r="H118" s="1435"/>
      <c r="I118" s="1435"/>
      <c r="J118" s="1435"/>
      <c r="K118" s="1484"/>
      <c r="L118" s="1485"/>
      <c r="M118" s="1486"/>
      <c r="N118" s="1454"/>
      <c r="O118" s="1454"/>
      <c r="P118" s="1455"/>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1">
        <f t="shared" si="26"/>
        <v>100</v>
      </c>
      <c r="N119" s="1457"/>
      <c r="O119" s="1457"/>
      <c r="P119" s="1455"/>
      <c r="Q119" s="1378"/>
      <c r="R119" s="1251"/>
      <c r="S119" s="1251"/>
      <c r="T119" s="1251"/>
      <c r="U119" s="1251"/>
      <c r="V119" s="1251"/>
      <c r="W119" s="1251"/>
      <c r="X119" s="1251"/>
      <c r="Y119" s="1251"/>
      <c r="Z119" s="1251"/>
      <c r="AA119" s="1251"/>
      <c r="AB119" s="1251"/>
      <c r="AC119" s="1251"/>
    </row>
    <row r="120" ht="15.75" spans="1:29">
      <c r="A120" s="1441"/>
      <c r="B120" s="1410" t="s">
        <v>1611</v>
      </c>
      <c r="C120" s="1418"/>
      <c r="D120" s="1418"/>
      <c r="E120" s="1418"/>
      <c r="F120" s="1435"/>
      <c r="G120" s="1435"/>
      <c r="H120" s="1435"/>
      <c r="I120" s="1435"/>
      <c r="J120" s="1435"/>
      <c r="K120" s="1484"/>
      <c r="L120" s="1485"/>
      <c r="M120" s="1486"/>
      <c r="N120" s="1454"/>
      <c r="O120" s="1454"/>
      <c r="P120" s="1455"/>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1">
        <f t="shared" si="27"/>
        <v>100</v>
      </c>
      <c r="N121" s="1457"/>
      <c r="O121" s="1457"/>
      <c r="P121" s="1455"/>
      <c r="Q121" s="1378"/>
      <c r="R121" s="1251"/>
      <c r="S121" s="1251"/>
      <c r="T121" s="1251"/>
      <c r="U121" s="1251"/>
      <c r="V121" s="1251"/>
      <c r="W121" s="1251"/>
      <c r="X121" s="1251"/>
      <c r="Y121" s="1251"/>
      <c r="Z121" s="1251"/>
      <c r="AA121" s="1251"/>
      <c r="AB121" s="1251"/>
      <c r="AC121" s="1251"/>
    </row>
    <row r="122" s="1125" customFormat="1" ht="15.75" spans="1:29">
      <c r="A122" s="1438"/>
      <c r="B122" s="1410" t="s">
        <v>1612</v>
      </c>
      <c r="C122" s="1418"/>
      <c r="D122" s="1418"/>
      <c r="E122" s="1418"/>
      <c r="F122" s="1418"/>
      <c r="G122" s="1418"/>
      <c r="H122" s="1435"/>
      <c r="I122" s="1435"/>
      <c r="J122" s="1435"/>
      <c r="K122" s="1484"/>
      <c r="L122" s="1485"/>
      <c r="M122" s="1486"/>
      <c r="N122" s="1467"/>
      <c r="O122" s="1467"/>
      <c r="P122" s="1468"/>
      <c r="Q122" s="1499"/>
      <c r="R122" s="1500"/>
      <c r="S122" s="1500"/>
      <c r="T122" s="1500"/>
      <c r="U122" s="1500"/>
      <c r="V122" s="1500"/>
      <c r="W122" s="1500"/>
      <c r="X122" s="1500"/>
      <c r="Y122" s="1500"/>
      <c r="Z122" s="1500"/>
      <c r="AA122" s="1500"/>
      <c r="AB122" s="1500"/>
      <c r="AC122" s="1500"/>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1">
        <f t="shared" si="28"/>
        <v>100</v>
      </c>
      <c r="N123" s="1467"/>
      <c r="O123" s="1467"/>
      <c r="P123" s="1468"/>
      <c r="Q123" s="1499"/>
      <c r="R123" s="1500"/>
      <c r="S123" s="1500"/>
      <c r="T123" s="1500"/>
      <c r="U123" s="1500"/>
      <c r="V123" s="1500"/>
      <c r="W123" s="1500"/>
      <c r="X123" s="1500"/>
      <c r="Y123" s="1500"/>
      <c r="Z123" s="1500"/>
      <c r="AA123" s="1500"/>
      <c r="AB123" s="1500"/>
      <c r="AC123" s="1500"/>
    </row>
    <row r="124" ht="15.75" spans="1:29">
      <c r="A124" s="1441"/>
      <c r="B124" s="1410" t="s">
        <v>1613</v>
      </c>
      <c r="C124" s="1418"/>
      <c r="D124" s="1418"/>
      <c r="E124" s="1435"/>
      <c r="F124" s="1435"/>
      <c r="G124" s="1435"/>
      <c r="H124" s="1435"/>
      <c r="I124" s="1435"/>
      <c r="J124" s="1435"/>
      <c r="K124" s="1484"/>
      <c r="L124" s="1485"/>
      <c r="M124" s="1486"/>
      <c r="N124" s="1454"/>
      <c r="O124" s="1454"/>
      <c r="P124" s="1455"/>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1">
        <f t="shared" si="29"/>
        <v>100</v>
      </c>
      <c r="N125" s="1457"/>
      <c r="O125" s="1457"/>
      <c r="P125" s="1455"/>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4"/>
      <c r="L126" s="1485"/>
      <c r="M126" s="1486"/>
      <c r="N126" s="1454"/>
      <c r="O126" s="1454"/>
      <c r="P126" s="1455"/>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6"/>
      <c r="N127" s="1457"/>
      <c r="O127" s="1457"/>
      <c r="P127" s="1455"/>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4"/>
      <c r="L128" s="1485"/>
      <c r="M128" s="1486"/>
      <c r="N128" s="1454"/>
      <c r="O128" s="1454"/>
      <c r="P128" s="1455"/>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6"/>
      <c r="N129" s="1457"/>
      <c r="O129" s="1457"/>
      <c r="P129" s="1455"/>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5"/>
      <c r="M130" s="1466"/>
      <c r="N130" s="1467"/>
      <c r="O130" s="1467"/>
      <c r="P130" s="1468"/>
      <c r="Q130" s="1499"/>
      <c r="R130" s="1500"/>
      <c r="S130" s="1500"/>
      <c r="T130" s="1500"/>
      <c r="U130" s="1500"/>
      <c r="V130" s="1500"/>
      <c r="W130" s="1500"/>
      <c r="X130" s="1500"/>
      <c r="Y130" s="1500"/>
      <c r="Z130" s="1500"/>
      <c r="AA130" s="1500"/>
      <c r="AB130" s="1500"/>
      <c r="AC130" s="1500"/>
    </row>
    <row r="131" s="1125" customFormat="1" ht="15.75" spans="1:29">
      <c r="A131" s="1423"/>
      <c r="B131" s="1442"/>
      <c r="C131" s="1425"/>
      <c r="D131" s="1425"/>
      <c r="E131" s="1425"/>
      <c r="F131" s="1425"/>
      <c r="G131" s="1437"/>
      <c r="H131" s="1437"/>
      <c r="I131" s="1437"/>
      <c r="J131" s="1437"/>
      <c r="K131" s="1437"/>
      <c r="L131" s="1437"/>
      <c r="M131" s="1490"/>
      <c r="N131" s="1467"/>
      <c r="O131" s="1467"/>
      <c r="P131" s="1468"/>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15" workbookViewId="0">
      <selection activeCell="M15" sqref="M15"/>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1603</v>
      </c>
      <c r="B1" s="1133"/>
      <c r="C1" s="1134" t="s">
        <v>1581</v>
      </c>
      <c r="D1" s="1135"/>
      <c r="E1" s="1135"/>
      <c r="F1" s="1136" t="s">
        <v>1473</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393" t="s">
        <v>987</v>
      </c>
      <c r="B2" s="1137">
        <f>F61</f>
        <v>750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396" t="s">
        <v>989</v>
      </c>
      <c r="B3" s="1140">
        <f>ROUND(IF(D3="",B2*10000/'数据-汇总表'!E3,B2*10000/D3),0)</f>
        <v>323</v>
      </c>
      <c r="C3" s="396" t="s">
        <v>1474</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1646</v>
      </c>
      <c r="D6" s="1157"/>
      <c r="E6" s="1158" t="s">
        <v>1646</v>
      </c>
      <c r="F6" s="1159"/>
      <c r="G6" s="1156" t="s">
        <v>1646</v>
      </c>
      <c r="H6" s="1157"/>
      <c r="I6" s="1156" t="s">
        <v>1646</v>
      </c>
      <c r="J6" s="1157"/>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45539</v>
      </c>
      <c r="D7" s="1163">
        <v>100</v>
      </c>
      <c r="E7" s="1164">
        <f>土地案例!L25</f>
        <v>45357.0004976852</v>
      </c>
      <c r="F7" s="1165">
        <f>SUMIF(65:65,YEAR(E7)&amp;"-"&amp;INT((MONTH(E7)+2)/3),66:66)</f>
        <v>100</v>
      </c>
      <c r="G7" s="1166">
        <f>土地案例!L51</f>
        <v>45196.0004976852</v>
      </c>
      <c r="H7" s="1163">
        <f>SUMIF(65:65,YEAR(G7)&amp;"-"&amp;INT((MONTH(G7)+2)/3),66:66)</f>
        <v>100</v>
      </c>
      <c r="I7" s="1166">
        <f>土地案例!L59</f>
        <v>45168.0004976852</v>
      </c>
      <c r="J7" s="1163">
        <f>SUMIF(65:65,YEAR(I7)&amp;"-"&amp;INT((MONTH(I7)+2)/3),66:66)</f>
        <v>100</v>
      </c>
      <c r="K7" s="1308"/>
      <c r="L7" s="1309"/>
      <c r="M7" s="1310"/>
      <c r="N7" s="1310"/>
      <c r="O7" s="1310"/>
      <c r="P7" s="1311" t="s">
        <v>1489</v>
      </c>
      <c r="Q7" s="1364"/>
      <c r="R7" s="1365" t="s">
        <v>1490</v>
      </c>
      <c r="S7" s="1366">
        <f t="shared" ref="S7:S15" si="0">F7</f>
        <v>100</v>
      </c>
      <c r="T7" s="1365" t="s">
        <v>1490</v>
      </c>
      <c r="U7" s="1366">
        <f t="shared" ref="U7:U15" si="1">H7</f>
        <v>100</v>
      </c>
      <c r="V7" s="1365" t="s">
        <v>1490</v>
      </c>
      <c r="W7" s="1366">
        <f t="shared" ref="W7:W15" si="2">J7</f>
        <v>100</v>
      </c>
      <c r="X7" s="1367"/>
      <c r="Y7" s="1311" t="s">
        <v>1489</v>
      </c>
      <c r="Z7" s="1368"/>
      <c r="AA7" s="1384">
        <f>D7/F7</f>
        <v>1</v>
      </c>
      <c r="AB7" s="1384">
        <f>D7/H7</f>
        <v>1</v>
      </c>
      <c r="AC7" s="1384">
        <f>D7/J7</f>
        <v>1</v>
      </c>
    </row>
    <row r="8" s="1123" customFormat="1" ht="15.75" spans="1:29">
      <c r="A8" s="1160" t="s">
        <v>1491</v>
      </c>
      <c r="B8" s="1161"/>
      <c r="C8" s="1167" t="s">
        <v>1530</v>
      </c>
      <c r="D8" s="1163">
        <v>100</v>
      </c>
      <c r="E8" s="1167" t="s">
        <v>1647</v>
      </c>
      <c r="F8" s="1165">
        <f>SUMIF(68:68,E8,69:69)-SUMIF(68:68,C8,69:69)+100</f>
        <v>100</v>
      </c>
      <c r="G8" s="1167" t="s">
        <v>1647</v>
      </c>
      <c r="H8" s="1163">
        <f>SUMIF(68:68,G8,69:69)-SUMIF(68:68,C8,69:69)+100</f>
        <v>100</v>
      </c>
      <c r="I8" s="1167" t="s">
        <v>1647</v>
      </c>
      <c r="J8" s="1163">
        <f>SUMIF(68:68,I8,69:69)-SUMIF(68:68,C8,69:69)+100</f>
        <v>100</v>
      </c>
      <c r="K8" s="1308"/>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40" si="3">D8/F8</f>
        <v>1</v>
      </c>
      <c r="AB8" s="1384">
        <f t="shared" ref="AB8:AB40" si="4">D8/H8</f>
        <v>1</v>
      </c>
      <c r="AC8" s="1384">
        <f t="shared" ref="AC8:AC40" si="5">D8/J8</f>
        <v>1</v>
      </c>
    </row>
    <row r="9" s="1123" customFormat="1" spans="1:29">
      <c r="A9" s="1168" t="s">
        <v>1493</v>
      </c>
      <c r="B9" s="1169" t="s">
        <v>1494</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699"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174"/>
      <c r="D10" s="1175">
        <v>100</v>
      </c>
      <c r="E10" s="1174"/>
      <c r="F10" s="1175">
        <f>ROUND(100/'数据-取费表'!G16,0)</f>
        <v>115</v>
      </c>
      <c r="G10" s="1174"/>
      <c r="H10" s="1175">
        <f>ROUND(100/'数据-取费表'!G16,0)</f>
        <v>115</v>
      </c>
      <c r="I10" s="1174"/>
      <c r="J10" s="1175">
        <f>ROUND(100/'数据-取费表'!G16,0)</f>
        <v>115</v>
      </c>
      <c r="K10" s="1313"/>
      <c r="L10" s="1314"/>
      <c r="M10" s="1315"/>
      <c r="N10" s="1315"/>
      <c r="O10" s="1316"/>
      <c r="P10" s="699"/>
      <c r="Q10" s="1369" t="str">
        <f t="shared" si="6"/>
        <v>土地使用年限（年）</v>
      </c>
      <c r="R10" s="1365" t="s">
        <v>1490</v>
      </c>
      <c r="S10" s="1366">
        <f t="shared" si="0"/>
        <v>115</v>
      </c>
      <c r="T10" s="1365" t="s">
        <v>1490</v>
      </c>
      <c r="U10" s="1366">
        <f t="shared" si="1"/>
        <v>115</v>
      </c>
      <c r="V10" s="1365" t="s">
        <v>1490</v>
      </c>
      <c r="W10" s="1366">
        <f t="shared" si="2"/>
        <v>115</v>
      </c>
      <c r="X10" s="1367"/>
      <c r="Y10" s="1369"/>
      <c r="Z10" s="1385" t="str">
        <f t="shared" si="7"/>
        <v>土地使用年限（年）</v>
      </c>
      <c r="AA10" s="1384">
        <f t="shared" si="3"/>
        <v>0.869565217391304</v>
      </c>
      <c r="AB10" s="1384">
        <f t="shared" si="4"/>
        <v>0.869565217391304</v>
      </c>
      <c r="AC10" s="1384">
        <f t="shared" si="5"/>
        <v>0.869565217391304</v>
      </c>
    </row>
    <row r="11" ht="15" spans="1:29">
      <c r="A11" s="1176"/>
      <c r="B11" s="1173" t="s">
        <v>1498</v>
      </c>
      <c r="C11" s="1177">
        <f>'数据-汇总表'!I6</f>
        <v>5.79</v>
      </c>
      <c r="D11" s="1175">
        <v>100</v>
      </c>
      <c r="E11" s="1177">
        <v>1.2</v>
      </c>
      <c r="F11" s="1175">
        <f>LOOKUP(E11,75:75,76:76)-LOOKUP(C11,75:75,76:76)+100</f>
        <v>104</v>
      </c>
      <c r="G11" s="1178">
        <v>1.5</v>
      </c>
      <c r="H11" s="1175">
        <f>LOOKUP(G11,75:75,76:76)-LOOKUP(C11,75:75,76:76)+100</f>
        <v>104</v>
      </c>
      <c r="I11" s="1177">
        <v>1.2</v>
      </c>
      <c r="J11" s="1175">
        <f>LOOKUP(I11,75:75,76:76)-LOOKUP(C11,75:75,76:76)+100</f>
        <v>104</v>
      </c>
      <c r="K11" s="1317">
        <v>2</v>
      </c>
      <c r="L11" s="1318"/>
      <c r="M11" s="1304"/>
      <c r="N11" s="1304"/>
      <c r="O11" s="1319"/>
      <c r="P11" s="699"/>
      <c r="Q11" s="1369" t="str">
        <f t="shared" si="6"/>
        <v>容积率</v>
      </c>
      <c r="R11" s="1365" t="s">
        <v>1490</v>
      </c>
      <c r="S11" s="1366">
        <f t="shared" si="0"/>
        <v>104</v>
      </c>
      <c r="T11" s="1365" t="s">
        <v>1490</v>
      </c>
      <c r="U11" s="1366">
        <f t="shared" si="1"/>
        <v>104</v>
      </c>
      <c r="V11" s="1365" t="s">
        <v>1490</v>
      </c>
      <c r="W11" s="1366">
        <f t="shared" si="2"/>
        <v>104</v>
      </c>
      <c r="X11" s="1367"/>
      <c r="Y11" s="1369"/>
      <c r="Z11" s="1385" t="str">
        <f t="shared" si="7"/>
        <v>容积率</v>
      </c>
      <c r="AA11" s="1384">
        <f t="shared" si="3"/>
        <v>0.961538461538462</v>
      </c>
      <c r="AB11" s="1384">
        <f t="shared" si="4"/>
        <v>0.961538461538462</v>
      </c>
      <c r="AC11" s="1384">
        <f t="shared" si="5"/>
        <v>0.961538461538462</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699"/>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699"/>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699"/>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56.25" spans="1:29">
      <c r="A15" s="1190" t="s">
        <v>1499</v>
      </c>
      <c r="B15" s="1191" t="s">
        <v>1582</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1501</v>
      </c>
      <c r="Q15" s="699" t="str">
        <f t="shared" si="6"/>
        <v>产业集聚程度</v>
      </c>
      <c r="R15" s="1370" t="s">
        <v>1490</v>
      </c>
      <c r="S15" s="1371">
        <f t="shared" si="0"/>
        <v>100</v>
      </c>
      <c r="T15" s="1370" t="s">
        <v>1490</v>
      </c>
      <c r="U15" s="1371">
        <f t="shared" si="1"/>
        <v>100</v>
      </c>
      <c r="V15" s="1370" t="s">
        <v>1490</v>
      </c>
      <c r="W15" s="1371">
        <f t="shared" si="2"/>
        <v>100</v>
      </c>
      <c r="X15" s="1357"/>
      <c r="Y15" s="1322" t="s">
        <v>1501</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699"/>
      <c r="R16" s="1370"/>
      <c r="S16" s="1371"/>
      <c r="T16" s="1370"/>
      <c r="U16" s="1371"/>
      <c r="V16" s="1370"/>
      <c r="W16" s="1371"/>
      <c r="X16" s="1357"/>
      <c r="Y16" s="1323"/>
      <c r="Z16" s="1344"/>
      <c r="AA16" s="1386">
        <v>1</v>
      </c>
      <c r="AB16" s="1386">
        <v>1</v>
      </c>
      <c r="AC16" s="1386">
        <v>1</v>
      </c>
    </row>
    <row r="17" ht="81" spans="1:29">
      <c r="A17" s="1176"/>
      <c r="B17" s="1200" t="s">
        <v>1502</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699"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699"/>
      <c r="R18" s="1370"/>
      <c r="S18" s="1371"/>
      <c r="T18" s="1370"/>
      <c r="U18" s="1371"/>
      <c r="V18" s="1370"/>
      <c r="W18" s="1371"/>
      <c r="X18" s="1357"/>
      <c r="Y18" s="1323"/>
      <c r="Z18" s="1344"/>
      <c r="AA18" s="1386">
        <v>1</v>
      </c>
      <c r="AB18" s="1386">
        <v>1</v>
      </c>
      <c r="AC18" s="1386">
        <v>1</v>
      </c>
    </row>
    <row r="19" ht="15" spans="1:29">
      <c r="A19" s="1176"/>
      <c r="B19" s="1200" t="s">
        <v>1606</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699" t="str">
        <f t="shared" ref="Q19:Q34" si="8">B19</f>
        <v>区域土地利用方向</v>
      </c>
      <c r="R19" s="1370" t="s">
        <v>1490</v>
      </c>
      <c r="S19" s="1371">
        <f>F19</f>
        <v>100</v>
      </c>
      <c r="T19" s="1370" t="s">
        <v>1490</v>
      </c>
      <c r="U19" s="1371">
        <f>H19</f>
        <v>100</v>
      </c>
      <c r="V19" s="1370" t="s">
        <v>1490</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699"/>
      <c r="R20" s="1370"/>
      <c r="S20" s="1371"/>
      <c r="T20" s="1370"/>
      <c r="U20" s="1371"/>
      <c r="V20" s="1370"/>
      <c r="W20" s="1371"/>
      <c r="X20" s="1357"/>
      <c r="Y20" s="1323"/>
      <c r="Z20" s="1344"/>
      <c r="AA20" s="1386"/>
      <c r="AB20" s="1386"/>
      <c r="AC20" s="1386"/>
    </row>
    <row r="21" ht="67.5" spans="1:29">
      <c r="A21" s="1148"/>
      <c r="B21" s="1200" t="s">
        <v>1648</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699" t="str">
        <f t="shared" si="8"/>
        <v>环境状况</v>
      </c>
      <c r="R21" s="1370" t="s">
        <v>1490</v>
      </c>
      <c r="S21" s="1371">
        <f>F21</f>
        <v>100</v>
      </c>
      <c r="T21" s="1370" t="s">
        <v>1490</v>
      </c>
      <c r="U21" s="1371">
        <f>H21</f>
        <v>100</v>
      </c>
      <c r="V21" s="1370" t="s">
        <v>1490</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699"/>
      <c r="R22" s="1370"/>
      <c r="S22" s="1371"/>
      <c r="T22" s="1370"/>
      <c r="U22" s="1371"/>
      <c r="V22" s="1370"/>
      <c r="W22" s="1371"/>
      <c r="X22" s="1357"/>
      <c r="Y22" s="1323"/>
      <c r="Z22" s="1344"/>
      <c r="AA22" s="1386">
        <v>1</v>
      </c>
      <c r="AB22" s="1386">
        <v>1</v>
      </c>
      <c r="AC22" s="1386">
        <v>1</v>
      </c>
    </row>
    <row r="23" s="1123" customFormat="1" ht="40.5" spans="1:29">
      <c r="A23" s="1206"/>
      <c r="B23" s="1207" t="s">
        <v>1503</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1490</v>
      </c>
      <c r="S23" s="1366">
        <f>F23</f>
        <v>100</v>
      </c>
      <c r="T23" s="1365" t="s">
        <v>1490</v>
      </c>
      <c r="U23" s="1366">
        <f>H23</f>
        <v>100</v>
      </c>
      <c r="V23" s="1365" t="s">
        <v>1490</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1504</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1490</v>
      </c>
      <c r="S25" s="1366">
        <f>F25</f>
        <v>100</v>
      </c>
      <c r="T25" s="1365" t="s">
        <v>1490</v>
      </c>
      <c r="U25" s="1366">
        <f>H25</f>
        <v>100</v>
      </c>
      <c r="V25" s="1365" t="s">
        <v>1490</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1564</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699" t="str">
        <f t="shared" si="8"/>
        <v>临街状况</v>
      </c>
      <c r="R27" s="1370" t="s">
        <v>1490</v>
      </c>
      <c r="S27" s="1371">
        <f t="shared" ref="S27:S40" si="10">F27</f>
        <v>100</v>
      </c>
      <c r="T27" s="1370" t="s">
        <v>1490</v>
      </c>
      <c r="U27" s="1371">
        <f t="shared" ref="U27:U40" si="11">H27</f>
        <v>100</v>
      </c>
      <c r="V27" s="1370" t="s">
        <v>1490</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1577</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699" t="str">
        <f t="shared" si="8"/>
        <v>毗邻道路的类型与等级</v>
      </c>
      <c r="R28" s="1370" t="s">
        <v>1490</v>
      </c>
      <c r="S28" s="1371">
        <f t="shared" si="10"/>
        <v>100</v>
      </c>
      <c r="T28" s="1370" t="s">
        <v>1490</v>
      </c>
      <c r="U28" s="1371">
        <f t="shared" si="11"/>
        <v>100</v>
      </c>
      <c r="V28" s="1370" t="s">
        <v>1490</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699"/>
      <c r="R29" s="1370"/>
      <c r="S29" s="1371"/>
      <c r="T29" s="1370"/>
      <c r="U29" s="1371"/>
      <c r="V29" s="1370"/>
      <c r="W29" s="1371"/>
      <c r="X29" s="1357"/>
      <c r="Y29" s="1323"/>
      <c r="Z29" s="1344"/>
      <c r="AA29" s="1386">
        <v>1</v>
      </c>
      <c r="AB29" s="1386">
        <v>1</v>
      </c>
      <c r="AC29" s="1386">
        <v>1</v>
      </c>
    </row>
    <row r="30" ht="15" spans="1:29">
      <c r="A30" s="1176"/>
      <c r="B30" s="1213" t="s">
        <v>1608</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699" t="str">
        <f t="shared" si="8"/>
        <v>土地级别</v>
      </c>
      <c r="R30" s="1370" t="s">
        <v>1490</v>
      </c>
      <c r="S30" s="1371">
        <f t="shared" si="10"/>
        <v>100</v>
      </c>
      <c r="T30" s="1370" t="s">
        <v>1490</v>
      </c>
      <c r="U30" s="1371">
        <f t="shared" si="11"/>
        <v>100</v>
      </c>
      <c r="V30" s="1370" t="s">
        <v>1490</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699">
        <f t="shared" si="8"/>
        <v>111</v>
      </c>
      <c r="R31" s="1370" t="s">
        <v>1490</v>
      </c>
      <c r="S31" s="1371">
        <f t="shared" si="10"/>
        <v>100</v>
      </c>
      <c r="T31" s="1370" t="s">
        <v>1490</v>
      </c>
      <c r="U31" s="1371">
        <f t="shared" si="11"/>
        <v>100</v>
      </c>
      <c r="V31" s="1370" t="s">
        <v>1490</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1510</v>
      </c>
      <c r="Q32" s="699">
        <f t="shared" si="8"/>
        <v>111</v>
      </c>
      <c r="R32" s="1370" t="s">
        <v>1490</v>
      </c>
      <c r="S32" s="1371">
        <f t="shared" si="10"/>
        <v>100</v>
      </c>
      <c r="T32" s="1370" t="s">
        <v>1490</v>
      </c>
      <c r="U32" s="1371">
        <f t="shared" si="11"/>
        <v>100</v>
      </c>
      <c r="V32" s="1370" t="s">
        <v>1490</v>
      </c>
      <c r="W32" s="1371">
        <f t="shared" si="12"/>
        <v>100</v>
      </c>
      <c r="X32" s="1357"/>
      <c r="Y32" s="1332" t="s">
        <v>1510</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699">
        <f t="shared" si="8"/>
        <v>111</v>
      </c>
      <c r="R33" s="1372" t="s">
        <v>1490</v>
      </c>
      <c r="S33" s="1373">
        <f t="shared" si="10"/>
        <v>100</v>
      </c>
      <c r="T33" s="1372" t="s">
        <v>1490</v>
      </c>
      <c r="U33" s="1373">
        <f t="shared" si="11"/>
        <v>100</v>
      </c>
      <c r="V33" s="1372" t="s">
        <v>1490</v>
      </c>
      <c r="W33" s="1373">
        <f t="shared" si="12"/>
        <v>100</v>
      </c>
      <c r="X33" s="1374"/>
      <c r="Y33" s="1332"/>
      <c r="Z33" s="1387">
        <f t="shared" si="13"/>
        <v>111</v>
      </c>
      <c r="AA33" s="1386">
        <f t="shared" si="3"/>
        <v>1</v>
      </c>
      <c r="AB33" s="1386">
        <f t="shared" si="4"/>
        <v>1</v>
      </c>
      <c r="AC33" s="1386">
        <f t="shared" si="5"/>
        <v>1</v>
      </c>
    </row>
    <row r="34" ht="15" spans="1:29">
      <c r="A34" s="1190" t="s">
        <v>1508</v>
      </c>
      <c r="B34" s="1224" t="s">
        <v>1609</v>
      </c>
      <c r="C34" s="1225"/>
      <c r="D34" s="1226">
        <v>100</v>
      </c>
      <c r="E34" s="1225"/>
      <c r="F34" s="1226">
        <f>LOOKUP(E34,108:108,109:109)-LOOKUP(C34,108:108,109:109)+100</f>
        <v>100</v>
      </c>
      <c r="G34" s="1225"/>
      <c r="H34" s="1226">
        <f>LOOKUP(G34,108:108,109:109)-LOOKUP(C34,108:108,109:109)+100</f>
        <v>100</v>
      </c>
      <c r="I34" s="1333"/>
      <c r="J34" s="1226">
        <f>LOOKUP(I34,108:108,109:109)-LOOKUP(C34,108:108,109:109)+100</f>
        <v>100</v>
      </c>
      <c r="K34" s="1327"/>
      <c r="L34" s="1320"/>
      <c r="M34" s="1304"/>
      <c r="N34" s="1304"/>
      <c r="O34" s="1319"/>
      <c r="P34" s="1332"/>
      <c r="Q34" s="699" t="str">
        <f t="shared" si="8"/>
        <v>宗地面积</v>
      </c>
      <c r="R34" s="1370" t="s">
        <v>1490</v>
      </c>
      <c r="S34" s="1371">
        <f t="shared" si="10"/>
        <v>100</v>
      </c>
      <c r="T34" s="1370" t="s">
        <v>1490</v>
      </c>
      <c r="U34" s="1371">
        <f t="shared" si="11"/>
        <v>100</v>
      </c>
      <c r="V34" s="1370" t="s">
        <v>1490</v>
      </c>
      <c r="W34" s="1371">
        <f t="shared" si="12"/>
        <v>100</v>
      </c>
      <c r="X34" s="1357"/>
      <c r="Y34" s="1332"/>
      <c r="Z34" s="1344" t="str">
        <f t="shared" si="13"/>
        <v>宗地面积</v>
      </c>
      <c r="AA34" s="1386">
        <f t="shared" si="3"/>
        <v>1</v>
      </c>
      <c r="AB34" s="1386">
        <f t="shared" si="4"/>
        <v>1</v>
      </c>
      <c r="AC34" s="1386">
        <f t="shared" si="5"/>
        <v>1</v>
      </c>
    </row>
    <row r="35" ht="15" spans="1:29">
      <c r="A35" s="1227"/>
      <c r="B35" s="1173" t="s">
        <v>1610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699" t="str">
        <f t="shared" ref="Q35:Q40" si="14">B35</f>
        <v>宗地形状</v>
      </c>
      <c r="R35" s="1370" t="s">
        <v>1490</v>
      </c>
      <c r="S35" s="1371">
        <f t="shared" si="10"/>
        <v>100</v>
      </c>
      <c r="T35" s="1370" t="s">
        <v>1490</v>
      </c>
      <c r="U35" s="1371">
        <f t="shared" si="11"/>
        <v>100</v>
      </c>
      <c r="V35" s="1370" t="s">
        <v>1490</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1612</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699" t="str">
        <f t="shared" si="14"/>
        <v>宗地开发程度</v>
      </c>
      <c r="R36" s="1365" t="s">
        <v>1490</v>
      </c>
      <c r="S36" s="1366">
        <f t="shared" si="10"/>
        <v>100</v>
      </c>
      <c r="T36" s="1365" t="s">
        <v>1490</v>
      </c>
      <c r="U36" s="1366">
        <f t="shared" si="11"/>
        <v>100</v>
      </c>
      <c r="V36" s="1365" t="s">
        <v>1490</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1613</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1510</v>
      </c>
      <c r="Q37" s="699" t="str">
        <f t="shared" si="14"/>
        <v>工程地质条件</v>
      </c>
      <c r="R37" s="1370" t="s">
        <v>1490</v>
      </c>
      <c r="S37" s="1371">
        <f t="shared" si="10"/>
        <v>100</v>
      </c>
      <c r="T37" s="1370" t="s">
        <v>1490</v>
      </c>
      <c r="U37" s="1371">
        <f t="shared" si="11"/>
        <v>100</v>
      </c>
      <c r="V37" s="1370" t="s">
        <v>1490</v>
      </c>
      <c r="W37" s="1371">
        <f t="shared" si="12"/>
        <v>100</v>
      </c>
      <c r="X37" s="1357"/>
      <c r="Y37" s="1332" t="s">
        <v>1510</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699">
        <f t="shared" si="14"/>
        <v>111</v>
      </c>
      <c r="R38" s="1370" t="s">
        <v>1490</v>
      </c>
      <c r="S38" s="1371">
        <f t="shared" si="10"/>
        <v>100</v>
      </c>
      <c r="T38" s="1370" t="s">
        <v>1490</v>
      </c>
      <c r="U38" s="1371">
        <f t="shared" si="11"/>
        <v>100</v>
      </c>
      <c r="V38" s="1370" t="s">
        <v>1490</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699">
        <f t="shared" si="14"/>
        <v>111</v>
      </c>
      <c r="R39" s="1370" t="s">
        <v>1490</v>
      </c>
      <c r="S39" s="1371">
        <f t="shared" si="10"/>
        <v>100</v>
      </c>
      <c r="T39" s="1370" t="s">
        <v>1490</v>
      </c>
      <c r="U39" s="1371">
        <f t="shared" si="11"/>
        <v>100</v>
      </c>
      <c r="V39" s="1370" t="s">
        <v>1490</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699">
        <f t="shared" si="14"/>
        <v>111</v>
      </c>
      <c r="R40" s="1372" t="s">
        <v>1490</v>
      </c>
      <c r="S40" s="1373">
        <f t="shared" si="10"/>
        <v>100</v>
      </c>
      <c r="T40" s="1372" t="s">
        <v>1490</v>
      </c>
      <c r="U40" s="1373">
        <f t="shared" si="11"/>
        <v>100</v>
      </c>
      <c r="V40" s="1372" t="s">
        <v>1490</v>
      </c>
      <c r="W40" s="1373">
        <f t="shared" si="12"/>
        <v>100</v>
      </c>
      <c r="X40" s="1374"/>
      <c r="Y40" s="1332"/>
      <c r="Z40" s="1387">
        <f t="shared" si="13"/>
        <v>111</v>
      </c>
      <c r="AA40" s="1386">
        <f t="shared" si="3"/>
        <v>1</v>
      </c>
      <c r="AB40" s="1386">
        <f t="shared" si="4"/>
        <v>1</v>
      </c>
      <c r="AC40" s="1386">
        <f t="shared" si="5"/>
        <v>1</v>
      </c>
    </row>
    <row r="41" ht="15" spans="1:29">
      <c r="A41" s="1234" t="s">
        <v>1595</v>
      </c>
      <c r="B41" s="1235" t="s">
        <v>1649</v>
      </c>
      <c r="C41" s="1236" t="s">
        <v>124</v>
      </c>
      <c r="D41" s="1237"/>
      <c r="E41" s="1238">
        <v>453</v>
      </c>
      <c r="F41" s="1239"/>
      <c r="G41" s="1240">
        <v>339</v>
      </c>
      <c r="H41" s="1241"/>
      <c r="I41" s="1238">
        <v>431</v>
      </c>
      <c r="J41" s="1241"/>
      <c r="K41" s="1335"/>
      <c r="L41" s="1336"/>
      <c r="M41" s="1304"/>
      <c r="N41" s="1304"/>
      <c r="O41" s="1251"/>
      <c r="P41" s="699" t="str">
        <f>A41</f>
        <v>成交单价</v>
      </c>
      <c r="Q41" s="699"/>
      <c r="R41" s="1344">
        <f>E41</f>
        <v>453</v>
      </c>
      <c r="S41" s="1344"/>
      <c r="T41" s="1344">
        <f>G41</f>
        <v>339</v>
      </c>
      <c r="U41" s="1344"/>
      <c r="V41" s="1344">
        <f>I41</f>
        <v>431</v>
      </c>
      <c r="W41" s="1344"/>
      <c r="X41" s="1292"/>
      <c r="Y41" s="1388"/>
      <c r="Z41" s="1292"/>
      <c r="AA41" s="1292"/>
      <c r="AB41" s="1292"/>
      <c r="AC41" s="1292"/>
    </row>
    <row r="42" ht="15.75" spans="1:29">
      <c r="A42" s="1242" t="s">
        <v>1522</v>
      </c>
      <c r="B42" s="1243"/>
      <c r="C42" s="1244">
        <f>R43</f>
        <v>341</v>
      </c>
      <c r="D42" s="1245" t="s">
        <v>1523</v>
      </c>
      <c r="E42" s="1244">
        <f>R42</f>
        <v>379</v>
      </c>
      <c r="F42" s="1246"/>
      <c r="G42" s="1247">
        <f>T42</f>
        <v>283</v>
      </c>
      <c r="H42" s="1246"/>
      <c r="I42" s="1244">
        <f>V42</f>
        <v>360</v>
      </c>
      <c r="J42" s="1246"/>
      <c r="K42" s="1337">
        <f>F42+H42+J42</f>
        <v>0</v>
      </c>
      <c r="L42" s="1336"/>
      <c r="M42" s="1304"/>
      <c r="N42" s="1304"/>
      <c r="O42" s="1251"/>
      <c r="P42" s="699" t="str">
        <f>A42</f>
        <v>比较价值（元/平方米）</v>
      </c>
      <c r="Q42" s="699"/>
      <c r="R42" s="1375">
        <f>ROUND(PRODUCT(R41,AA7:AA40),0)</f>
        <v>379</v>
      </c>
      <c r="S42" s="1375"/>
      <c r="T42" s="1375">
        <f>ROUND(PRODUCT(T41,AB7:AB40),0)</f>
        <v>283</v>
      </c>
      <c r="U42" s="1375"/>
      <c r="V42" s="1375">
        <f>ROUND(PRODUCT(V41,AC7:AC40),0)</f>
        <v>360</v>
      </c>
      <c r="W42" s="1375"/>
      <c r="X42" s="1292"/>
      <c r="Y42" s="1292"/>
      <c r="Z42" s="1292"/>
      <c r="AA42" s="1292"/>
      <c r="AB42" s="1292"/>
      <c r="AC42" s="1292"/>
    </row>
    <row r="43" ht="15.75" spans="1:29">
      <c r="A43" s="1248" t="s">
        <v>1524</v>
      </c>
      <c r="B43" s="1249"/>
      <c r="C43" s="1250">
        <f>R43</f>
        <v>341</v>
      </c>
      <c r="D43" s="1250"/>
      <c r="E43" s="1250"/>
      <c r="F43" s="1250"/>
      <c r="G43" s="1250"/>
      <c r="H43" s="1250"/>
      <c r="I43" s="1250"/>
      <c r="J43" s="1250"/>
      <c r="K43" s="1338"/>
      <c r="L43" s="1336"/>
      <c r="M43" s="1304"/>
      <c r="N43" s="1304"/>
      <c r="O43" s="1251"/>
      <c r="P43" s="1339" t="str">
        <f>A43</f>
        <v>估价对象XX用房的比较价值（楼面单价，元/平方米）</v>
      </c>
      <c r="Q43" s="1376"/>
      <c r="R43" s="1377">
        <f>ROUND(IF(D42="简单平均",AVERAGE(R42:W42),R42*F42+T42*H42+V42*J42),0)</f>
        <v>341</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1525</v>
      </c>
      <c r="D46" s="743"/>
      <c r="E46" s="1254">
        <f>IF(E41&lt;E42,E42/E41-1,E41/E42-1)</f>
        <v>0.195250659630607</v>
      </c>
      <c r="F46" s="1255" t="str">
        <f>IF(OR(E46&gt;=0.3,E46&lt;=-0.3),"超过30%","")</f>
        <v/>
      </c>
      <c r="G46" s="1254">
        <f>IF(G41&lt;G42,G42/G41-1,G41/G42-1)</f>
        <v>0.197879858657244</v>
      </c>
      <c r="H46" s="1255" t="str">
        <f>IF(OR(G46&gt;=0.3,G46&lt;=-0.3),"超过30%","")</f>
        <v/>
      </c>
      <c r="I46" s="1254">
        <f>IF(I41&lt;I42,I42/I41-1,I41/I42-1)</f>
        <v>0.197222222222222</v>
      </c>
      <c r="J46" s="1255" t="str">
        <f>IF(OR(I46&gt;=0.3,I46&lt;=-0.3),"超过30%","")</f>
        <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1526</v>
      </c>
      <c r="D47" s="742"/>
      <c r="E47" s="1254">
        <f>IF(E42&lt;G42,G42/E42-1,E42/G42-1)</f>
        <v>0.339222614840989</v>
      </c>
      <c r="F47" s="1255" t="str">
        <f>IF(OR(E47&gt;=0.2,E47&lt;=-0.2),"超过20%","")</f>
        <v>超过20%</v>
      </c>
      <c r="G47" s="1254">
        <f>IF(G42&lt;I42,I42/G42-1,G42/I42-1)</f>
        <v>0.27208480565371</v>
      </c>
      <c r="H47" s="1255" t="str">
        <f>IF(OR(G47&gt;=0.2,G47&lt;=-0.2),"超过20%","")</f>
        <v>超过20%</v>
      </c>
      <c r="I47" s="1254">
        <f>IF(I42&lt;E42,E42/I42-1,I42/E42-1)</f>
        <v>0.0527777777777778</v>
      </c>
      <c r="J47" s="1255" t="str">
        <f>IF(OR(I47&gt;=0.2,I47&lt;=-0.2),"超过20%","")</f>
        <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1527</v>
      </c>
      <c r="D48" s="742"/>
      <c r="E48" s="1254">
        <f>IF(E41&lt;G41,G41/E41-1,E41/G41-1)</f>
        <v>0.336283185840708</v>
      </c>
      <c r="F48" s="1255" t="str">
        <f>IF(OR(E48&gt;=0.3,E48&lt;=-0.3),"超过30%","")</f>
        <v>超过30%</v>
      </c>
      <c r="G48" s="1254">
        <f>IF(G41&lt;I41,I41/G41-1,G41/I41-1)</f>
        <v>0.271386430678466</v>
      </c>
      <c r="H48" s="1255" t="str">
        <f>IF(OR(G48&gt;=0.3,G48&lt;=-0.3),"超过30%","")</f>
        <v/>
      </c>
      <c r="I48" s="1254">
        <f>IF(I41&lt;E41,E41/I41-1,I41/E41-1)</f>
        <v>0.0510440835266821</v>
      </c>
      <c r="J48" s="1255" t="str">
        <f>IF(OR(I48&gt;=0.3,I48&lt;=-0.3),"超过30%","")</f>
        <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1616</v>
      </c>
      <c r="B50" s="1261" t="s">
        <v>1617</v>
      </c>
      <c r="C50" s="1262" t="s">
        <v>1618</v>
      </c>
      <c r="D50" s="1263" t="s">
        <v>1619</v>
      </c>
      <c r="E50" s="1264" t="s">
        <v>1620</v>
      </c>
      <c r="F50" s="1265" t="s">
        <v>1621</v>
      </c>
      <c r="G50" s="1144" t="s">
        <v>1622</v>
      </c>
      <c r="H50" s="694"/>
      <c r="I50" s="1344" t="s">
        <v>1650</v>
      </c>
      <c r="J50" s="1344">
        <f>项目基本情况!F35</f>
        <v>0</v>
      </c>
      <c r="K50" s="1345" t="s">
        <v>1624</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1625</v>
      </c>
      <c r="B51" s="1267">
        <f>C43</f>
        <v>341</v>
      </c>
      <c r="C51" s="1268">
        <v>1</v>
      </c>
      <c r="D51" s="1269">
        <v>1</v>
      </c>
      <c r="E51" s="1268">
        <f>'数据-汇总表'!E8+'数据-汇总表'!E9</f>
        <v>22008.76</v>
      </c>
      <c r="F51" s="1270">
        <f t="shared" ref="F51:F60" si="15">ROUND(B51*E51/10000,0)</f>
        <v>750</v>
      </c>
      <c r="G51" s="1271"/>
      <c r="H51" s="699"/>
      <c r="I51" s="729">
        <v>1</v>
      </c>
      <c r="J51" s="729">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1626</v>
      </c>
      <c r="B52" s="410">
        <f>ROUND($C$43*C52*D52,0)</f>
        <v>0</v>
      </c>
      <c r="C52" s="613">
        <f t="shared" ref="C52:C60" si="16">IF($C$50="北京市系数",I52,J52)</f>
        <v>0</v>
      </c>
      <c r="D52" s="1273">
        <v>0.25</v>
      </c>
      <c r="E52" s="1274"/>
      <c r="F52" s="1270">
        <f t="shared" si="15"/>
        <v>0</v>
      </c>
      <c r="G52" s="1275" t="s">
        <v>1627</v>
      </c>
      <c r="H52" s="1276">
        <f>项目基本情况!B37</f>
        <v>0</v>
      </c>
      <c r="I52" s="729">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1628</v>
      </c>
      <c r="B53" s="410">
        <f t="shared" ref="B53:B60" si="17">ROUND($C$43*C53*D53,0)</f>
        <v>0</v>
      </c>
      <c r="C53" s="613">
        <f t="shared" si="16"/>
        <v>0</v>
      </c>
      <c r="D53" s="1273">
        <v>0.25</v>
      </c>
      <c r="E53" s="1274"/>
      <c r="F53" s="1270">
        <f t="shared" si="15"/>
        <v>0</v>
      </c>
      <c r="G53" s="1277"/>
      <c r="H53" s="1276">
        <f>项目基本情况!B37</f>
        <v>0</v>
      </c>
      <c r="I53" s="729">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1629</v>
      </c>
      <c r="B54" s="410">
        <f t="shared" si="17"/>
        <v>0</v>
      </c>
      <c r="C54" s="613">
        <f t="shared" si="16"/>
        <v>0</v>
      </c>
      <c r="D54" s="1273">
        <v>0.25</v>
      </c>
      <c r="E54" s="1274"/>
      <c r="F54" s="1270">
        <f t="shared" si="15"/>
        <v>0</v>
      </c>
      <c r="G54" s="1277"/>
      <c r="H54" s="1276">
        <f>项目基本情况!B37</f>
        <v>0</v>
      </c>
      <c r="I54" s="729">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0"/>
      <c r="C55" s="613"/>
      <c r="D55" s="1273"/>
      <c r="E55" s="1274"/>
      <c r="F55" s="1270"/>
      <c r="G55" s="1278"/>
      <c r="H55" s="1276"/>
      <c r="I55" s="729"/>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1630</v>
      </c>
      <c r="B56" s="410">
        <f t="shared" si="17"/>
        <v>0</v>
      </c>
      <c r="C56" s="613">
        <f t="shared" si="16"/>
        <v>0</v>
      </c>
      <c r="D56" s="1273">
        <v>0.25</v>
      </c>
      <c r="E56" s="409">
        <f>'数据-汇总表'!E11</f>
        <v>0</v>
      </c>
      <c r="F56" s="1270">
        <f t="shared" si="15"/>
        <v>0</v>
      </c>
      <c r="G56" s="1279" t="s">
        <v>1631</v>
      </c>
      <c r="H56" s="1276">
        <f>项目基本情况!C37</f>
        <v>0</v>
      </c>
      <c r="I56" s="729">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1632</v>
      </c>
      <c r="B57" s="410">
        <f t="shared" si="17"/>
        <v>0</v>
      </c>
      <c r="C57" s="613">
        <f t="shared" si="16"/>
        <v>0</v>
      </c>
      <c r="D57" s="1273">
        <v>0.25</v>
      </c>
      <c r="E57" s="409">
        <f>'数据-汇总表'!E12</f>
        <v>0</v>
      </c>
      <c r="F57" s="1270">
        <f t="shared" si="15"/>
        <v>0</v>
      </c>
      <c r="G57" s="1280" t="s">
        <v>1633</v>
      </c>
      <c r="H57" s="1276">
        <f>IF(G57="商业",项目基本情况!B37,IF(G57="办公",项目基本情况!C37,IF(G57="住宅",项目基本情况!D37,项目基本情况!E37)))</f>
        <v>0</v>
      </c>
      <c r="I57" s="729">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1634</v>
      </c>
      <c r="B58" s="410">
        <f t="shared" si="17"/>
        <v>0</v>
      </c>
      <c r="C58" s="613">
        <f t="shared" si="16"/>
        <v>0</v>
      </c>
      <c r="D58" s="1273">
        <v>0.25</v>
      </c>
      <c r="E58" s="409">
        <f>'数据-汇总表'!E13</f>
        <v>0</v>
      </c>
      <c r="F58" s="1270">
        <f t="shared" si="15"/>
        <v>0</v>
      </c>
      <c r="G58" s="1280" t="s">
        <v>1635</v>
      </c>
      <c r="H58" s="1276">
        <f>IF(G58="商业",项目基本情况!B37,IF(G58="办公",项目基本情况!C37,IF(G58="住宅",项目基本情况!D37,项目基本情况!E37)))</f>
        <v>0</v>
      </c>
      <c r="I58" s="729">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1636</v>
      </c>
      <c r="B59" s="410">
        <f t="shared" si="17"/>
        <v>0</v>
      </c>
      <c r="C59" s="613">
        <f t="shared" si="16"/>
        <v>0</v>
      </c>
      <c r="D59" s="1273">
        <v>0.25</v>
      </c>
      <c r="E59" s="409">
        <f>'数据-汇总表'!E14</f>
        <v>0</v>
      </c>
      <c r="F59" s="1270">
        <f t="shared" si="15"/>
        <v>0</v>
      </c>
      <c r="G59" s="1279" t="s">
        <v>1627</v>
      </c>
      <c r="H59" s="1276">
        <f>项目基本情况!B37</f>
        <v>0</v>
      </c>
      <c r="I59" s="729">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1637</v>
      </c>
      <c r="B60" s="410">
        <f t="shared" si="17"/>
        <v>0</v>
      </c>
      <c r="C60" s="613">
        <f t="shared" si="16"/>
        <v>0</v>
      </c>
      <c r="D60" s="1273">
        <v>0.25</v>
      </c>
      <c r="E60" s="409">
        <f>'数据-汇总表'!E15</f>
        <v>0</v>
      </c>
      <c r="F60" s="1270">
        <f t="shared" si="15"/>
        <v>0</v>
      </c>
      <c r="G60" s="1281" t="s">
        <v>1631</v>
      </c>
      <c r="H60" s="1282">
        <f>项目基本情况!C37</f>
        <v>0</v>
      </c>
      <c r="I60" s="729">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1638</v>
      </c>
      <c r="B61" s="1284" t="s">
        <v>1639</v>
      </c>
      <c r="C61" s="1284" t="s">
        <v>1639</v>
      </c>
      <c r="D61" s="1284" t="s">
        <v>1639</v>
      </c>
      <c r="E61" s="1284">
        <f>IF(B41="楼面地价",SUM(E51:E60),'数据-汇总表'!D3)</f>
        <v>22008.76</v>
      </c>
      <c r="F61" s="1285">
        <f>IF(B41="楼面地价",SUM(F51:F60),ROUND(C43*E61/10000,0))</f>
        <v>750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2024-9-1</v>
      </c>
      <c r="D63" s="1290">
        <f>EDATE(C63,-3)</f>
        <v>45444</v>
      </c>
      <c r="E63" s="1290">
        <f>EDATE(D63,-3)</f>
        <v>45352</v>
      </c>
      <c r="F63" s="1290">
        <f t="shared" ref="F63:O63" si="18">EDATE(E63,-3)</f>
        <v>45261</v>
      </c>
      <c r="G63" s="1290">
        <f t="shared" si="18"/>
        <v>45170</v>
      </c>
      <c r="H63" s="1290">
        <f t="shared" si="18"/>
        <v>45078</v>
      </c>
      <c r="I63" s="1290">
        <f t="shared" si="18"/>
        <v>44986</v>
      </c>
      <c r="J63" s="1290">
        <f t="shared" si="18"/>
        <v>44896</v>
      </c>
      <c r="K63" s="1290">
        <f t="shared" si="18"/>
        <v>44805</v>
      </c>
      <c r="L63" s="1290">
        <f t="shared" si="18"/>
        <v>44713</v>
      </c>
      <c r="M63" s="1290">
        <f t="shared" si="18"/>
        <v>44621</v>
      </c>
      <c r="N63" s="1290">
        <f t="shared" si="18"/>
        <v>44531</v>
      </c>
      <c r="O63" s="1290">
        <f t="shared" si="18"/>
        <v>44440</v>
      </c>
      <c r="P63" s="1251"/>
      <c r="Q63" s="1251"/>
      <c r="R63" s="1251"/>
      <c r="S63" s="1251"/>
      <c r="T63" s="1251"/>
      <c r="U63" s="1251"/>
      <c r="V63" s="1251"/>
      <c r="W63" s="1251"/>
      <c r="X63" s="1251"/>
      <c r="Y63" s="1251"/>
      <c r="Z63" s="1251"/>
      <c r="AA63" s="1251"/>
      <c r="AB63" s="1251"/>
      <c r="AC63" s="1251"/>
      <c r="AD63" s="1251"/>
      <c r="AE63" s="1251"/>
    </row>
    <row r="64" ht="21" spans="1:31">
      <c r="A64" s="1291" t="s">
        <v>1528</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1640</v>
      </c>
      <c r="B65" s="1390"/>
      <c r="C65" s="1391" t="str">
        <f>YEAR(C63)&amp;"-"&amp;ROUNDUP(MONTH(C63)/3,0)</f>
        <v>2024-3</v>
      </c>
      <c r="D65" s="1391" t="str">
        <f t="shared" ref="D65:O65" si="19">YEAR(D63)&amp;"-"&amp;ROUNDUP(MONTH(D63)/3,0)</f>
        <v>2024-2</v>
      </c>
      <c r="E65" s="1391" t="str">
        <f t="shared" si="19"/>
        <v>2024-1</v>
      </c>
      <c r="F65" s="1391" t="str">
        <f t="shared" si="19"/>
        <v>2023-4</v>
      </c>
      <c r="G65" s="1391" t="str">
        <f t="shared" si="19"/>
        <v>2023-3</v>
      </c>
      <c r="H65" s="1391" t="str">
        <f t="shared" si="19"/>
        <v>2023-2</v>
      </c>
      <c r="I65" s="1391" t="str">
        <f t="shared" si="19"/>
        <v>2023-1</v>
      </c>
      <c r="J65" s="1391" t="str">
        <f t="shared" si="19"/>
        <v>2022-4</v>
      </c>
      <c r="K65" s="1391" t="str">
        <f t="shared" si="19"/>
        <v>2022-3</v>
      </c>
      <c r="L65" s="1391" t="str">
        <f t="shared" si="19"/>
        <v>2022-2</v>
      </c>
      <c r="M65" s="1391" t="str">
        <f t="shared" si="19"/>
        <v>2022-1</v>
      </c>
      <c r="N65" s="1391" t="str">
        <f t="shared" si="19"/>
        <v>2021-4</v>
      </c>
      <c r="O65" s="1391" t="str">
        <f t="shared" si="19"/>
        <v>2021-3</v>
      </c>
      <c r="P65" s="1443"/>
      <c r="Q65" s="1497"/>
      <c r="R65" s="1497"/>
      <c r="S65" s="1497"/>
      <c r="T65" s="1497"/>
      <c r="U65" s="1497"/>
      <c r="V65" s="1497"/>
      <c r="W65" s="1497"/>
      <c r="X65" s="1497"/>
      <c r="Y65" s="1497"/>
      <c r="Z65" s="1497"/>
      <c r="AA65" s="1497"/>
      <c r="AB65" s="1497"/>
      <c r="AC65" s="1497"/>
      <c r="AD65" s="1497"/>
      <c r="AE65" s="1497"/>
    </row>
    <row r="66" s="1123" customFormat="1" ht="30.75" customHeight="1" spans="1:31">
      <c r="A66" s="1392" t="s">
        <v>1651</v>
      </c>
      <c r="B66" s="1393" t="str">
        <f>"北京市平均增长率"&amp;TEXT(基准地价修正!P28,"0.00%")</f>
        <v>北京市平均增长率0.00%</v>
      </c>
      <c r="C66" s="878">
        <v>100</v>
      </c>
      <c r="D66" s="1394">
        <f>C66-$C$67</f>
        <v>100</v>
      </c>
      <c r="E66" s="1394">
        <f t="shared" ref="E66:O66" si="20">D66-$C$67</f>
        <v>100</v>
      </c>
      <c r="F66" s="1394">
        <f t="shared" si="20"/>
        <v>100</v>
      </c>
      <c r="G66" s="1394">
        <f t="shared" si="20"/>
        <v>100</v>
      </c>
      <c r="H66" s="1394">
        <f t="shared" si="20"/>
        <v>100</v>
      </c>
      <c r="I66" s="1394">
        <f t="shared" si="20"/>
        <v>100</v>
      </c>
      <c r="J66" s="1394">
        <f t="shared" si="20"/>
        <v>100</v>
      </c>
      <c r="K66" s="1394">
        <f t="shared" si="20"/>
        <v>100</v>
      </c>
      <c r="L66" s="1394">
        <f t="shared" si="20"/>
        <v>100</v>
      </c>
      <c r="M66" s="1394">
        <f t="shared" si="20"/>
        <v>100</v>
      </c>
      <c r="N66" s="1394">
        <f t="shared" si="20"/>
        <v>100</v>
      </c>
      <c r="O66" s="1394">
        <f t="shared" si="20"/>
        <v>100</v>
      </c>
      <c r="P66" s="1378"/>
      <c r="Q66" s="1498"/>
      <c r="R66" s="1498"/>
      <c r="S66" s="1498"/>
      <c r="T66" s="1498"/>
      <c r="U66" s="1498"/>
      <c r="V66" s="1498"/>
      <c r="W66" s="1498"/>
      <c r="X66" s="1498"/>
      <c r="Y66" s="1498"/>
      <c r="Z66" s="1498"/>
      <c r="AA66" s="1498"/>
      <c r="AB66" s="1498"/>
      <c r="AC66" s="1498"/>
      <c r="AD66" s="1498"/>
      <c r="AE66" s="1498"/>
    </row>
    <row r="67" s="1123" customFormat="1" ht="15.75" spans="1:31">
      <c r="A67" s="1395" t="s">
        <v>1529</v>
      </c>
      <c r="B67" s="1396"/>
      <c r="C67" s="1397">
        <v>0</v>
      </c>
      <c r="D67" s="1398"/>
      <c r="E67" s="1398"/>
      <c r="F67" s="1398"/>
      <c r="G67" s="1398"/>
      <c r="H67" s="1398"/>
      <c r="I67" s="1398"/>
      <c r="J67" s="1398"/>
      <c r="K67" s="1398"/>
      <c r="L67" s="1398"/>
      <c r="M67" s="1444"/>
      <c r="N67" s="1444"/>
      <c r="O67" s="1445"/>
      <c r="P67" s="1378"/>
      <c r="Q67" s="1378"/>
      <c r="R67" s="1498"/>
      <c r="S67" s="1498"/>
      <c r="T67" s="1498"/>
      <c r="U67" s="1498"/>
      <c r="V67" s="1498"/>
      <c r="W67" s="1498"/>
      <c r="X67" s="1498"/>
      <c r="Y67" s="1498"/>
      <c r="Z67" s="1498"/>
      <c r="AA67" s="1498"/>
      <c r="AB67" s="1498"/>
      <c r="AC67" s="1498"/>
      <c r="AD67" s="1498"/>
      <c r="AE67" s="1498"/>
    </row>
    <row r="68" s="1123" customFormat="1" ht="15" spans="1:31">
      <c r="A68" s="1399" t="s">
        <v>1491</v>
      </c>
      <c r="B68" s="1400"/>
      <c r="C68" s="1401" t="s">
        <v>1530</v>
      </c>
      <c r="D68" s="1402"/>
      <c r="E68" s="1402"/>
      <c r="F68" s="1402"/>
      <c r="G68" s="1402"/>
      <c r="H68" s="1402"/>
      <c r="I68" s="1402"/>
      <c r="J68" s="1402"/>
      <c r="K68" s="1402"/>
      <c r="L68" s="1446"/>
      <c r="M68" s="1447"/>
      <c r="N68" s="1448"/>
      <c r="O68" s="1448"/>
      <c r="P68" s="1449"/>
      <c r="Q68" s="1378"/>
      <c r="R68" s="1498"/>
      <c r="S68" s="1498"/>
      <c r="T68" s="1498"/>
      <c r="U68" s="1498"/>
      <c r="V68" s="1498"/>
      <c r="W68" s="1498"/>
      <c r="X68" s="1498"/>
      <c r="Y68" s="1498"/>
      <c r="Z68" s="1498"/>
      <c r="AA68" s="1498"/>
      <c r="AB68" s="1498"/>
      <c r="AC68" s="1498"/>
      <c r="AD68" s="1498"/>
      <c r="AE68" s="1498"/>
    </row>
    <row r="69" s="1123" customFormat="1" ht="15.75" spans="1:31">
      <c r="A69" s="1399"/>
      <c r="B69" s="1400"/>
      <c r="C69" s="1403">
        <v>100</v>
      </c>
      <c r="D69" s="1404"/>
      <c r="E69" s="1404"/>
      <c r="F69" s="1404"/>
      <c r="G69" s="1404"/>
      <c r="H69" s="1404"/>
      <c r="I69" s="1404"/>
      <c r="J69" s="1404"/>
      <c r="K69" s="1404"/>
      <c r="L69" s="1404"/>
      <c r="M69" s="1450"/>
      <c r="N69" s="1448"/>
      <c r="O69" s="1448"/>
      <c r="P69" s="1378"/>
      <c r="Q69" s="1378"/>
      <c r="R69" s="1498"/>
      <c r="S69" s="1498"/>
      <c r="T69" s="1498"/>
      <c r="U69" s="1498"/>
      <c r="V69" s="1498"/>
      <c r="W69" s="1498"/>
      <c r="X69" s="1498"/>
      <c r="Y69" s="1498"/>
      <c r="Z69" s="1498"/>
      <c r="AA69" s="1498"/>
      <c r="AB69" s="1498"/>
      <c r="AC69" s="1498"/>
      <c r="AD69" s="1498"/>
      <c r="AE69" s="1498"/>
    </row>
    <row r="70" spans="1:31">
      <c r="A70" s="1405" t="s">
        <v>1531</v>
      </c>
      <c r="B70" s="1406" t="s">
        <v>1494</v>
      </c>
      <c r="C70" s="1333"/>
      <c r="D70" s="1333"/>
      <c r="E70" s="1333"/>
      <c r="F70" s="1333"/>
      <c r="G70" s="1333"/>
      <c r="H70" s="1333"/>
      <c r="I70" s="1333"/>
      <c r="J70" s="1333"/>
      <c r="K70" s="1451"/>
      <c r="L70" s="1452"/>
      <c r="M70" s="1453"/>
      <c r="N70" s="1454"/>
      <c r="O70" s="1454"/>
      <c r="P70" s="1455"/>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6"/>
      <c r="N71" s="1457"/>
      <c r="O71" s="1457"/>
      <c r="P71" s="1455"/>
      <c r="Q71" s="1378"/>
      <c r="R71" s="1251"/>
      <c r="S71" s="1251"/>
      <c r="T71" s="1251"/>
      <c r="U71" s="1251"/>
      <c r="V71" s="1251"/>
      <c r="W71" s="1251"/>
      <c r="X71" s="1251"/>
      <c r="Y71" s="1251"/>
      <c r="Z71" s="1251"/>
      <c r="AA71" s="1251"/>
      <c r="AB71" s="1251"/>
      <c r="AC71" s="1251"/>
      <c r="AD71" s="1251"/>
      <c r="AE71" s="1251"/>
    </row>
    <row r="72" ht="27.75" spans="1:31">
      <c r="A72" s="1407"/>
      <c r="B72" s="1410" t="s">
        <v>1497</v>
      </c>
      <c r="C72" s="1411"/>
      <c r="D72" s="1411"/>
      <c r="E72" s="1411"/>
      <c r="F72" s="1411"/>
      <c r="G72" s="1411"/>
      <c r="H72" s="1411"/>
      <c r="I72" s="1411"/>
      <c r="J72" s="1411"/>
      <c r="K72" s="1458"/>
      <c r="L72" s="1459"/>
      <c r="M72" s="1460"/>
      <c r="N72" s="1454"/>
      <c r="O72" s="1454"/>
      <c r="P72" s="1455"/>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1"/>
      <c r="N73" s="1457"/>
      <c r="O73" s="1457"/>
      <c r="P73" s="1455"/>
      <c r="Q73" s="1378"/>
      <c r="R73" s="1251"/>
      <c r="S73" s="1251"/>
      <c r="T73" s="1251"/>
      <c r="U73" s="1251"/>
      <c r="V73" s="1251"/>
      <c r="W73" s="1251"/>
      <c r="X73" s="1251"/>
      <c r="Y73" s="1251"/>
      <c r="Z73" s="1251"/>
      <c r="AA73" s="1251"/>
      <c r="AB73" s="1251"/>
      <c r="AC73" s="1251"/>
      <c r="AD73" s="1251"/>
      <c r="AE73" s="1251"/>
    </row>
    <row r="74" ht="15.75" spans="1:31">
      <c r="A74" s="1407"/>
      <c r="B74" s="1414" t="s">
        <v>1498</v>
      </c>
      <c r="C74" s="1415" t="str">
        <f>C75&amp;"（含）"&amp;"-"&amp;D75</f>
        <v>0（含）-2</v>
      </c>
      <c r="D74" s="1415" t="str">
        <f t="shared" ref="D74:L74" si="21">D75&amp;"（含）"&amp;"-"&amp;E75</f>
        <v>2（含）-4</v>
      </c>
      <c r="E74" s="1415" t="str">
        <f t="shared" si="21"/>
        <v>4（含）-6</v>
      </c>
      <c r="F74" s="1415" t="str">
        <f t="shared" si="21"/>
        <v>6（含）-8</v>
      </c>
      <c r="G74" s="1415" t="str">
        <f t="shared" si="21"/>
        <v>8（含）-</v>
      </c>
      <c r="H74" s="1415" t="str">
        <f t="shared" si="21"/>
        <v>（含）-</v>
      </c>
      <c r="I74" s="1415" t="str">
        <f t="shared" si="21"/>
        <v>（含）-</v>
      </c>
      <c r="J74" s="1415" t="str">
        <f t="shared" si="21"/>
        <v>（含）-</v>
      </c>
      <c r="K74" s="1415" t="str">
        <f t="shared" si="21"/>
        <v>（含）-</v>
      </c>
      <c r="L74" s="1415" t="str">
        <f t="shared" si="21"/>
        <v>（含）-</v>
      </c>
      <c r="M74" s="1197" t="str">
        <f>M75&amp;"（含）"&amp;"-"&amp;P75</f>
        <v>（含）-</v>
      </c>
      <c r="N74" s="1457"/>
      <c r="O74" s="1457"/>
      <c r="P74" s="1455"/>
      <c r="Q74" s="1378"/>
      <c r="R74" s="1251"/>
      <c r="S74" s="1251"/>
      <c r="T74" s="1251"/>
      <c r="U74" s="1251"/>
      <c r="V74" s="1251"/>
      <c r="W74" s="1251"/>
      <c r="X74" s="1251"/>
      <c r="Y74" s="1251"/>
      <c r="Z74" s="1251"/>
      <c r="AA74" s="1251"/>
      <c r="AB74" s="1251"/>
      <c r="AC74" s="1251"/>
      <c r="AD74" s="1251"/>
      <c r="AE74" s="1251"/>
    </row>
    <row r="75" ht="15" spans="1:31">
      <c r="A75" s="1407"/>
      <c r="B75" s="1416"/>
      <c r="C75" s="1182">
        <v>0</v>
      </c>
      <c r="D75" s="1182">
        <v>2</v>
      </c>
      <c r="E75" s="1182">
        <v>4</v>
      </c>
      <c r="F75" s="1182">
        <v>6</v>
      </c>
      <c r="G75" s="1182">
        <v>8</v>
      </c>
      <c r="H75" s="1182"/>
      <c r="I75" s="1182"/>
      <c r="J75" s="1182"/>
      <c r="K75" s="1462"/>
      <c r="L75" s="1463"/>
      <c r="M75" s="1464"/>
      <c r="N75" s="1454"/>
      <c r="O75" s="1454"/>
      <c r="P75" s="1455"/>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98</v>
      </c>
      <c r="E76" s="1413">
        <f t="shared" ref="E76:M76" si="22">IF($B$41="单位面积地价",D76+$K11,D76-$K11)</f>
        <v>96</v>
      </c>
      <c r="F76" s="1413">
        <f t="shared" si="22"/>
        <v>94</v>
      </c>
      <c r="G76" s="1413">
        <f t="shared" si="22"/>
        <v>92</v>
      </c>
      <c r="H76" s="1413">
        <f t="shared" si="22"/>
        <v>90</v>
      </c>
      <c r="I76" s="1413">
        <f t="shared" si="22"/>
        <v>88</v>
      </c>
      <c r="J76" s="1413">
        <f t="shared" si="22"/>
        <v>86</v>
      </c>
      <c r="K76" s="1413">
        <f t="shared" si="22"/>
        <v>84</v>
      </c>
      <c r="L76" s="1413">
        <f t="shared" si="22"/>
        <v>82</v>
      </c>
      <c r="M76" s="1413">
        <f t="shared" si="22"/>
        <v>80</v>
      </c>
      <c r="N76" s="1457"/>
      <c r="O76" s="1457"/>
      <c r="P76" s="1455"/>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5"/>
      <c r="M77" s="1466"/>
      <c r="N77" s="1467"/>
      <c r="O77" s="1467"/>
      <c r="P77" s="1468"/>
      <c r="Q77" s="1499"/>
      <c r="R77" s="1500"/>
      <c r="S77" s="1500"/>
      <c r="T77" s="1500"/>
      <c r="U77" s="1500"/>
      <c r="V77" s="1500"/>
      <c r="W77" s="1500"/>
      <c r="X77" s="1500"/>
      <c r="Y77" s="1500"/>
      <c r="Z77" s="1500"/>
      <c r="AA77" s="1500"/>
      <c r="AB77" s="1500"/>
      <c r="AC77" s="1500"/>
      <c r="AD77" s="1500"/>
      <c r="AE77" s="1500"/>
    </row>
    <row r="78" s="1125" customFormat="1" ht="15.75" spans="1:31">
      <c r="A78" s="1417"/>
      <c r="B78" s="1412"/>
      <c r="C78" s="1420"/>
      <c r="D78" s="1409"/>
      <c r="E78" s="1409"/>
      <c r="F78" s="1409"/>
      <c r="G78" s="1409"/>
      <c r="H78" s="1409"/>
      <c r="I78" s="1409"/>
      <c r="J78" s="1409"/>
      <c r="K78" s="1409"/>
      <c r="L78" s="1409"/>
      <c r="M78" s="1456"/>
      <c r="N78" s="1457"/>
      <c r="O78" s="1457"/>
      <c r="P78" s="1468"/>
      <c r="Q78" s="1499"/>
      <c r="R78" s="1500"/>
      <c r="S78" s="1500"/>
      <c r="T78" s="1500"/>
      <c r="U78" s="1500"/>
      <c r="V78" s="1500"/>
      <c r="W78" s="1500"/>
      <c r="X78" s="1500"/>
      <c r="Y78" s="1500"/>
      <c r="Z78" s="1500"/>
      <c r="AA78" s="1500"/>
      <c r="AB78" s="1500"/>
      <c r="AC78" s="1500"/>
      <c r="AD78" s="1500"/>
      <c r="AE78" s="1500"/>
    </row>
    <row r="79" s="1125" customFormat="1" ht="15.75" spans="1:31">
      <c r="A79" s="1417"/>
      <c r="B79" s="1410">
        <f>B13</f>
        <v>111</v>
      </c>
      <c r="C79" s="1418"/>
      <c r="D79" s="1418"/>
      <c r="E79" s="1418"/>
      <c r="F79" s="1418"/>
      <c r="G79" s="1418"/>
      <c r="H79" s="1419"/>
      <c r="I79" s="1419"/>
      <c r="J79" s="1419"/>
      <c r="K79" s="1419"/>
      <c r="L79" s="1465"/>
      <c r="M79" s="1466"/>
      <c r="N79" s="1467"/>
      <c r="O79" s="1467"/>
      <c r="P79" s="1330"/>
      <c r="Q79" s="1501"/>
      <c r="R79" s="1500"/>
      <c r="S79" s="1500"/>
      <c r="T79" s="1500"/>
      <c r="U79" s="1500"/>
      <c r="V79" s="1500"/>
      <c r="W79" s="1500"/>
      <c r="X79" s="1500"/>
      <c r="Y79" s="1500"/>
      <c r="Z79" s="1500"/>
      <c r="AA79" s="1500"/>
      <c r="AB79" s="1500"/>
      <c r="AC79" s="1500"/>
      <c r="AD79" s="1500"/>
      <c r="AE79" s="1500"/>
    </row>
    <row r="80" s="1125" customFormat="1" ht="15.75" spans="1:31">
      <c r="A80" s="1417"/>
      <c r="B80" s="1412"/>
      <c r="C80" s="1420"/>
      <c r="D80" s="1420"/>
      <c r="E80" s="1420"/>
      <c r="F80" s="1420"/>
      <c r="G80" s="1420"/>
      <c r="H80" s="1421"/>
      <c r="I80" s="1421"/>
      <c r="J80" s="1421"/>
      <c r="K80" s="1421"/>
      <c r="L80" s="1421"/>
      <c r="M80" s="1469"/>
      <c r="N80" s="1467"/>
      <c r="O80" s="1467"/>
      <c r="P80" s="1468"/>
      <c r="Q80" s="1499"/>
      <c r="R80" s="1500"/>
      <c r="S80" s="1500"/>
      <c r="T80" s="1500"/>
      <c r="U80" s="1500"/>
      <c r="V80" s="1500"/>
      <c r="W80" s="1500"/>
      <c r="X80" s="1500"/>
      <c r="Y80" s="1500"/>
      <c r="Z80" s="1500"/>
      <c r="AA80" s="1500"/>
      <c r="AB80" s="1500"/>
      <c r="AC80" s="1500"/>
      <c r="AD80" s="1500"/>
      <c r="AE80" s="1500"/>
    </row>
    <row r="81" s="1125" customFormat="1" ht="15.75" spans="1:31">
      <c r="A81" s="1417"/>
      <c r="B81" s="1414">
        <f>B14</f>
        <v>111</v>
      </c>
      <c r="C81" s="1402"/>
      <c r="D81" s="1402"/>
      <c r="E81" s="1402"/>
      <c r="F81" s="1402"/>
      <c r="G81" s="1402"/>
      <c r="H81" s="1422"/>
      <c r="I81" s="1422"/>
      <c r="J81" s="1422"/>
      <c r="K81" s="1422"/>
      <c r="L81" s="1470"/>
      <c r="M81" s="1471"/>
      <c r="N81" s="1467"/>
      <c r="O81" s="1467"/>
      <c r="P81" s="1472"/>
      <c r="Q81" s="1499"/>
      <c r="R81" s="1500"/>
      <c r="S81" s="1500"/>
      <c r="T81" s="1500"/>
      <c r="U81" s="1500"/>
      <c r="V81" s="1500"/>
      <c r="W81" s="1500"/>
      <c r="X81" s="1500"/>
      <c r="Y81" s="1500"/>
      <c r="Z81" s="1500"/>
      <c r="AA81" s="1500"/>
      <c r="AB81" s="1500"/>
      <c r="AC81" s="1500"/>
      <c r="AD81" s="1500"/>
      <c r="AE81" s="1500"/>
    </row>
    <row r="82" s="1125" customFormat="1" ht="15.75" spans="1:31">
      <c r="A82" s="1423"/>
      <c r="B82" s="1424"/>
      <c r="C82" s="1425"/>
      <c r="D82" s="1425"/>
      <c r="E82" s="1425"/>
      <c r="F82" s="1425"/>
      <c r="G82" s="1425"/>
      <c r="H82" s="1426"/>
      <c r="I82" s="1426"/>
      <c r="J82" s="1426"/>
      <c r="K82" s="1426"/>
      <c r="L82" s="1426"/>
      <c r="M82" s="1473"/>
      <c r="N82" s="1467"/>
      <c r="O82" s="1467"/>
      <c r="P82" s="1468"/>
      <c r="Q82" s="1499"/>
      <c r="R82" s="1500"/>
      <c r="S82" s="1500"/>
      <c r="T82" s="1500"/>
      <c r="U82" s="1500"/>
      <c r="V82" s="1500"/>
      <c r="W82" s="1500"/>
      <c r="X82" s="1500"/>
      <c r="Y82" s="1500"/>
      <c r="Z82" s="1500"/>
      <c r="AA82" s="1500"/>
      <c r="AB82" s="1500"/>
      <c r="AC82" s="1500"/>
      <c r="AD82" s="1500"/>
      <c r="AE82" s="1500"/>
    </row>
    <row r="83" spans="1:31">
      <c r="A83" s="1405" t="s">
        <v>1499</v>
      </c>
      <c r="B83" s="1406" t="s">
        <v>1582</v>
      </c>
      <c r="C83" s="1427" t="s">
        <v>1532</v>
      </c>
      <c r="D83" s="1427" t="s">
        <v>1533</v>
      </c>
      <c r="E83" s="1427" t="s">
        <v>1534</v>
      </c>
      <c r="F83" s="1427" t="s">
        <v>1535</v>
      </c>
      <c r="G83" s="1427" t="s">
        <v>1536</v>
      </c>
      <c r="H83" s="1428"/>
      <c r="I83" s="1428"/>
      <c r="J83" s="1428"/>
      <c r="K83" s="1474"/>
      <c r="L83" s="1475"/>
      <c r="M83" s="1476"/>
      <c r="N83" s="1454"/>
      <c r="O83" s="1454"/>
      <c r="P83" s="1477"/>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1"/>
      <c r="N84" s="1457"/>
      <c r="O84" s="1457"/>
      <c r="P84" s="1455"/>
      <c r="Q84" s="1378"/>
      <c r="R84" s="1251"/>
      <c r="S84" s="1251"/>
      <c r="T84" s="1251"/>
      <c r="U84" s="1251"/>
      <c r="V84" s="1251"/>
      <c r="W84" s="1251"/>
      <c r="X84" s="1251"/>
      <c r="Y84" s="1251"/>
      <c r="Z84" s="1251"/>
      <c r="AA84" s="1251"/>
      <c r="AB84" s="1251"/>
      <c r="AC84" s="1251"/>
      <c r="AD84" s="1251"/>
      <c r="AE84" s="1251"/>
    </row>
    <row r="85" ht="15.75" spans="1:31">
      <c r="A85" s="1407"/>
      <c r="B85" s="1410" t="s">
        <v>1502</v>
      </c>
      <c r="C85" s="1429" t="s">
        <v>1532</v>
      </c>
      <c r="D85" s="1429" t="s">
        <v>1533</v>
      </c>
      <c r="E85" s="1429" t="s">
        <v>1534</v>
      </c>
      <c r="F85" s="1429" t="s">
        <v>1535</v>
      </c>
      <c r="G85" s="1429" t="s">
        <v>1536</v>
      </c>
      <c r="H85" s="1411"/>
      <c r="I85" s="1411"/>
      <c r="J85" s="1411"/>
      <c r="K85" s="1458"/>
      <c r="L85" s="1459"/>
      <c r="M85" s="1460"/>
      <c r="N85" s="1454"/>
      <c r="O85" s="1454"/>
      <c r="P85" s="1455"/>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1"/>
      <c r="N86" s="1457"/>
      <c r="O86" s="1457"/>
      <c r="P86" s="1455"/>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1606</v>
      </c>
      <c r="C87" s="1427" t="s">
        <v>1532</v>
      </c>
      <c r="D87" s="1427" t="s">
        <v>1533</v>
      </c>
      <c r="E87" s="1427" t="s">
        <v>1534</v>
      </c>
      <c r="F87" s="1427" t="s">
        <v>1535</v>
      </c>
      <c r="G87" s="1427" t="s">
        <v>1536</v>
      </c>
      <c r="H87" s="1429"/>
      <c r="I87" s="1429"/>
      <c r="J87" s="1429"/>
      <c r="K87" s="1429"/>
      <c r="L87" s="1478"/>
      <c r="M87" s="1479"/>
      <c r="N87" s="1448"/>
      <c r="O87" s="1448"/>
      <c r="P87" s="1455"/>
      <c r="Q87" s="1378"/>
      <c r="R87" s="1498"/>
      <c r="S87" s="1498"/>
      <c r="T87" s="1498"/>
      <c r="U87" s="1498"/>
      <c r="V87" s="1498"/>
      <c r="W87" s="1498"/>
      <c r="X87" s="1498"/>
      <c r="Y87" s="1498"/>
      <c r="Z87" s="1498"/>
      <c r="AA87" s="1498"/>
      <c r="AB87" s="1498"/>
      <c r="AC87" s="1498"/>
      <c r="AD87" s="1498"/>
      <c r="AE87" s="1498"/>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1"/>
      <c r="N88" s="1457"/>
      <c r="O88" s="1457"/>
      <c r="P88" s="1455"/>
      <c r="Q88" s="1378"/>
      <c r="R88" s="1498"/>
      <c r="S88" s="1498"/>
      <c r="T88" s="1498"/>
      <c r="U88" s="1498"/>
      <c r="V88" s="1498"/>
      <c r="W88" s="1498"/>
      <c r="X88" s="1498"/>
      <c r="Y88" s="1498"/>
      <c r="Z88" s="1498"/>
      <c r="AA88" s="1498"/>
      <c r="AB88" s="1498"/>
      <c r="AC88" s="1498"/>
      <c r="AD88" s="1498"/>
      <c r="AE88" s="1498"/>
    </row>
    <row r="89" s="1123" customFormat="1" ht="27.75" spans="1:31">
      <c r="A89" s="1430"/>
      <c r="B89" s="1410" t="s">
        <v>1607</v>
      </c>
      <c r="C89" s="1427" t="s">
        <v>1532</v>
      </c>
      <c r="D89" s="1427" t="s">
        <v>1533</v>
      </c>
      <c r="E89" s="1427" t="s">
        <v>1534</v>
      </c>
      <c r="F89" s="1427" t="s">
        <v>1535</v>
      </c>
      <c r="G89" s="1427" t="s">
        <v>1536</v>
      </c>
      <c r="H89" s="1429"/>
      <c r="I89" s="1429"/>
      <c r="J89" s="1429"/>
      <c r="K89" s="1429"/>
      <c r="L89" s="1429"/>
      <c r="M89" s="1479"/>
      <c r="N89" s="1448"/>
      <c r="O89" s="1448"/>
      <c r="P89" s="1455"/>
      <c r="Q89" s="1378"/>
      <c r="R89" s="1498"/>
      <c r="S89" s="1498"/>
      <c r="T89" s="1498"/>
      <c r="U89" s="1498"/>
      <c r="V89" s="1498"/>
      <c r="W89" s="1498"/>
      <c r="X89" s="1498"/>
      <c r="Y89" s="1498"/>
      <c r="Z89" s="1498"/>
      <c r="AA89" s="1498"/>
      <c r="AB89" s="1498"/>
      <c r="AC89" s="1498"/>
      <c r="AD89" s="1498"/>
      <c r="AE89" s="1498"/>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1"/>
      <c r="N90" s="1457"/>
      <c r="O90" s="1457"/>
      <c r="P90" s="1455"/>
      <c r="Q90" s="1378"/>
      <c r="R90" s="1498"/>
      <c r="S90" s="1498"/>
      <c r="T90" s="1498"/>
      <c r="U90" s="1498"/>
      <c r="V90" s="1498"/>
      <c r="W90" s="1498"/>
      <c r="X90" s="1498"/>
      <c r="Y90" s="1498"/>
      <c r="Z90" s="1498"/>
      <c r="AA90" s="1498"/>
      <c r="AB90" s="1498"/>
      <c r="AC90" s="1498"/>
      <c r="AD90" s="1498"/>
      <c r="AE90" s="1498"/>
    </row>
    <row r="91" s="1125" customFormat="1" ht="15.75" spans="1:31">
      <c r="A91" s="1417"/>
      <c r="B91" s="1410" t="s">
        <v>1503</v>
      </c>
      <c r="C91" s="1427" t="s">
        <v>1532</v>
      </c>
      <c r="D91" s="1427" t="s">
        <v>1533</v>
      </c>
      <c r="E91" s="1427" t="s">
        <v>1534</v>
      </c>
      <c r="F91" s="1427" t="s">
        <v>1535</v>
      </c>
      <c r="G91" s="1427" t="s">
        <v>1536</v>
      </c>
      <c r="H91" s="1432"/>
      <c r="I91" s="1432"/>
      <c r="J91" s="1432"/>
      <c r="K91" s="1432"/>
      <c r="L91" s="1480"/>
      <c r="M91" s="1481"/>
      <c r="N91" s="1467"/>
      <c r="O91" s="1467"/>
      <c r="P91" s="1468"/>
      <c r="Q91" s="1499"/>
      <c r="R91" s="1500"/>
      <c r="S91" s="1500"/>
      <c r="T91" s="1500"/>
      <c r="U91" s="1500"/>
      <c r="V91" s="1500"/>
      <c r="W91" s="1500"/>
      <c r="X91" s="1500"/>
      <c r="Y91" s="1500"/>
      <c r="Z91" s="1500"/>
      <c r="AA91" s="1500"/>
      <c r="AB91" s="1500"/>
      <c r="AC91" s="1500"/>
      <c r="AD91" s="1500"/>
      <c r="AE91" s="1500"/>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2"/>
      <c r="N92" s="1467"/>
      <c r="O92" s="1467"/>
      <c r="P92" s="1468"/>
      <c r="Q92" s="1499"/>
      <c r="R92" s="1500"/>
      <c r="S92" s="1500"/>
      <c r="T92" s="1500"/>
      <c r="U92" s="1500"/>
      <c r="V92" s="1500"/>
      <c r="W92" s="1500"/>
      <c r="X92" s="1500"/>
      <c r="Y92" s="1500"/>
      <c r="Z92" s="1500"/>
      <c r="AA92" s="1500"/>
      <c r="AB92" s="1500"/>
      <c r="AC92" s="1500"/>
      <c r="AD92" s="1500"/>
      <c r="AE92" s="1500"/>
    </row>
    <row r="93" s="1125" customFormat="1" ht="15.75" spans="1:31">
      <c r="A93" s="1417"/>
      <c r="B93" s="1414" t="s">
        <v>1504</v>
      </c>
      <c r="C93" s="1434" t="s">
        <v>1537</v>
      </c>
      <c r="D93" s="1434" t="s">
        <v>1538</v>
      </c>
      <c r="E93" s="1434" t="s">
        <v>1539</v>
      </c>
      <c r="F93" s="1434" t="s">
        <v>1540</v>
      </c>
      <c r="G93" s="1434" t="s">
        <v>1541</v>
      </c>
      <c r="H93" s="1432"/>
      <c r="I93" s="1432"/>
      <c r="J93" s="1432"/>
      <c r="K93" s="1432"/>
      <c r="L93" s="1432"/>
      <c r="M93" s="1481"/>
      <c r="N93" s="1467"/>
      <c r="O93" s="1467"/>
      <c r="P93" s="1468"/>
      <c r="Q93" s="1499"/>
      <c r="R93" s="1500"/>
      <c r="S93" s="1500"/>
      <c r="T93" s="1500"/>
      <c r="U93" s="1500"/>
      <c r="V93" s="1500"/>
      <c r="W93" s="1500"/>
      <c r="X93" s="1500"/>
      <c r="Y93" s="1500"/>
      <c r="Z93" s="1500"/>
      <c r="AA93" s="1500"/>
      <c r="AB93" s="1500"/>
      <c r="AC93" s="1500"/>
      <c r="AD93" s="1500"/>
      <c r="AE93" s="1500"/>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3"/>
      <c r="N94" s="1467"/>
      <c r="O94" s="1467"/>
      <c r="P94" s="1468"/>
      <c r="Q94" s="1499"/>
      <c r="R94" s="1500"/>
      <c r="S94" s="1500"/>
      <c r="T94" s="1500"/>
      <c r="U94" s="1500"/>
      <c r="V94" s="1500"/>
      <c r="W94" s="1500"/>
      <c r="X94" s="1500"/>
      <c r="Y94" s="1500"/>
      <c r="Z94" s="1500"/>
      <c r="AA94" s="1500"/>
      <c r="AB94" s="1500"/>
      <c r="AC94" s="1500"/>
      <c r="AD94" s="1500"/>
      <c r="AE94" s="1500"/>
    </row>
    <row r="95" ht="15.75" spans="1:31">
      <c r="A95" s="1407"/>
      <c r="B95" s="1410" t="str">
        <f>B27</f>
        <v>临街状况</v>
      </c>
      <c r="C95" s="1411" t="s">
        <v>1642</v>
      </c>
      <c r="D95" s="1411" t="s">
        <v>1643</v>
      </c>
      <c r="E95" s="1411" t="s">
        <v>1644</v>
      </c>
      <c r="F95" s="1411" t="s">
        <v>1645</v>
      </c>
      <c r="G95" s="1411"/>
      <c r="H95" s="1411"/>
      <c r="I95" s="1411"/>
      <c r="J95" s="1411"/>
      <c r="K95" s="1458"/>
      <c r="L95" s="1459"/>
      <c r="M95" s="1460"/>
      <c r="N95" s="1454"/>
      <c r="O95" s="1454"/>
      <c r="P95" s="1455"/>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3">C96-$K27</f>
        <v>100</v>
      </c>
      <c r="E96" s="1413">
        <f t="shared" si="23"/>
        <v>100</v>
      </c>
      <c r="F96" s="1413">
        <f t="shared" si="23"/>
        <v>100</v>
      </c>
      <c r="G96" s="1413">
        <f t="shared" si="23"/>
        <v>100</v>
      </c>
      <c r="H96" s="1413">
        <f t="shared" si="23"/>
        <v>100</v>
      </c>
      <c r="I96" s="1413">
        <f t="shared" si="23"/>
        <v>100</v>
      </c>
      <c r="J96" s="1413">
        <f t="shared" si="23"/>
        <v>100</v>
      </c>
      <c r="K96" s="1413">
        <f t="shared" si="23"/>
        <v>100</v>
      </c>
      <c r="L96" s="1413">
        <f t="shared" si="23"/>
        <v>100</v>
      </c>
      <c r="M96" s="1413">
        <f t="shared" si="23"/>
        <v>100</v>
      </c>
      <c r="N96" s="1457"/>
      <c r="O96" s="1457"/>
      <c r="P96" s="1455"/>
      <c r="Q96" s="1378"/>
      <c r="R96" s="1251"/>
      <c r="S96" s="1251"/>
      <c r="T96" s="1251"/>
      <c r="U96" s="1251"/>
      <c r="V96" s="1251"/>
      <c r="W96" s="1251"/>
      <c r="X96" s="1251"/>
      <c r="Y96" s="1251"/>
      <c r="Z96" s="1251"/>
      <c r="AA96" s="1251"/>
      <c r="AB96" s="1251"/>
      <c r="AC96" s="1251"/>
      <c r="AD96" s="1251"/>
      <c r="AE96" s="1251"/>
    </row>
    <row r="97" ht="27.75" spans="1:31">
      <c r="A97" s="1407"/>
      <c r="B97" s="1410" t="s">
        <v>1577</v>
      </c>
      <c r="C97" s="1418"/>
      <c r="D97" s="1418"/>
      <c r="E97" s="1418"/>
      <c r="F97" s="1418"/>
      <c r="G97" s="1418"/>
      <c r="H97" s="1435"/>
      <c r="I97" s="1435"/>
      <c r="J97" s="1435"/>
      <c r="K97" s="1484"/>
      <c r="L97" s="1485"/>
      <c r="M97" s="1486"/>
      <c r="N97" s="1454"/>
      <c r="O97" s="1454"/>
      <c r="P97" s="1455"/>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4">C98-$K28</f>
        <v>100</v>
      </c>
      <c r="E98" s="1413">
        <f t="shared" si="24"/>
        <v>100</v>
      </c>
      <c r="F98" s="1413">
        <f t="shared" si="24"/>
        <v>100</v>
      </c>
      <c r="G98" s="1413">
        <f t="shared" si="24"/>
        <v>100</v>
      </c>
      <c r="H98" s="1413">
        <f t="shared" si="24"/>
        <v>100</v>
      </c>
      <c r="I98" s="1413">
        <f t="shared" si="24"/>
        <v>100</v>
      </c>
      <c r="J98" s="1413">
        <f t="shared" si="24"/>
        <v>100</v>
      </c>
      <c r="K98" s="1413">
        <f t="shared" si="24"/>
        <v>100</v>
      </c>
      <c r="L98" s="1413">
        <f t="shared" si="24"/>
        <v>100</v>
      </c>
      <c r="M98" s="1413">
        <f t="shared" si="24"/>
        <v>100</v>
      </c>
      <c r="N98" s="1457"/>
      <c r="O98" s="1457"/>
      <c r="P98" s="1455"/>
      <c r="Q98" s="1378"/>
      <c r="R98" s="1251"/>
      <c r="S98" s="1251"/>
      <c r="T98" s="1251"/>
      <c r="U98" s="1251"/>
      <c r="V98" s="1251"/>
      <c r="W98" s="1251"/>
      <c r="X98" s="1251"/>
      <c r="Y98" s="1251"/>
      <c r="Z98" s="1251"/>
      <c r="AA98" s="1251"/>
      <c r="AB98" s="1251"/>
      <c r="AC98" s="1251"/>
      <c r="AD98" s="1251"/>
      <c r="AE98" s="1251"/>
    </row>
    <row r="99" ht="15.75" spans="1:31">
      <c r="A99" s="1407"/>
      <c r="B99" s="1410" t="s">
        <v>1608</v>
      </c>
      <c r="C99" s="1435"/>
      <c r="D99" s="1435"/>
      <c r="E99" s="1435"/>
      <c r="F99" s="1435"/>
      <c r="G99" s="1435"/>
      <c r="H99" s="1435"/>
      <c r="I99" s="1435"/>
      <c r="J99" s="1435"/>
      <c r="K99" s="1484"/>
      <c r="L99" s="1485"/>
      <c r="M99" s="1486"/>
      <c r="N99" s="1454"/>
      <c r="O99" s="1454"/>
      <c r="P99" s="1455"/>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5">C100-$K30</f>
        <v>100</v>
      </c>
      <c r="E100" s="1413">
        <f t="shared" si="25"/>
        <v>100</v>
      </c>
      <c r="F100" s="1413">
        <f t="shared" si="25"/>
        <v>100</v>
      </c>
      <c r="G100" s="1413">
        <f t="shared" si="25"/>
        <v>100</v>
      </c>
      <c r="H100" s="1413">
        <f t="shared" si="25"/>
        <v>100</v>
      </c>
      <c r="I100" s="1413">
        <f t="shared" si="25"/>
        <v>100</v>
      </c>
      <c r="J100" s="1413">
        <f t="shared" si="25"/>
        <v>100</v>
      </c>
      <c r="K100" s="1413">
        <f t="shared" si="25"/>
        <v>100</v>
      </c>
      <c r="L100" s="1413">
        <f t="shared" si="25"/>
        <v>100</v>
      </c>
      <c r="M100" s="1413">
        <f t="shared" si="25"/>
        <v>100</v>
      </c>
      <c r="N100" s="1457"/>
      <c r="O100" s="1457"/>
      <c r="P100" s="1455"/>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7"/>
      <c r="L101" s="1488"/>
      <c r="M101" s="1489"/>
      <c r="N101" s="1454"/>
      <c r="O101" s="1454"/>
      <c r="P101" s="1455"/>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0"/>
      <c r="N102" s="1457"/>
      <c r="O102" s="1457"/>
      <c r="P102" s="1455"/>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4"/>
      <c r="L103" s="1485"/>
      <c r="M103" s="1486"/>
      <c r="N103" s="1454"/>
      <c r="O103" s="1454"/>
      <c r="P103" s="1455"/>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6"/>
      <c r="N104" s="1457"/>
      <c r="O104" s="1457"/>
      <c r="P104" s="1455"/>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1"/>
      <c r="K105" s="1491"/>
      <c r="L105" s="1492"/>
      <c r="M105" s="1493"/>
      <c r="N105" s="1467"/>
      <c r="O105" s="1467"/>
      <c r="P105" s="1468"/>
      <c r="Q105" s="1499"/>
      <c r="R105" s="1500"/>
      <c r="S105" s="1500"/>
      <c r="T105" s="1500"/>
      <c r="U105" s="1500"/>
      <c r="V105" s="1500"/>
      <c r="W105" s="1500"/>
      <c r="X105" s="1500"/>
      <c r="Y105" s="1500"/>
      <c r="Z105" s="1500"/>
      <c r="AA105" s="1500"/>
      <c r="AB105" s="1500"/>
      <c r="AC105" s="1500"/>
      <c r="AD105" s="1500"/>
      <c r="AE105" s="1500"/>
    </row>
    <row r="106" s="1125" customFormat="1" ht="15.75" spans="1:31">
      <c r="A106" s="1417"/>
      <c r="B106" s="1414"/>
      <c r="C106" s="1425"/>
      <c r="D106" s="1425"/>
      <c r="E106" s="1425"/>
      <c r="F106" s="1425"/>
      <c r="G106" s="1440"/>
      <c r="H106" s="1440"/>
      <c r="I106" s="1440"/>
      <c r="J106" s="1440"/>
      <c r="K106" s="1440"/>
      <c r="L106" s="1440"/>
      <c r="M106" s="1494"/>
      <c r="N106" s="1457"/>
      <c r="O106" s="1457"/>
      <c r="P106" s="1468"/>
      <c r="Q106" s="1499"/>
      <c r="R106" s="1500"/>
      <c r="S106" s="1500"/>
      <c r="T106" s="1500"/>
      <c r="U106" s="1500"/>
      <c r="V106" s="1500"/>
      <c r="W106" s="1500"/>
      <c r="X106" s="1500"/>
      <c r="Y106" s="1500"/>
      <c r="Z106" s="1500"/>
      <c r="AA106" s="1500"/>
      <c r="AB106" s="1500"/>
      <c r="AC106" s="1500"/>
      <c r="AD106" s="1500"/>
      <c r="AE106" s="1500"/>
    </row>
    <row r="107" spans="1:31">
      <c r="A107" s="1405" t="s">
        <v>1508</v>
      </c>
      <c r="B107" s="1406" t="s">
        <v>1609</v>
      </c>
      <c r="C107" s="1428" t="str">
        <f t="shared" ref="C107:L107" si="26">C108&amp;"(含)"&amp;"-"&amp;D108</f>
        <v>0(含)-</v>
      </c>
      <c r="D107" s="1428" t="str">
        <f t="shared" si="26"/>
        <v>(含)-</v>
      </c>
      <c r="E107" s="1428" t="str">
        <f t="shared" si="26"/>
        <v>(含)-</v>
      </c>
      <c r="F107" s="1428" t="str">
        <f t="shared" si="26"/>
        <v>(含)-</v>
      </c>
      <c r="G107" s="1428" t="str">
        <f t="shared" si="26"/>
        <v>(含)-</v>
      </c>
      <c r="H107" s="1428" t="str">
        <f t="shared" si="26"/>
        <v>(含)-</v>
      </c>
      <c r="I107" s="1428" t="str">
        <f t="shared" si="26"/>
        <v>(含)-</v>
      </c>
      <c r="J107" s="1428" t="str">
        <f t="shared" si="26"/>
        <v>(含)-</v>
      </c>
      <c r="K107" s="1495" t="str">
        <f t="shared" si="26"/>
        <v>(含)-</v>
      </c>
      <c r="L107" s="1495" t="str">
        <f t="shared" si="26"/>
        <v>(含)-</v>
      </c>
      <c r="M107" s="1496" t="str">
        <f>M108&amp;"(含)"&amp;"-"&amp;P108</f>
        <v>(含)-</v>
      </c>
      <c r="N107" s="1454"/>
      <c r="O107" s="1454"/>
      <c r="P107" s="1455"/>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v>0</v>
      </c>
      <c r="D108" s="1394"/>
      <c r="E108" s="1394"/>
      <c r="F108" s="1394"/>
      <c r="G108" s="1394"/>
      <c r="H108" s="1394"/>
      <c r="I108" s="1394"/>
      <c r="J108" s="1491"/>
      <c r="K108" s="1491"/>
      <c r="L108" s="1492"/>
      <c r="M108" s="1493"/>
      <c r="N108" s="1454"/>
      <c r="O108" s="1454"/>
      <c r="P108" s="1455"/>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0"/>
      <c r="N109" s="1457"/>
      <c r="O109" s="1457"/>
      <c r="P109" s="1455"/>
      <c r="Q109" s="1378"/>
      <c r="R109" s="1251"/>
      <c r="S109" s="1251"/>
      <c r="T109" s="1251"/>
      <c r="U109" s="1251"/>
      <c r="V109" s="1251"/>
      <c r="W109" s="1251"/>
      <c r="X109" s="1251"/>
      <c r="Y109" s="1251"/>
      <c r="Z109" s="1251"/>
      <c r="AA109" s="1251"/>
      <c r="AB109" s="1251"/>
      <c r="AC109" s="1251"/>
      <c r="AD109" s="1251"/>
      <c r="AE109" s="1251"/>
    </row>
    <row r="110" ht="15.75" spans="1:31">
      <c r="A110" s="1441"/>
      <c r="B110" s="1410" t="s">
        <v>1610</v>
      </c>
      <c r="C110" s="1435"/>
      <c r="D110" s="1435"/>
      <c r="E110" s="1435"/>
      <c r="F110" s="1435"/>
      <c r="G110" s="1435"/>
      <c r="H110" s="1435"/>
      <c r="I110" s="1435"/>
      <c r="J110" s="1435"/>
      <c r="K110" s="1484"/>
      <c r="L110" s="1485"/>
      <c r="M110" s="1486"/>
      <c r="N110" s="1454"/>
      <c r="O110" s="1454"/>
      <c r="P110" s="1455"/>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7">C111-$K35</f>
        <v>100</v>
      </c>
      <c r="E111" s="1413">
        <f t="shared" si="27"/>
        <v>100</v>
      </c>
      <c r="F111" s="1413">
        <f t="shared" si="27"/>
        <v>100</v>
      </c>
      <c r="G111" s="1413">
        <f t="shared" si="27"/>
        <v>100</v>
      </c>
      <c r="H111" s="1413">
        <f t="shared" si="27"/>
        <v>100</v>
      </c>
      <c r="I111" s="1413">
        <f t="shared" si="27"/>
        <v>100</v>
      </c>
      <c r="J111" s="1413">
        <f t="shared" si="27"/>
        <v>100</v>
      </c>
      <c r="K111" s="1413">
        <f t="shared" si="27"/>
        <v>100</v>
      </c>
      <c r="L111" s="1413">
        <f t="shared" si="27"/>
        <v>100</v>
      </c>
      <c r="M111" s="1461">
        <f t="shared" si="27"/>
        <v>100</v>
      </c>
      <c r="N111" s="1457"/>
      <c r="O111" s="1457"/>
      <c r="P111" s="1455"/>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1612</v>
      </c>
      <c r="C112" s="1418"/>
      <c r="D112" s="1418"/>
      <c r="E112" s="1418"/>
      <c r="F112" s="1418"/>
      <c r="G112" s="1418"/>
      <c r="H112" s="1435"/>
      <c r="I112" s="1435"/>
      <c r="J112" s="1435"/>
      <c r="K112" s="1484"/>
      <c r="L112" s="1485"/>
      <c r="M112" s="1486"/>
      <c r="N112" s="1467"/>
      <c r="O112" s="1467"/>
      <c r="P112" s="1468"/>
      <c r="Q112" s="1499"/>
      <c r="R112" s="1500"/>
      <c r="S112" s="1500"/>
      <c r="T112" s="1500"/>
      <c r="U112" s="1500"/>
      <c r="V112" s="1500"/>
      <c r="W112" s="1500"/>
      <c r="X112" s="1500"/>
      <c r="Y112" s="1500"/>
      <c r="Z112" s="1500"/>
      <c r="AA112" s="1500"/>
      <c r="AB112" s="1500"/>
      <c r="AC112" s="1500"/>
      <c r="AD112" s="1500"/>
      <c r="AE112" s="1500"/>
    </row>
    <row r="113" s="1125" customFormat="1" ht="15.75" spans="1:31">
      <c r="A113" s="1417"/>
      <c r="B113" s="1412"/>
      <c r="C113" s="1413">
        <v>100</v>
      </c>
      <c r="D113" s="1413">
        <f t="shared" ref="D113:M113" si="28">C113-$K36</f>
        <v>100</v>
      </c>
      <c r="E113" s="1413">
        <f t="shared" si="28"/>
        <v>100</v>
      </c>
      <c r="F113" s="1413">
        <f t="shared" si="28"/>
        <v>100</v>
      </c>
      <c r="G113" s="1413">
        <f t="shared" si="28"/>
        <v>100</v>
      </c>
      <c r="H113" s="1413">
        <f t="shared" si="28"/>
        <v>100</v>
      </c>
      <c r="I113" s="1413">
        <f t="shared" si="28"/>
        <v>100</v>
      </c>
      <c r="J113" s="1413">
        <f t="shared" si="28"/>
        <v>100</v>
      </c>
      <c r="K113" s="1413">
        <f t="shared" si="28"/>
        <v>100</v>
      </c>
      <c r="L113" s="1413">
        <f t="shared" si="28"/>
        <v>100</v>
      </c>
      <c r="M113" s="1461">
        <f t="shared" si="28"/>
        <v>100</v>
      </c>
      <c r="N113" s="1467"/>
      <c r="O113" s="1467"/>
      <c r="P113" s="1468"/>
      <c r="Q113" s="1499"/>
      <c r="R113" s="1500"/>
      <c r="S113" s="1500"/>
      <c r="T113" s="1500"/>
      <c r="U113" s="1500"/>
      <c r="V113" s="1500"/>
      <c r="W113" s="1500"/>
      <c r="X113" s="1500"/>
      <c r="Y113" s="1500"/>
      <c r="Z113" s="1500"/>
      <c r="AA113" s="1500"/>
      <c r="AB113" s="1500"/>
      <c r="AC113" s="1500"/>
      <c r="AD113" s="1500"/>
      <c r="AE113" s="1500"/>
    </row>
    <row r="114" ht="15.75" spans="1:31">
      <c r="A114" s="1441"/>
      <c r="B114" s="1410" t="s">
        <v>1613</v>
      </c>
      <c r="C114" s="1418"/>
      <c r="D114" s="1418"/>
      <c r="E114" s="1435"/>
      <c r="F114" s="1435"/>
      <c r="G114" s="1435"/>
      <c r="H114" s="1435"/>
      <c r="I114" s="1435"/>
      <c r="J114" s="1435"/>
      <c r="K114" s="1484"/>
      <c r="L114" s="1485"/>
      <c r="M114" s="1486"/>
      <c r="N114" s="1454"/>
      <c r="O114" s="1454"/>
      <c r="P114" s="1455"/>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9">C115-$K37</f>
        <v>100</v>
      </c>
      <c r="E115" s="1413">
        <f t="shared" si="29"/>
        <v>100</v>
      </c>
      <c r="F115" s="1413">
        <f t="shared" si="29"/>
        <v>100</v>
      </c>
      <c r="G115" s="1413">
        <f t="shared" si="29"/>
        <v>100</v>
      </c>
      <c r="H115" s="1413">
        <f t="shared" si="29"/>
        <v>100</v>
      </c>
      <c r="I115" s="1413">
        <f t="shared" si="29"/>
        <v>100</v>
      </c>
      <c r="J115" s="1413">
        <f t="shared" si="29"/>
        <v>100</v>
      </c>
      <c r="K115" s="1413">
        <f t="shared" si="29"/>
        <v>100</v>
      </c>
      <c r="L115" s="1413">
        <f t="shared" si="29"/>
        <v>100</v>
      </c>
      <c r="M115" s="1461">
        <f t="shared" si="29"/>
        <v>100</v>
      </c>
      <c r="N115" s="1457"/>
      <c r="O115" s="1457"/>
      <c r="P115" s="1455"/>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4"/>
      <c r="L116" s="1485"/>
      <c r="M116" s="1486"/>
      <c r="N116" s="1454"/>
      <c r="O116" s="1454"/>
      <c r="P116" s="1455"/>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6"/>
      <c r="N117" s="1457"/>
      <c r="O117" s="1457"/>
      <c r="P117" s="1455"/>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4"/>
      <c r="L118" s="1485"/>
      <c r="M118" s="1486"/>
      <c r="N118" s="1454"/>
      <c r="O118" s="1454"/>
      <c r="P118" s="1455"/>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6"/>
      <c r="N119" s="1457"/>
      <c r="O119" s="1457"/>
      <c r="P119" s="1455"/>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5"/>
      <c r="M120" s="1466"/>
      <c r="N120" s="1467"/>
      <c r="O120" s="1467"/>
      <c r="P120" s="1468"/>
      <c r="Q120" s="1499"/>
      <c r="R120" s="1500"/>
      <c r="S120" s="1500"/>
      <c r="T120" s="1500"/>
      <c r="U120" s="1500"/>
      <c r="V120" s="1500"/>
      <c r="W120" s="1500"/>
      <c r="X120" s="1500"/>
      <c r="Y120" s="1500"/>
      <c r="Z120" s="1500"/>
      <c r="AA120" s="1500"/>
      <c r="AB120" s="1500"/>
      <c r="AC120" s="1500"/>
      <c r="AD120" s="1500"/>
      <c r="AE120" s="1500"/>
    </row>
    <row r="121" s="1125" customFormat="1" ht="15.75" spans="1:31">
      <c r="A121" s="1423"/>
      <c r="B121" s="1442"/>
      <c r="C121" s="1425"/>
      <c r="D121" s="1425"/>
      <c r="E121" s="1425"/>
      <c r="F121" s="1425"/>
      <c r="G121" s="1437"/>
      <c r="H121" s="1437"/>
      <c r="I121" s="1437"/>
      <c r="J121" s="1437"/>
      <c r="K121" s="1437"/>
      <c r="L121" s="1437"/>
      <c r="M121" s="1490"/>
      <c r="N121" s="1467"/>
      <c r="O121" s="1467"/>
      <c r="P121" s="1468"/>
      <c r="Q121" s="1499"/>
      <c r="R121" s="1500"/>
      <c r="S121" s="1500"/>
      <c r="T121" s="1500"/>
      <c r="U121" s="1500"/>
      <c r="V121" s="1500"/>
      <c r="W121" s="1500"/>
      <c r="X121" s="1500"/>
      <c r="Y121" s="1500"/>
      <c r="Z121" s="1500"/>
      <c r="AA121" s="1500"/>
      <c r="AB121" s="1500"/>
      <c r="AC121" s="1500"/>
      <c r="AD121" s="1500"/>
      <c r="AE121" s="1500"/>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O4" sqref="O4"/>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8"/>
  <sheetViews>
    <sheetView workbookViewId="0">
      <selection activeCell="G116" sqref="G116"/>
    </sheetView>
  </sheetViews>
  <sheetFormatPr defaultColWidth="10.375" defaultRowHeight="14.25"/>
  <cols>
    <col min="1" max="1" width="24.75" style="1116" customWidth="1"/>
    <col min="2" max="2" width="7.375" style="1116" customWidth="1"/>
    <col min="3" max="3" width="17.375" style="1116" customWidth="1"/>
    <col min="4" max="9" width="10.375" style="1116" customWidth="1"/>
    <col min="10" max="10" width="6.625" style="1116" customWidth="1"/>
    <col min="11" max="12" width="10.375" style="1116" customWidth="1"/>
    <col min="13" max="13" width="7.875" style="1116" customWidth="1"/>
    <col min="14" max="14" width="10.375" style="1116" customWidth="1"/>
    <col min="15" max="15" width="7.5" style="1116" customWidth="1"/>
    <col min="16" max="18" width="10.375" style="1116" customWidth="1"/>
    <col min="19" max="19" width="6.875" style="1116" customWidth="1"/>
    <col min="20" max="16381" width="10.375" style="1116" customWidth="1"/>
    <col min="16382" max="16382" width="10.375" style="1116"/>
    <col min="16383" max="16384" width="10.375" style="1118"/>
  </cols>
  <sheetData>
    <row r="1" spans="1:19">
      <c r="A1" s="1116" t="s">
        <v>1652</v>
      </c>
      <c r="B1" s="1116" t="s">
        <v>1653</v>
      </c>
      <c r="C1" s="1116" t="s">
        <v>1654</v>
      </c>
      <c r="D1" s="1116" t="s">
        <v>1655</v>
      </c>
      <c r="E1" s="1116" t="s">
        <v>1656</v>
      </c>
      <c r="F1" s="1116" t="s">
        <v>1657</v>
      </c>
      <c r="G1" s="1116" t="s">
        <v>1658</v>
      </c>
      <c r="H1" s="1116" t="s">
        <v>1659</v>
      </c>
      <c r="I1" s="1116" t="s">
        <v>1660</v>
      </c>
      <c r="J1" s="1116" t="s">
        <v>1661</v>
      </c>
      <c r="K1" s="1116" t="s">
        <v>1662</v>
      </c>
      <c r="L1" s="1116" t="s">
        <v>1663</v>
      </c>
      <c r="M1" s="1116" t="s">
        <v>1664</v>
      </c>
      <c r="N1" s="1116" t="s">
        <v>1665</v>
      </c>
      <c r="O1" s="1116" t="s">
        <v>1666</v>
      </c>
      <c r="P1" s="1116" t="s">
        <v>1667</v>
      </c>
      <c r="Q1" s="1116" t="s">
        <v>1668</v>
      </c>
      <c r="R1" s="1116" t="s">
        <v>1669</v>
      </c>
      <c r="S1" s="1116" t="s">
        <v>1670</v>
      </c>
    </row>
    <row r="2" spans="1:19">
      <c r="A2" s="1116" t="s">
        <v>1671</v>
      </c>
      <c r="B2" s="1116" t="s">
        <v>1672</v>
      </c>
      <c r="C2" s="1116" t="s">
        <v>1673</v>
      </c>
      <c r="D2" s="1116">
        <v>33593.4</v>
      </c>
      <c r="E2" s="1116">
        <v>67186</v>
      </c>
      <c r="F2" s="1116" t="s">
        <v>1674</v>
      </c>
      <c r="G2" s="1116" t="s">
        <v>1674</v>
      </c>
      <c r="H2" s="1116" t="s">
        <v>1675</v>
      </c>
      <c r="I2" s="1116" t="s">
        <v>1676</v>
      </c>
      <c r="J2" s="1116" t="s">
        <v>1677</v>
      </c>
      <c r="K2" s="1119">
        <v>45525.0004976852</v>
      </c>
      <c r="L2" s="1119">
        <v>45525.0004976852</v>
      </c>
      <c r="M2" s="1116" t="s">
        <v>1678</v>
      </c>
      <c r="N2" s="1116" t="s">
        <v>1679</v>
      </c>
      <c r="O2" s="1116">
        <v>1740</v>
      </c>
      <c r="P2" s="1116">
        <v>1740</v>
      </c>
      <c r="Q2" s="1116">
        <v>34.53</v>
      </c>
      <c r="R2" s="1116">
        <v>259</v>
      </c>
      <c r="S2" s="1116">
        <v>0</v>
      </c>
    </row>
    <row r="3" spans="1:19">
      <c r="A3" s="1116" t="s">
        <v>1680</v>
      </c>
      <c r="B3" s="1116" t="s">
        <v>1672</v>
      </c>
      <c r="C3" s="1116" t="s">
        <v>1681</v>
      </c>
      <c r="D3" s="1116">
        <v>10345.6</v>
      </c>
      <c r="E3" s="1116">
        <v>15518.4</v>
      </c>
      <c r="F3" s="1116" t="s">
        <v>1674</v>
      </c>
      <c r="G3" s="1116" t="s">
        <v>1674</v>
      </c>
      <c r="H3" s="1116" t="s">
        <v>1675</v>
      </c>
      <c r="I3" s="1116" t="s">
        <v>1682</v>
      </c>
      <c r="J3" s="1116" t="s">
        <v>1677</v>
      </c>
      <c r="K3" s="1119">
        <v>45518.0004976852</v>
      </c>
      <c r="L3" s="1119">
        <v>45518.0004976852</v>
      </c>
      <c r="M3" s="1116" t="s">
        <v>1678</v>
      </c>
      <c r="N3" s="1116" t="s">
        <v>1683</v>
      </c>
      <c r="O3" s="1116">
        <v>450</v>
      </c>
      <c r="P3" s="1116">
        <v>450</v>
      </c>
      <c r="Q3" s="1116">
        <v>29</v>
      </c>
      <c r="R3" s="1116">
        <v>290</v>
      </c>
      <c r="S3" s="1116">
        <v>0</v>
      </c>
    </row>
    <row r="4" s="1113" customFormat="1" spans="1:16384">
      <c r="A4" s="1115" t="s">
        <v>1684</v>
      </c>
      <c r="B4" s="1115" t="s">
        <v>1672</v>
      </c>
      <c r="C4" s="1115" t="s">
        <v>1685</v>
      </c>
      <c r="D4" s="1115">
        <v>20112.6</v>
      </c>
      <c r="E4" s="1115">
        <v>40225</v>
      </c>
      <c r="F4" s="1115" t="s">
        <v>1674</v>
      </c>
      <c r="G4" s="1115" t="s">
        <v>1674</v>
      </c>
      <c r="H4" s="1115">
        <v>50</v>
      </c>
      <c r="I4" s="1115" t="s">
        <v>1686</v>
      </c>
      <c r="J4" s="1115" t="s">
        <v>1677</v>
      </c>
      <c r="K4" s="1120">
        <v>45501.0004976852</v>
      </c>
      <c r="L4" s="1120">
        <v>45501.0004976852</v>
      </c>
      <c r="M4" s="1115" t="s">
        <v>1678</v>
      </c>
      <c r="N4" s="1115" t="s">
        <v>1687</v>
      </c>
      <c r="O4" s="1115">
        <v>1060</v>
      </c>
      <c r="P4" s="1115">
        <v>1060</v>
      </c>
      <c r="Q4" s="1115">
        <v>35.14</v>
      </c>
      <c r="R4" s="1115">
        <v>264</v>
      </c>
      <c r="S4" s="1115">
        <v>0</v>
      </c>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1115"/>
      <c r="BC4" s="1115"/>
      <c r="BD4" s="1115"/>
      <c r="BE4" s="1115"/>
      <c r="BF4" s="1115"/>
      <c r="BG4" s="1115"/>
      <c r="BH4" s="1115"/>
      <c r="BI4" s="1115"/>
      <c r="BJ4" s="1115"/>
      <c r="BK4" s="1115"/>
      <c r="BL4" s="1115"/>
      <c r="BM4" s="1115"/>
      <c r="BN4" s="1115"/>
      <c r="BO4" s="1115"/>
      <c r="BP4" s="1115"/>
      <c r="BQ4" s="1115"/>
      <c r="BR4" s="1115"/>
      <c r="BS4" s="1115"/>
      <c r="BT4" s="1115"/>
      <c r="BU4" s="1115"/>
      <c r="BV4" s="1115"/>
      <c r="BW4" s="1115"/>
      <c r="BX4" s="1115"/>
      <c r="BY4" s="1115"/>
      <c r="BZ4" s="1115"/>
      <c r="CA4" s="1115"/>
      <c r="CB4" s="1115"/>
      <c r="CC4" s="1115"/>
      <c r="CD4" s="1115"/>
      <c r="CE4" s="1115"/>
      <c r="CF4" s="1115"/>
      <c r="CG4" s="1115"/>
      <c r="CH4" s="1115"/>
      <c r="CI4" s="1115"/>
      <c r="CJ4" s="1115"/>
      <c r="CK4" s="1115"/>
      <c r="CL4" s="1115"/>
      <c r="CM4" s="1115"/>
      <c r="CN4" s="1115"/>
      <c r="CO4" s="1115"/>
      <c r="CP4" s="1115"/>
      <c r="CQ4" s="1115"/>
      <c r="CR4" s="1115"/>
      <c r="CS4" s="1115"/>
      <c r="CT4" s="1115"/>
      <c r="CU4" s="1115"/>
      <c r="CV4" s="1115"/>
      <c r="CW4" s="1115"/>
      <c r="CX4" s="1115"/>
      <c r="CY4" s="1115"/>
      <c r="CZ4" s="1115"/>
      <c r="DA4" s="1115"/>
      <c r="DB4" s="1115"/>
      <c r="DC4" s="1115"/>
      <c r="DD4" s="1115"/>
      <c r="DE4" s="1115"/>
      <c r="DF4" s="1115"/>
      <c r="DG4" s="1115"/>
      <c r="DH4" s="1115"/>
      <c r="DI4" s="1115"/>
      <c r="DJ4" s="1115"/>
      <c r="DK4" s="1115"/>
      <c r="DL4" s="1115"/>
      <c r="DM4" s="1115"/>
      <c r="DN4" s="1115"/>
      <c r="DO4" s="1115"/>
      <c r="DP4" s="1115"/>
      <c r="DQ4" s="1115"/>
      <c r="DR4" s="1115"/>
      <c r="DS4" s="1115"/>
      <c r="DT4" s="1115"/>
      <c r="DU4" s="1115"/>
      <c r="DV4" s="1115"/>
      <c r="DW4" s="1115"/>
      <c r="DX4" s="1115"/>
      <c r="DY4" s="1115"/>
      <c r="DZ4" s="1115"/>
      <c r="EA4" s="1115"/>
      <c r="EB4" s="1115"/>
      <c r="EC4" s="1115"/>
      <c r="ED4" s="1115"/>
      <c r="EE4" s="1115"/>
      <c r="EF4" s="1115"/>
      <c r="EG4" s="1115"/>
      <c r="EH4" s="1115"/>
      <c r="EI4" s="1115"/>
      <c r="EJ4" s="1115"/>
      <c r="EK4" s="1115"/>
      <c r="EL4" s="1115"/>
      <c r="EM4" s="1115"/>
      <c r="EN4" s="1115"/>
      <c r="EO4" s="1115"/>
      <c r="EP4" s="1115"/>
      <c r="EQ4" s="1115"/>
      <c r="ER4" s="1115"/>
      <c r="ES4" s="1115"/>
      <c r="ET4" s="1115"/>
      <c r="EU4" s="1115"/>
      <c r="EV4" s="1115"/>
      <c r="EW4" s="1115"/>
      <c r="EX4" s="1115"/>
      <c r="EY4" s="1115"/>
      <c r="EZ4" s="1115"/>
      <c r="FA4" s="1115"/>
      <c r="FB4" s="1115"/>
      <c r="FC4" s="1115"/>
      <c r="FD4" s="1115"/>
      <c r="FE4" s="1115"/>
      <c r="FF4" s="1115"/>
      <c r="FG4" s="1115"/>
      <c r="FH4" s="1115"/>
      <c r="FI4" s="1115"/>
      <c r="FJ4" s="1115"/>
      <c r="FK4" s="1115"/>
      <c r="FL4" s="1115"/>
      <c r="FM4" s="1115"/>
      <c r="FN4" s="1115"/>
      <c r="FO4" s="1115"/>
      <c r="FP4" s="1115"/>
      <c r="FQ4" s="1115"/>
      <c r="FR4" s="1115"/>
      <c r="FS4" s="1115"/>
      <c r="FT4" s="1115"/>
      <c r="FU4" s="1115"/>
      <c r="FV4" s="1115"/>
      <c r="FW4" s="1115"/>
      <c r="FX4" s="1115"/>
      <c r="FY4" s="1115"/>
      <c r="FZ4" s="1115"/>
      <c r="GA4" s="1115"/>
      <c r="GB4" s="1115"/>
      <c r="GC4" s="1115"/>
      <c r="GD4" s="1115"/>
      <c r="GE4" s="1115"/>
      <c r="GF4" s="1115"/>
      <c r="GG4" s="1115"/>
      <c r="GH4" s="1115"/>
      <c r="GI4" s="1115"/>
      <c r="GJ4" s="1115"/>
      <c r="GK4" s="1115"/>
      <c r="GL4" s="1115"/>
      <c r="GM4" s="1115"/>
      <c r="GN4" s="1115"/>
      <c r="GO4" s="1115"/>
      <c r="GP4" s="1115"/>
      <c r="GQ4" s="1115"/>
      <c r="GR4" s="1115"/>
      <c r="GS4" s="1115"/>
      <c r="GT4" s="1115"/>
      <c r="GU4" s="1115"/>
      <c r="GV4" s="1115"/>
      <c r="GW4" s="1115"/>
      <c r="GX4" s="1115"/>
      <c r="GY4" s="1115"/>
      <c r="GZ4" s="1115"/>
      <c r="HA4" s="1115"/>
      <c r="HB4" s="1115"/>
      <c r="HC4" s="1115"/>
      <c r="HD4" s="1115"/>
      <c r="HE4" s="1115"/>
      <c r="HF4" s="1115"/>
      <c r="HG4" s="1115"/>
      <c r="HH4" s="1115"/>
      <c r="HI4" s="1115"/>
      <c r="HJ4" s="1115"/>
      <c r="HK4" s="1115"/>
      <c r="HL4" s="1115"/>
      <c r="HM4" s="1115"/>
      <c r="HN4" s="1115"/>
      <c r="HO4" s="1115"/>
      <c r="HP4" s="1115"/>
      <c r="HQ4" s="1115"/>
      <c r="HR4" s="1115"/>
      <c r="HS4" s="1115"/>
      <c r="HT4" s="1115"/>
      <c r="HU4" s="1115"/>
      <c r="HV4" s="1115"/>
      <c r="HW4" s="1115"/>
      <c r="HX4" s="1115"/>
      <c r="HY4" s="1115"/>
      <c r="HZ4" s="1115"/>
      <c r="IA4" s="1115"/>
      <c r="IB4" s="1115"/>
      <c r="IC4" s="1115"/>
      <c r="ID4" s="1115"/>
      <c r="IE4" s="1115"/>
      <c r="IF4" s="1115"/>
      <c r="IG4" s="1115"/>
      <c r="IH4" s="1115"/>
      <c r="II4" s="1115"/>
      <c r="IJ4" s="1115"/>
      <c r="IK4" s="1115"/>
      <c r="IL4" s="1115"/>
      <c r="IM4" s="1115"/>
      <c r="IN4" s="1115"/>
      <c r="IO4" s="1115"/>
      <c r="IP4" s="1115"/>
      <c r="IQ4" s="1115"/>
      <c r="IR4" s="1115"/>
      <c r="IS4" s="1115"/>
      <c r="IT4" s="1115"/>
      <c r="IU4" s="1115"/>
      <c r="IV4" s="1115"/>
      <c r="IW4" s="1115"/>
      <c r="IX4" s="1115"/>
      <c r="IY4" s="1115"/>
      <c r="IZ4" s="1115"/>
      <c r="JA4" s="1115"/>
      <c r="JB4" s="1115"/>
      <c r="JC4" s="1115"/>
      <c r="JD4" s="1115"/>
      <c r="JE4" s="1115"/>
      <c r="JF4" s="1115"/>
      <c r="JG4" s="1115"/>
      <c r="JH4" s="1115"/>
      <c r="JI4" s="1115"/>
      <c r="JJ4" s="1115"/>
      <c r="JK4" s="1115"/>
      <c r="JL4" s="1115"/>
      <c r="JM4" s="1115"/>
      <c r="JN4" s="1115"/>
      <c r="JO4" s="1115"/>
      <c r="JP4" s="1115"/>
      <c r="JQ4" s="1115"/>
      <c r="JR4" s="1115"/>
      <c r="JS4" s="1115"/>
      <c r="JT4" s="1115"/>
      <c r="JU4" s="1115"/>
      <c r="JV4" s="1115"/>
      <c r="JW4" s="1115"/>
      <c r="JX4" s="1115"/>
      <c r="JY4" s="1115"/>
      <c r="JZ4" s="1115"/>
      <c r="KA4" s="1115"/>
      <c r="KB4" s="1115"/>
      <c r="KC4" s="1115"/>
      <c r="KD4" s="1115"/>
      <c r="KE4" s="1115"/>
      <c r="KF4" s="1115"/>
      <c r="KG4" s="1115"/>
      <c r="KH4" s="1115"/>
      <c r="KI4" s="1115"/>
      <c r="KJ4" s="1115"/>
      <c r="KK4" s="1115"/>
      <c r="KL4" s="1115"/>
      <c r="KM4" s="1115"/>
      <c r="KN4" s="1115"/>
      <c r="KO4" s="1115"/>
      <c r="KP4" s="1115"/>
      <c r="KQ4" s="1115"/>
      <c r="KR4" s="1115"/>
      <c r="KS4" s="1115"/>
      <c r="KT4" s="1115"/>
      <c r="KU4" s="1115"/>
      <c r="KV4" s="1115"/>
      <c r="KW4" s="1115"/>
      <c r="KX4" s="1115"/>
      <c r="KY4" s="1115"/>
      <c r="KZ4" s="1115"/>
      <c r="LA4" s="1115"/>
      <c r="LB4" s="1115"/>
      <c r="LC4" s="1115"/>
      <c r="LD4" s="1115"/>
      <c r="LE4" s="1115"/>
      <c r="LF4" s="1115"/>
      <c r="LG4" s="1115"/>
      <c r="LH4" s="1115"/>
      <c r="LI4" s="1115"/>
      <c r="LJ4" s="1115"/>
      <c r="LK4" s="1115"/>
      <c r="LL4" s="1115"/>
      <c r="LM4" s="1115"/>
      <c r="LN4" s="1115"/>
      <c r="LO4" s="1115"/>
      <c r="LP4" s="1115"/>
      <c r="LQ4" s="1115"/>
      <c r="LR4" s="1115"/>
      <c r="LS4" s="1115"/>
      <c r="LT4" s="1115"/>
      <c r="LU4" s="1115"/>
      <c r="LV4" s="1115"/>
      <c r="LW4" s="1115"/>
      <c r="LX4" s="1115"/>
      <c r="LY4" s="1115"/>
      <c r="LZ4" s="1115"/>
      <c r="MA4" s="1115"/>
      <c r="MB4" s="1115"/>
      <c r="MC4" s="1115"/>
      <c r="MD4" s="1115"/>
      <c r="ME4" s="1115"/>
      <c r="MF4" s="1115"/>
      <c r="MG4" s="1115"/>
      <c r="MH4" s="1115"/>
      <c r="MI4" s="1115"/>
      <c r="MJ4" s="1115"/>
      <c r="MK4" s="1115"/>
      <c r="ML4" s="1115"/>
      <c r="MM4" s="1115"/>
      <c r="MN4" s="1115"/>
      <c r="MO4" s="1115"/>
      <c r="MP4" s="1115"/>
      <c r="MQ4" s="1115"/>
      <c r="MR4" s="1115"/>
      <c r="MS4" s="1115"/>
      <c r="MT4" s="1115"/>
      <c r="MU4" s="1115"/>
      <c r="MV4" s="1115"/>
      <c r="MW4" s="1115"/>
      <c r="MX4" s="1115"/>
      <c r="MY4" s="1115"/>
      <c r="MZ4" s="1115"/>
      <c r="NA4" s="1115"/>
      <c r="NB4" s="1115"/>
      <c r="NC4" s="1115"/>
      <c r="ND4" s="1115"/>
      <c r="NE4" s="1115"/>
      <c r="NF4" s="1115"/>
      <c r="NG4" s="1115"/>
      <c r="NH4" s="1115"/>
      <c r="NI4" s="1115"/>
      <c r="NJ4" s="1115"/>
      <c r="NK4" s="1115"/>
      <c r="NL4" s="1115"/>
      <c r="NM4" s="1115"/>
      <c r="NN4" s="1115"/>
      <c r="NO4" s="1115"/>
      <c r="NP4" s="1115"/>
      <c r="NQ4" s="1115"/>
      <c r="NR4" s="1115"/>
      <c r="NS4" s="1115"/>
      <c r="NT4" s="1115"/>
      <c r="NU4" s="1115"/>
      <c r="NV4" s="1115"/>
      <c r="NW4" s="1115"/>
      <c r="NX4" s="1115"/>
      <c r="NY4" s="1115"/>
      <c r="NZ4" s="1115"/>
      <c r="OA4" s="1115"/>
      <c r="OB4" s="1115"/>
      <c r="OC4" s="1115"/>
      <c r="OD4" s="1115"/>
      <c r="OE4" s="1115"/>
      <c r="OF4" s="1115"/>
      <c r="OG4" s="1115"/>
      <c r="OH4" s="1115"/>
      <c r="OI4" s="1115"/>
      <c r="OJ4" s="1115"/>
      <c r="OK4" s="1115"/>
      <c r="OL4" s="1115"/>
      <c r="OM4" s="1115"/>
      <c r="ON4" s="1115"/>
      <c r="OO4" s="1115"/>
      <c r="OP4" s="1115"/>
      <c r="OQ4" s="1115"/>
      <c r="OR4" s="1115"/>
      <c r="OS4" s="1115"/>
      <c r="OT4" s="1115"/>
      <c r="OU4" s="1115"/>
      <c r="OV4" s="1115"/>
      <c r="OW4" s="1115"/>
      <c r="OX4" s="1115"/>
      <c r="OY4" s="1115"/>
      <c r="OZ4" s="1115"/>
      <c r="PA4" s="1115"/>
      <c r="PB4" s="1115"/>
      <c r="PC4" s="1115"/>
      <c r="PD4" s="1115"/>
      <c r="PE4" s="1115"/>
      <c r="PF4" s="1115"/>
      <c r="PG4" s="1115"/>
      <c r="PH4" s="1115"/>
      <c r="PI4" s="1115"/>
      <c r="PJ4" s="1115"/>
      <c r="PK4" s="1115"/>
      <c r="PL4" s="1115"/>
      <c r="PM4" s="1115"/>
      <c r="PN4" s="1115"/>
      <c r="PO4" s="1115"/>
      <c r="PP4" s="1115"/>
      <c r="PQ4" s="1115"/>
      <c r="PR4" s="1115"/>
      <c r="PS4" s="1115"/>
      <c r="PT4" s="1115"/>
      <c r="PU4" s="1115"/>
      <c r="PV4" s="1115"/>
      <c r="PW4" s="1115"/>
      <c r="PX4" s="1115"/>
      <c r="PY4" s="1115"/>
      <c r="PZ4" s="1115"/>
      <c r="QA4" s="1115"/>
      <c r="QB4" s="1115"/>
      <c r="QC4" s="1115"/>
      <c r="QD4" s="1115"/>
      <c r="QE4" s="1115"/>
      <c r="QF4" s="1115"/>
      <c r="QG4" s="1115"/>
      <c r="QH4" s="1115"/>
      <c r="QI4" s="1115"/>
      <c r="QJ4" s="1115"/>
      <c r="QK4" s="1115"/>
      <c r="QL4" s="1115"/>
      <c r="QM4" s="1115"/>
      <c r="QN4" s="1115"/>
      <c r="QO4" s="1115"/>
      <c r="QP4" s="1115"/>
      <c r="QQ4" s="1115"/>
      <c r="QR4" s="1115"/>
      <c r="QS4" s="1115"/>
      <c r="QT4" s="1115"/>
      <c r="QU4" s="1115"/>
      <c r="QV4" s="1115"/>
      <c r="QW4" s="1115"/>
      <c r="QX4" s="1115"/>
      <c r="QY4" s="1115"/>
      <c r="QZ4" s="1115"/>
      <c r="RA4" s="1115"/>
      <c r="RB4" s="1115"/>
      <c r="RC4" s="1115"/>
      <c r="RD4" s="1115"/>
      <c r="RE4" s="1115"/>
      <c r="RF4" s="1115"/>
      <c r="RG4" s="1115"/>
      <c r="RH4" s="1115"/>
      <c r="RI4" s="1115"/>
      <c r="RJ4" s="1115"/>
      <c r="RK4" s="1115"/>
      <c r="RL4" s="1115"/>
      <c r="RM4" s="1115"/>
      <c r="RN4" s="1115"/>
      <c r="RO4" s="1115"/>
      <c r="RP4" s="1115"/>
      <c r="RQ4" s="1115"/>
      <c r="RR4" s="1115"/>
      <c r="RS4" s="1115"/>
      <c r="RT4" s="1115"/>
      <c r="RU4" s="1115"/>
      <c r="RV4" s="1115"/>
      <c r="RW4" s="1115"/>
      <c r="RX4" s="1115"/>
      <c r="RY4" s="1115"/>
      <c r="RZ4" s="1115"/>
      <c r="SA4" s="1115"/>
      <c r="SB4" s="1115"/>
      <c r="SC4" s="1115"/>
      <c r="SD4" s="1115"/>
      <c r="SE4" s="1115"/>
      <c r="SF4" s="1115"/>
      <c r="SG4" s="1115"/>
      <c r="SH4" s="1115"/>
      <c r="SI4" s="1115"/>
      <c r="SJ4" s="1115"/>
      <c r="SK4" s="1115"/>
      <c r="SL4" s="1115"/>
      <c r="SM4" s="1115"/>
      <c r="SN4" s="1115"/>
      <c r="SO4" s="1115"/>
      <c r="SP4" s="1115"/>
      <c r="SQ4" s="1115"/>
      <c r="SR4" s="1115"/>
      <c r="SS4" s="1115"/>
      <c r="ST4" s="1115"/>
      <c r="SU4" s="1115"/>
      <c r="SV4" s="1115"/>
      <c r="SW4" s="1115"/>
      <c r="SX4" s="1115"/>
      <c r="SY4" s="1115"/>
      <c r="SZ4" s="1115"/>
      <c r="TA4" s="1115"/>
      <c r="TB4" s="1115"/>
      <c r="TC4" s="1115"/>
      <c r="TD4" s="1115"/>
      <c r="TE4" s="1115"/>
      <c r="TF4" s="1115"/>
      <c r="TG4" s="1115"/>
      <c r="TH4" s="1115"/>
      <c r="TI4" s="1115"/>
      <c r="TJ4" s="1115"/>
      <c r="TK4" s="1115"/>
      <c r="TL4" s="1115"/>
      <c r="TM4" s="1115"/>
      <c r="TN4" s="1115"/>
      <c r="TO4" s="1115"/>
      <c r="TP4" s="1115"/>
      <c r="TQ4" s="1115"/>
      <c r="TR4" s="1115"/>
      <c r="TS4" s="1115"/>
      <c r="TT4" s="1115"/>
      <c r="TU4" s="1115"/>
      <c r="TV4" s="1115"/>
      <c r="TW4" s="1115"/>
      <c r="TX4" s="1115"/>
      <c r="TY4" s="1115"/>
      <c r="TZ4" s="1115"/>
      <c r="UA4" s="1115"/>
      <c r="UB4" s="1115"/>
      <c r="UC4" s="1115"/>
      <c r="UD4" s="1115"/>
      <c r="UE4" s="1115"/>
      <c r="UF4" s="1115"/>
      <c r="UG4" s="1115"/>
      <c r="UH4" s="1115"/>
      <c r="UI4" s="1115"/>
      <c r="UJ4" s="1115"/>
      <c r="UK4" s="1115"/>
      <c r="UL4" s="1115"/>
      <c r="UM4" s="1115"/>
      <c r="UN4" s="1115"/>
      <c r="UO4" s="1115"/>
      <c r="UP4" s="1115"/>
      <c r="UQ4" s="1115"/>
      <c r="UR4" s="1115"/>
      <c r="US4" s="1115"/>
      <c r="UT4" s="1115"/>
      <c r="UU4" s="1115"/>
      <c r="UV4" s="1115"/>
      <c r="UW4" s="1115"/>
      <c r="UX4" s="1115"/>
      <c r="UY4" s="1115"/>
      <c r="UZ4" s="1115"/>
      <c r="VA4" s="1115"/>
      <c r="VB4" s="1115"/>
      <c r="VC4" s="1115"/>
      <c r="VD4" s="1115"/>
      <c r="VE4" s="1115"/>
      <c r="VF4" s="1115"/>
      <c r="VG4" s="1115"/>
      <c r="VH4" s="1115"/>
      <c r="VI4" s="1115"/>
      <c r="VJ4" s="1115"/>
      <c r="VK4" s="1115"/>
      <c r="VL4" s="1115"/>
      <c r="VM4" s="1115"/>
      <c r="VN4" s="1115"/>
      <c r="VO4" s="1115"/>
      <c r="VP4" s="1115"/>
      <c r="VQ4" s="1115"/>
      <c r="VR4" s="1115"/>
      <c r="VS4" s="1115"/>
      <c r="VT4" s="1115"/>
      <c r="VU4" s="1115"/>
      <c r="VV4" s="1115"/>
      <c r="VW4" s="1115"/>
      <c r="VX4" s="1115"/>
      <c r="VY4" s="1115"/>
      <c r="VZ4" s="1115"/>
      <c r="WA4" s="1115"/>
      <c r="WB4" s="1115"/>
      <c r="WC4" s="1115"/>
      <c r="WD4" s="1115"/>
      <c r="WE4" s="1115"/>
      <c r="WF4" s="1115"/>
      <c r="WG4" s="1115"/>
      <c r="WH4" s="1115"/>
      <c r="WI4" s="1115"/>
      <c r="WJ4" s="1115"/>
      <c r="WK4" s="1115"/>
      <c r="WL4" s="1115"/>
      <c r="WM4" s="1115"/>
      <c r="WN4" s="1115"/>
      <c r="WO4" s="1115"/>
      <c r="WP4" s="1115"/>
      <c r="WQ4" s="1115"/>
      <c r="WR4" s="1115"/>
      <c r="WS4" s="1115"/>
      <c r="WT4" s="1115"/>
      <c r="WU4" s="1115"/>
      <c r="WV4" s="1115"/>
      <c r="WW4" s="1115"/>
      <c r="WX4" s="1115"/>
      <c r="WY4" s="1115"/>
      <c r="WZ4" s="1115"/>
      <c r="XA4" s="1115"/>
      <c r="XB4" s="1115"/>
      <c r="XC4" s="1115"/>
      <c r="XD4" s="1115"/>
      <c r="XE4" s="1115"/>
      <c r="XF4" s="1115"/>
      <c r="XG4" s="1115"/>
      <c r="XH4" s="1115"/>
      <c r="XI4" s="1115"/>
      <c r="XJ4" s="1115"/>
      <c r="XK4" s="1115"/>
      <c r="XL4" s="1115"/>
      <c r="XM4" s="1115"/>
      <c r="XN4" s="1115"/>
      <c r="XO4" s="1115"/>
      <c r="XP4" s="1115"/>
      <c r="XQ4" s="1115"/>
      <c r="XR4" s="1115"/>
      <c r="XS4" s="1115"/>
      <c r="XT4" s="1115"/>
      <c r="XU4" s="1115"/>
      <c r="XV4" s="1115"/>
      <c r="XW4" s="1115"/>
      <c r="XX4" s="1115"/>
      <c r="XY4" s="1115"/>
      <c r="XZ4" s="1115"/>
      <c r="YA4" s="1115"/>
      <c r="YB4" s="1115"/>
      <c r="YC4" s="1115"/>
      <c r="YD4" s="1115"/>
      <c r="YE4" s="1115"/>
      <c r="YF4" s="1115"/>
      <c r="YG4" s="1115"/>
      <c r="YH4" s="1115"/>
      <c r="YI4" s="1115"/>
      <c r="YJ4" s="1115"/>
      <c r="YK4" s="1115"/>
      <c r="YL4" s="1115"/>
      <c r="YM4" s="1115"/>
      <c r="YN4" s="1115"/>
      <c r="YO4" s="1115"/>
      <c r="YP4" s="1115"/>
      <c r="YQ4" s="1115"/>
      <c r="YR4" s="1115"/>
      <c r="YS4" s="1115"/>
      <c r="YT4" s="1115"/>
      <c r="YU4" s="1115"/>
      <c r="YV4" s="1115"/>
      <c r="YW4" s="1115"/>
      <c r="YX4" s="1115"/>
      <c r="YY4" s="1115"/>
      <c r="YZ4" s="1115"/>
      <c r="ZA4" s="1115"/>
      <c r="ZB4" s="1115"/>
      <c r="ZC4" s="1115"/>
      <c r="ZD4" s="1115"/>
      <c r="ZE4" s="1115"/>
      <c r="ZF4" s="1115"/>
      <c r="ZG4" s="1115"/>
      <c r="ZH4" s="1115"/>
      <c r="ZI4" s="1115"/>
      <c r="ZJ4" s="1115"/>
      <c r="ZK4" s="1115"/>
      <c r="ZL4" s="1115"/>
      <c r="ZM4" s="1115"/>
      <c r="ZN4" s="1115"/>
      <c r="ZO4" s="1115"/>
      <c r="ZP4" s="1115"/>
      <c r="ZQ4" s="1115"/>
      <c r="ZR4" s="1115"/>
      <c r="ZS4" s="1115"/>
      <c r="ZT4" s="1115"/>
      <c r="ZU4" s="1115"/>
      <c r="ZV4" s="1115"/>
      <c r="ZW4" s="1115"/>
      <c r="ZX4" s="1115"/>
      <c r="ZY4" s="1115"/>
      <c r="ZZ4" s="1115"/>
      <c r="AAA4" s="1115"/>
      <c r="AAB4" s="1115"/>
      <c r="AAC4" s="1115"/>
      <c r="AAD4" s="1115"/>
      <c r="AAE4" s="1115"/>
      <c r="AAF4" s="1115"/>
      <c r="AAG4" s="1115"/>
      <c r="AAH4" s="1115"/>
      <c r="AAI4" s="1115"/>
      <c r="AAJ4" s="1115"/>
      <c r="AAK4" s="1115"/>
      <c r="AAL4" s="1115"/>
      <c r="AAM4" s="1115"/>
      <c r="AAN4" s="1115"/>
      <c r="AAO4" s="1115"/>
      <c r="AAP4" s="1115"/>
      <c r="AAQ4" s="1115"/>
      <c r="AAR4" s="1115"/>
      <c r="AAS4" s="1115"/>
      <c r="AAT4" s="1115"/>
      <c r="AAU4" s="1115"/>
      <c r="AAV4" s="1115"/>
      <c r="AAW4" s="1115"/>
      <c r="AAX4" s="1115"/>
      <c r="AAY4" s="1115"/>
      <c r="AAZ4" s="1115"/>
      <c r="ABA4" s="1115"/>
      <c r="ABB4" s="1115"/>
      <c r="ABC4" s="1115"/>
      <c r="ABD4" s="1115"/>
      <c r="ABE4" s="1115"/>
      <c r="ABF4" s="1115"/>
      <c r="ABG4" s="1115"/>
      <c r="ABH4" s="1115"/>
      <c r="ABI4" s="1115"/>
      <c r="ABJ4" s="1115"/>
      <c r="ABK4" s="1115"/>
      <c r="ABL4" s="1115"/>
      <c r="ABM4" s="1115"/>
      <c r="ABN4" s="1115"/>
      <c r="ABO4" s="1115"/>
      <c r="ABP4" s="1115"/>
      <c r="ABQ4" s="1115"/>
      <c r="ABR4" s="1115"/>
      <c r="ABS4" s="1115"/>
      <c r="ABT4" s="1115"/>
      <c r="ABU4" s="1115"/>
      <c r="ABV4" s="1115"/>
      <c r="ABW4" s="1115"/>
      <c r="ABX4" s="1115"/>
      <c r="ABY4" s="1115"/>
      <c r="ABZ4" s="1115"/>
      <c r="ACA4" s="1115"/>
      <c r="ACB4" s="1115"/>
      <c r="ACC4" s="1115"/>
      <c r="ACD4" s="1115"/>
      <c r="ACE4" s="1115"/>
      <c r="ACF4" s="1115"/>
      <c r="ACG4" s="1115"/>
      <c r="ACH4" s="1115"/>
      <c r="ACI4" s="1115"/>
      <c r="ACJ4" s="1115"/>
      <c r="ACK4" s="1115"/>
      <c r="ACL4" s="1115"/>
      <c r="ACM4" s="1115"/>
      <c r="ACN4" s="1115"/>
      <c r="ACO4" s="1115"/>
      <c r="ACP4" s="1115"/>
      <c r="ACQ4" s="1115"/>
      <c r="ACR4" s="1115"/>
      <c r="ACS4" s="1115"/>
      <c r="ACT4" s="1115"/>
      <c r="ACU4" s="1115"/>
      <c r="ACV4" s="1115"/>
      <c r="ACW4" s="1115"/>
      <c r="ACX4" s="1115"/>
      <c r="ACY4" s="1115"/>
      <c r="ACZ4" s="1115"/>
      <c r="ADA4" s="1115"/>
      <c r="ADB4" s="1115"/>
      <c r="ADC4" s="1115"/>
      <c r="ADD4" s="1115"/>
      <c r="ADE4" s="1115"/>
      <c r="ADF4" s="1115"/>
      <c r="ADG4" s="1115"/>
      <c r="ADH4" s="1115"/>
      <c r="ADI4" s="1115"/>
      <c r="ADJ4" s="1115"/>
      <c r="ADK4" s="1115"/>
      <c r="ADL4" s="1115"/>
      <c r="ADM4" s="1115"/>
      <c r="ADN4" s="1115"/>
      <c r="ADO4" s="1115"/>
      <c r="ADP4" s="1115"/>
      <c r="ADQ4" s="1115"/>
      <c r="ADR4" s="1115"/>
      <c r="ADS4" s="1115"/>
      <c r="ADT4" s="1115"/>
      <c r="ADU4" s="1115"/>
      <c r="ADV4" s="1115"/>
      <c r="ADW4" s="1115"/>
      <c r="ADX4" s="1115"/>
      <c r="ADY4" s="1115"/>
      <c r="ADZ4" s="1115"/>
      <c r="AEA4" s="1115"/>
      <c r="AEB4" s="1115"/>
      <c r="AEC4" s="1115"/>
      <c r="AED4" s="1115"/>
      <c r="AEE4" s="1115"/>
      <c r="AEF4" s="1115"/>
      <c r="AEG4" s="1115"/>
      <c r="AEH4" s="1115"/>
      <c r="AEI4" s="1115"/>
      <c r="AEJ4" s="1115"/>
      <c r="AEK4" s="1115"/>
      <c r="AEL4" s="1115"/>
      <c r="AEM4" s="1115"/>
      <c r="AEN4" s="1115"/>
      <c r="AEO4" s="1115"/>
      <c r="AEP4" s="1115"/>
      <c r="AEQ4" s="1115"/>
      <c r="AER4" s="1115"/>
      <c r="AES4" s="1115"/>
      <c r="AET4" s="1115"/>
      <c r="AEU4" s="1115"/>
      <c r="AEV4" s="1115"/>
      <c r="AEW4" s="1115"/>
      <c r="AEX4" s="1115"/>
      <c r="AEY4" s="1115"/>
      <c r="AEZ4" s="1115"/>
      <c r="AFA4" s="1115"/>
      <c r="AFB4" s="1115"/>
      <c r="AFC4" s="1115"/>
      <c r="AFD4" s="1115"/>
      <c r="AFE4" s="1115"/>
      <c r="AFF4" s="1115"/>
      <c r="AFG4" s="1115"/>
      <c r="AFH4" s="1115"/>
      <c r="AFI4" s="1115"/>
      <c r="AFJ4" s="1115"/>
      <c r="AFK4" s="1115"/>
      <c r="AFL4" s="1115"/>
      <c r="AFM4" s="1115"/>
      <c r="AFN4" s="1115"/>
      <c r="AFO4" s="1115"/>
      <c r="AFP4" s="1115"/>
      <c r="AFQ4" s="1115"/>
      <c r="AFR4" s="1115"/>
      <c r="AFS4" s="1115"/>
      <c r="AFT4" s="1115"/>
      <c r="AFU4" s="1115"/>
      <c r="AFV4" s="1115"/>
      <c r="AFW4" s="1115"/>
      <c r="AFX4" s="1115"/>
      <c r="AFY4" s="1115"/>
      <c r="AFZ4" s="1115"/>
      <c r="AGA4" s="1115"/>
      <c r="AGB4" s="1115"/>
      <c r="AGC4" s="1115"/>
      <c r="AGD4" s="1115"/>
      <c r="AGE4" s="1115"/>
      <c r="AGF4" s="1115"/>
      <c r="AGG4" s="1115"/>
      <c r="AGH4" s="1115"/>
      <c r="AGI4" s="1115"/>
      <c r="AGJ4" s="1115"/>
      <c r="AGK4" s="1115"/>
      <c r="AGL4" s="1115"/>
      <c r="AGM4" s="1115"/>
      <c r="AGN4" s="1115"/>
      <c r="AGO4" s="1115"/>
      <c r="AGP4" s="1115"/>
      <c r="AGQ4" s="1115"/>
      <c r="AGR4" s="1115"/>
      <c r="AGS4" s="1115"/>
      <c r="AGT4" s="1115"/>
      <c r="AGU4" s="1115"/>
      <c r="AGV4" s="1115"/>
      <c r="AGW4" s="1115"/>
      <c r="AGX4" s="1115"/>
      <c r="AGY4" s="1115"/>
      <c r="AGZ4" s="1115"/>
      <c r="AHA4" s="1115"/>
      <c r="AHB4" s="1115"/>
      <c r="AHC4" s="1115"/>
      <c r="AHD4" s="1115"/>
      <c r="AHE4" s="1115"/>
      <c r="AHF4" s="1115"/>
      <c r="AHG4" s="1115"/>
      <c r="AHH4" s="1115"/>
      <c r="AHI4" s="1115"/>
      <c r="AHJ4" s="1115"/>
      <c r="AHK4" s="1115"/>
      <c r="AHL4" s="1115"/>
      <c r="AHM4" s="1115"/>
      <c r="AHN4" s="1115"/>
      <c r="AHO4" s="1115"/>
      <c r="AHP4" s="1115"/>
      <c r="AHQ4" s="1115"/>
      <c r="AHR4" s="1115"/>
      <c r="AHS4" s="1115"/>
      <c r="AHT4" s="1115"/>
      <c r="AHU4" s="1115"/>
      <c r="AHV4" s="1115"/>
      <c r="AHW4" s="1115"/>
      <c r="AHX4" s="1115"/>
      <c r="AHY4" s="1115"/>
      <c r="AHZ4" s="1115"/>
      <c r="AIA4" s="1115"/>
      <c r="AIB4" s="1115"/>
      <c r="AIC4" s="1115"/>
      <c r="AID4" s="1115"/>
      <c r="AIE4" s="1115"/>
      <c r="AIF4" s="1115"/>
      <c r="AIG4" s="1115"/>
      <c r="AIH4" s="1115"/>
      <c r="AII4" s="1115"/>
      <c r="AIJ4" s="1115"/>
      <c r="AIK4" s="1115"/>
      <c r="AIL4" s="1115"/>
      <c r="AIM4" s="1115"/>
      <c r="AIN4" s="1115"/>
      <c r="AIO4" s="1115"/>
      <c r="AIP4" s="1115"/>
      <c r="AIQ4" s="1115"/>
      <c r="AIR4" s="1115"/>
      <c r="AIS4" s="1115"/>
      <c r="AIT4" s="1115"/>
      <c r="AIU4" s="1115"/>
      <c r="AIV4" s="1115"/>
      <c r="AIW4" s="1115"/>
      <c r="AIX4" s="1115"/>
      <c r="AIY4" s="1115"/>
      <c r="AIZ4" s="1115"/>
      <c r="AJA4" s="1115"/>
      <c r="AJB4" s="1115"/>
      <c r="AJC4" s="1115"/>
      <c r="AJD4" s="1115"/>
      <c r="AJE4" s="1115"/>
      <c r="AJF4" s="1115"/>
      <c r="AJG4" s="1115"/>
      <c r="AJH4" s="1115"/>
      <c r="AJI4" s="1115"/>
      <c r="AJJ4" s="1115"/>
      <c r="AJK4" s="1115"/>
      <c r="AJL4" s="1115"/>
      <c r="AJM4" s="1115"/>
      <c r="AJN4" s="1115"/>
      <c r="AJO4" s="1115"/>
      <c r="AJP4" s="1115"/>
      <c r="AJQ4" s="1115"/>
      <c r="AJR4" s="1115"/>
      <c r="AJS4" s="1115"/>
      <c r="AJT4" s="1115"/>
      <c r="AJU4" s="1115"/>
      <c r="AJV4" s="1115"/>
      <c r="AJW4" s="1115"/>
      <c r="AJX4" s="1115"/>
      <c r="AJY4" s="1115"/>
      <c r="AJZ4" s="1115"/>
      <c r="AKA4" s="1115"/>
      <c r="AKB4" s="1115"/>
      <c r="AKC4" s="1115"/>
      <c r="AKD4" s="1115"/>
      <c r="AKE4" s="1115"/>
      <c r="AKF4" s="1115"/>
      <c r="AKG4" s="1115"/>
      <c r="AKH4" s="1115"/>
      <c r="AKI4" s="1115"/>
      <c r="AKJ4" s="1115"/>
      <c r="AKK4" s="1115"/>
      <c r="AKL4" s="1115"/>
      <c r="AKM4" s="1115"/>
      <c r="AKN4" s="1115"/>
      <c r="AKO4" s="1115"/>
      <c r="AKP4" s="1115"/>
      <c r="AKQ4" s="1115"/>
      <c r="AKR4" s="1115"/>
      <c r="AKS4" s="1115"/>
      <c r="AKT4" s="1115"/>
      <c r="AKU4" s="1115"/>
      <c r="AKV4" s="1115"/>
      <c r="AKW4" s="1115"/>
      <c r="AKX4" s="1115"/>
      <c r="AKY4" s="1115"/>
      <c r="AKZ4" s="1115"/>
      <c r="ALA4" s="1115"/>
      <c r="ALB4" s="1115"/>
      <c r="ALC4" s="1115"/>
      <c r="ALD4" s="1115"/>
      <c r="ALE4" s="1115"/>
      <c r="ALF4" s="1115"/>
      <c r="ALG4" s="1115"/>
      <c r="ALH4" s="1115"/>
      <c r="ALI4" s="1115"/>
      <c r="ALJ4" s="1115"/>
      <c r="ALK4" s="1115"/>
      <c r="ALL4" s="1115"/>
      <c r="ALM4" s="1115"/>
      <c r="ALN4" s="1115"/>
      <c r="ALO4" s="1115"/>
      <c r="ALP4" s="1115"/>
      <c r="ALQ4" s="1115"/>
      <c r="ALR4" s="1115"/>
      <c r="ALS4" s="1115"/>
      <c r="ALT4" s="1115"/>
      <c r="ALU4" s="1115"/>
      <c r="ALV4" s="1115"/>
      <c r="ALW4" s="1115"/>
      <c r="ALX4" s="1115"/>
      <c r="ALY4" s="1115"/>
      <c r="ALZ4" s="1115"/>
      <c r="AMA4" s="1115"/>
      <c r="AMB4" s="1115"/>
      <c r="AMC4" s="1115"/>
      <c r="AMD4" s="1115"/>
      <c r="AME4" s="1115"/>
      <c r="AMF4" s="1115"/>
      <c r="AMG4" s="1115"/>
      <c r="AMH4" s="1115"/>
      <c r="AMI4" s="1115"/>
      <c r="AMJ4" s="1115"/>
      <c r="AMK4" s="1115"/>
      <c r="AML4" s="1115"/>
      <c r="AMM4" s="1115"/>
      <c r="AMN4" s="1115"/>
      <c r="AMO4" s="1115"/>
      <c r="AMP4" s="1115"/>
      <c r="AMQ4" s="1115"/>
      <c r="AMR4" s="1115"/>
      <c r="AMS4" s="1115"/>
      <c r="AMT4" s="1115"/>
      <c r="AMU4" s="1115"/>
      <c r="AMV4" s="1115"/>
      <c r="AMW4" s="1115"/>
      <c r="AMX4" s="1115"/>
      <c r="AMY4" s="1115"/>
      <c r="AMZ4" s="1115"/>
      <c r="ANA4" s="1115"/>
      <c r="ANB4" s="1115"/>
      <c r="ANC4" s="1115"/>
      <c r="AND4" s="1115"/>
      <c r="ANE4" s="1115"/>
      <c r="ANF4" s="1115"/>
      <c r="ANG4" s="1115"/>
      <c r="ANH4" s="1115"/>
      <c r="ANI4" s="1115"/>
      <c r="ANJ4" s="1115"/>
      <c r="ANK4" s="1115"/>
      <c r="ANL4" s="1115"/>
      <c r="ANM4" s="1115"/>
      <c r="ANN4" s="1115"/>
      <c r="ANO4" s="1115"/>
      <c r="ANP4" s="1115"/>
      <c r="ANQ4" s="1115"/>
      <c r="ANR4" s="1115"/>
      <c r="ANS4" s="1115"/>
      <c r="ANT4" s="1115"/>
      <c r="ANU4" s="1115"/>
      <c r="ANV4" s="1115"/>
      <c r="ANW4" s="1115"/>
      <c r="ANX4" s="1115"/>
      <c r="ANY4" s="1115"/>
      <c r="ANZ4" s="1115"/>
      <c r="AOA4" s="1115"/>
      <c r="AOB4" s="1115"/>
      <c r="AOC4" s="1115"/>
      <c r="AOD4" s="1115"/>
      <c r="AOE4" s="1115"/>
      <c r="AOF4" s="1115"/>
      <c r="AOG4" s="1115"/>
      <c r="AOH4" s="1115"/>
      <c r="AOI4" s="1115"/>
      <c r="AOJ4" s="1115"/>
      <c r="AOK4" s="1115"/>
      <c r="AOL4" s="1115"/>
      <c r="AOM4" s="1115"/>
      <c r="AON4" s="1115"/>
      <c r="AOO4" s="1115"/>
      <c r="AOP4" s="1115"/>
      <c r="AOQ4" s="1115"/>
      <c r="AOR4" s="1115"/>
      <c r="AOS4" s="1115"/>
      <c r="AOT4" s="1115"/>
      <c r="AOU4" s="1115"/>
      <c r="AOV4" s="1115"/>
      <c r="AOW4" s="1115"/>
      <c r="AOX4" s="1115"/>
      <c r="AOY4" s="1115"/>
      <c r="AOZ4" s="1115"/>
      <c r="APA4" s="1115"/>
      <c r="APB4" s="1115"/>
      <c r="APC4" s="1115"/>
      <c r="APD4" s="1115"/>
      <c r="APE4" s="1115"/>
      <c r="APF4" s="1115"/>
      <c r="APG4" s="1115"/>
      <c r="APH4" s="1115"/>
      <c r="API4" s="1115"/>
      <c r="APJ4" s="1115"/>
      <c r="APK4" s="1115"/>
      <c r="APL4" s="1115"/>
      <c r="APM4" s="1115"/>
      <c r="APN4" s="1115"/>
      <c r="APO4" s="1115"/>
      <c r="APP4" s="1115"/>
      <c r="APQ4" s="1115"/>
      <c r="APR4" s="1115"/>
      <c r="APS4" s="1115"/>
      <c r="APT4" s="1115"/>
      <c r="APU4" s="1115"/>
      <c r="APV4" s="1115"/>
      <c r="APW4" s="1115"/>
      <c r="APX4" s="1115"/>
      <c r="APY4" s="1115"/>
      <c r="APZ4" s="1115"/>
      <c r="AQA4" s="1115"/>
      <c r="AQB4" s="1115"/>
      <c r="AQC4" s="1115"/>
      <c r="AQD4" s="1115"/>
      <c r="AQE4" s="1115"/>
      <c r="AQF4" s="1115"/>
      <c r="AQG4" s="1115"/>
      <c r="AQH4" s="1115"/>
      <c r="AQI4" s="1115"/>
      <c r="AQJ4" s="1115"/>
      <c r="AQK4" s="1115"/>
      <c r="AQL4" s="1115"/>
      <c r="AQM4" s="1115"/>
      <c r="AQN4" s="1115"/>
      <c r="AQO4" s="1115"/>
      <c r="AQP4" s="1115"/>
      <c r="AQQ4" s="1115"/>
      <c r="AQR4" s="1115"/>
      <c r="AQS4" s="1115"/>
      <c r="AQT4" s="1115"/>
      <c r="AQU4" s="1115"/>
      <c r="AQV4" s="1115"/>
      <c r="AQW4" s="1115"/>
      <c r="AQX4" s="1115"/>
      <c r="AQY4" s="1115"/>
      <c r="AQZ4" s="1115"/>
      <c r="ARA4" s="1115"/>
      <c r="ARB4" s="1115"/>
      <c r="ARC4" s="1115"/>
      <c r="ARD4" s="1115"/>
      <c r="ARE4" s="1115"/>
      <c r="ARF4" s="1115"/>
      <c r="ARG4" s="1115"/>
      <c r="ARH4" s="1115"/>
      <c r="ARI4" s="1115"/>
      <c r="ARJ4" s="1115"/>
      <c r="ARK4" s="1115"/>
      <c r="ARL4" s="1115"/>
      <c r="ARM4" s="1115"/>
      <c r="ARN4" s="1115"/>
      <c r="ARO4" s="1115"/>
      <c r="ARP4" s="1115"/>
      <c r="ARQ4" s="1115"/>
      <c r="ARR4" s="1115"/>
      <c r="ARS4" s="1115"/>
      <c r="ART4" s="1115"/>
      <c r="ARU4" s="1115"/>
      <c r="ARV4" s="1115"/>
      <c r="ARW4" s="1115"/>
      <c r="ARX4" s="1115"/>
      <c r="ARY4" s="1115"/>
      <c r="ARZ4" s="1115"/>
      <c r="ASA4" s="1115"/>
      <c r="ASB4" s="1115"/>
      <c r="ASC4" s="1115"/>
      <c r="ASD4" s="1115"/>
      <c r="ASE4" s="1115"/>
      <c r="ASF4" s="1115"/>
      <c r="ASG4" s="1115"/>
      <c r="ASH4" s="1115"/>
      <c r="ASI4" s="1115"/>
      <c r="ASJ4" s="1115"/>
      <c r="ASK4" s="1115"/>
      <c r="ASL4" s="1115"/>
      <c r="ASM4" s="1115"/>
      <c r="ASN4" s="1115"/>
      <c r="ASO4" s="1115"/>
      <c r="ASP4" s="1115"/>
      <c r="ASQ4" s="1115"/>
      <c r="ASR4" s="1115"/>
      <c r="ASS4" s="1115"/>
      <c r="AST4" s="1115"/>
      <c r="ASU4" s="1115"/>
      <c r="ASV4" s="1115"/>
      <c r="ASW4" s="1115"/>
      <c r="ASX4" s="1115"/>
      <c r="ASY4" s="1115"/>
      <c r="ASZ4" s="1115"/>
      <c r="ATA4" s="1115"/>
      <c r="ATB4" s="1115"/>
      <c r="ATC4" s="1115"/>
      <c r="ATD4" s="1115"/>
      <c r="ATE4" s="1115"/>
      <c r="ATF4" s="1115"/>
      <c r="ATG4" s="1115"/>
      <c r="ATH4" s="1115"/>
      <c r="ATI4" s="1115"/>
      <c r="ATJ4" s="1115"/>
      <c r="ATK4" s="1115"/>
      <c r="ATL4" s="1115"/>
      <c r="ATM4" s="1115"/>
      <c r="ATN4" s="1115"/>
      <c r="ATO4" s="1115"/>
      <c r="ATP4" s="1115"/>
      <c r="ATQ4" s="1115"/>
      <c r="ATR4" s="1115"/>
      <c r="ATS4" s="1115"/>
      <c r="ATT4" s="1115"/>
      <c r="ATU4" s="1115"/>
      <c r="ATV4" s="1115"/>
      <c r="ATW4" s="1115"/>
      <c r="ATX4" s="1115"/>
      <c r="ATY4" s="1115"/>
      <c r="ATZ4" s="1115"/>
      <c r="AUA4" s="1115"/>
      <c r="AUB4" s="1115"/>
      <c r="AUC4" s="1115"/>
      <c r="AUD4" s="1115"/>
      <c r="AUE4" s="1115"/>
      <c r="AUF4" s="1115"/>
      <c r="AUG4" s="1115"/>
      <c r="AUH4" s="1115"/>
      <c r="AUI4" s="1115"/>
      <c r="AUJ4" s="1115"/>
      <c r="AUK4" s="1115"/>
      <c r="AUL4" s="1115"/>
      <c r="AUM4" s="1115"/>
      <c r="AUN4" s="1115"/>
      <c r="AUO4" s="1115"/>
      <c r="AUP4" s="1115"/>
      <c r="AUQ4" s="1115"/>
      <c r="AUR4" s="1115"/>
      <c r="AUS4" s="1115"/>
      <c r="AUT4" s="1115"/>
      <c r="AUU4" s="1115"/>
      <c r="AUV4" s="1115"/>
      <c r="AUW4" s="1115"/>
      <c r="AUX4" s="1115"/>
      <c r="AUY4" s="1115"/>
      <c r="AUZ4" s="1115"/>
      <c r="AVA4" s="1115"/>
      <c r="AVB4" s="1115"/>
      <c r="AVC4" s="1115"/>
      <c r="AVD4" s="1115"/>
      <c r="AVE4" s="1115"/>
      <c r="AVF4" s="1115"/>
      <c r="AVG4" s="1115"/>
      <c r="AVH4" s="1115"/>
      <c r="AVI4" s="1115"/>
      <c r="AVJ4" s="1115"/>
      <c r="AVK4" s="1115"/>
      <c r="AVL4" s="1115"/>
      <c r="AVM4" s="1115"/>
      <c r="AVN4" s="1115"/>
      <c r="AVO4" s="1115"/>
      <c r="AVP4" s="1115"/>
      <c r="AVQ4" s="1115"/>
      <c r="AVR4" s="1115"/>
      <c r="AVS4" s="1115"/>
      <c r="AVT4" s="1115"/>
      <c r="AVU4" s="1115"/>
      <c r="AVV4" s="1115"/>
      <c r="AVW4" s="1115"/>
      <c r="AVX4" s="1115"/>
      <c r="AVY4" s="1115"/>
      <c r="AVZ4" s="1115"/>
      <c r="AWA4" s="1115"/>
      <c r="AWB4" s="1115"/>
      <c r="AWC4" s="1115"/>
      <c r="AWD4" s="1115"/>
      <c r="AWE4" s="1115"/>
      <c r="AWF4" s="1115"/>
      <c r="AWG4" s="1115"/>
      <c r="AWH4" s="1115"/>
      <c r="AWI4" s="1115"/>
      <c r="AWJ4" s="1115"/>
      <c r="AWK4" s="1115"/>
      <c r="AWL4" s="1115"/>
      <c r="AWM4" s="1115"/>
      <c r="AWN4" s="1115"/>
      <c r="AWO4" s="1115"/>
      <c r="AWP4" s="1115"/>
      <c r="AWQ4" s="1115"/>
      <c r="AWR4" s="1115"/>
      <c r="AWS4" s="1115"/>
      <c r="AWT4" s="1115"/>
      <c r="AWU4" s="1115"/>
      <c r="AWV4" s="1115"/>
      <c r="AWW4" s="1115"/>
      <c r="AWX4" s="1115"/>
      <c r="AWY4" s="1115"/>
      <c r="AWZ4" s="1115"/>
      <c r="AXA4" s="1115"/>
      <c r="AXB4" s="1115"/>
      <c r="AXC4" s="1115"/>
      <c r="AXD4" s="1115"/>
      <c r="AXE4" s="1115"/>
      <c r="AXF4" s="1115"/>
      <c r="AXG4" s="1115"/>
      <c r="AXH4" s="1115"/>
      <c r="AXI4" s="1115"/>
      <c r="AXJ4" s="1115"/>
      <c r="AXK4" s="1115"/>
      <c r="AXL4" s="1115"/>
      <c r="AXM4" s="1115"/>
      <c r="AXN4" s="1115"/>
      <c r="AXO4" s="1115"/>
      <c r="AXP4" s="1115"/>
      <c r="AXQ4" s="1115"/>
      <c r="AXR4" s="1115"/>
      <c r="AXS4" s="1115"/>
      <c r="AXT4" s="1115"/>
      <c r="AXU4" s="1115"/>
      <c r="AXV4" s="1115"/>
      <c r="AXW4" s="1115"/>
      <c r="AXX4" s="1115"/>
      <c r="AXY4" s="1115"/>
      <c r="AXZ4" s="1115"/>
      <c r="AYA4" s="1115"/>
      <c r="AYB4" s="1115"/>
      <c r="AYC4" s="1115"/>
      <c r="AYD4" s="1115"/>
      <c r="AYE4" s="1115"/>
      <c r="AYF4" s="1115"/>
      <c r="AYG4" s="1115"/>
      <c r="AYH4" s="1115"/>
      <c r="AYI4" s="1115"/>
      <c r="AYJ4" s="1115"/>
      <c r="AYK4" s="1115"/>
      <c r="AYL4" s="1115"/>
      <c r="AYM4" s="1115"/>
      <c r="AYN4" s="1115"/>
      <c r="AYO4" s="1115"/>
      <c r="AYP4" s="1115"/>
      <c r="AYQ4" s="1115"/>
      <c r="AYR4" s="1115"/>
      <c r="AYS4" s="1115"/>
      <c r="AYT4" s="1115"/>
      <c r="AYU4" s="1115"/>
      <c r="AYV4" s="1115"/>
      <c r="AYW4" s="1115"/>
      <c r="AYX4" s="1115"/>
      <c r="AYY4" s="1115"/>
      <c r="AYZ4" s="1115"/>
      <c r="AZA4" s="1115"/>
      <c r="AZB4" s="1115"/>
      <c r="AZC4" s="1115"/>
      <c r="AZD4" s="1115"/>
      <c r="AZE4" s="1115"/>
      <c r="AZF4" s="1115"/>
      <c r="AZG4" s="1115"/>
      <c r="AZH4" s="1115"/>
      <c r="AZI4" s="1115"/>
      <c r="AZJ4" s="1115"/>
      <c r="AZK4" s="1115"/>
      <c r="AZL4" s="1115"/>
      <c r="AZM4" s="1115"/>
      <c r="AZN4" s="1115"/>
      <c r="AZO4" s="1115"/>
      <c r="AZP4" s="1115"/>
      <c r="AZQ4" s="1115"/>
      <c r="AZR4" s="1115"/>
      <c r="AZS4" s="1115"/>
      <c r="AZT4" s="1115"/>
      <c r="AZU4" s="1115"/>
      <c r="AZV4" s="1115"/>
      <c r="AZW4" s="1115"/>
      <c r="AZX4" s="1115"/>
      <c r="AZY4" s="1115"/>
      <c r="AZZ4" s="1115"/>
      <c r="BAA4" s="1115"/>
      <c r="BAB4" s="1115"/>
      <c r="BAC4" s="1115"/>
      <c r="BAD4" s="1115"/>
      <c r="BAE4" s="1115"/>
      <c r="BAF4" s="1115"/>
      <c r="BAG4" s="1115"/>
      <c r="BAH4" s="1115"/>
      <c r="BAI4" s="1115"/>
      <c r="BAJ4" s="1115"/>
      <c r="BAK4" s="1115"/>
      <c r="BAL4" s="1115"/>
      <c r="BAM4" s="1115"/>
      <c r="BAN4" s="1115"/>
      <c r="BAO4" s="1115"/>
      <c r="BAP4" s="1115"/>
      <c r="BAQ4" s="1115"/>
      <c r="BAR4" s="1115"/>
      <c r="BAS4" s="1115"/>
      <c r="BAT4" s="1115"/>
      <c r="BAU4" s="1115"/>
      <c r="BAV4" s="1115"/>
      <c r="BAW4" s="1115"/>
      <c r="BAX4" s="1115"/>
      <c r="BAY4" s="1115"/>
      <c r="BAZ4" s="1115"/>
      <c r="BBA4" s="1115"/>
      <c r="BBB4" s="1115"/>
      <c r="BBC4" s="1115"/>
      <c r="BBD4" s="1115"/>
      <c r="BBE4" s="1115"/>
      <c r="BBF4" s="1115"/>
      <c r="BBG4" s="1115"/>
      <c r="BBH4" s="1115"/>
      <c r="BBI4" s="1115"/>
      <c r="BBJ4" s="1115"/>
      <c r="BBK4" s="1115"/>
      <c r="BBL4" s="1115"/>
      <c r="BBM4" s="1115"/>
      <c r="BBN4" s="1115"/>
      <c r="BBO4" s="1115"/>
      <c r="BBP4" s="1115"/>
      <c r="BBQ4" s="1115"/>
      <c r="BBR4" s="1115"/>
      <c r="BBS4" s="1115"/>
      <c r="BBT4" s="1115"/>
      <c r="BBU4" s="1115"/>
      <c r="BBV4" s="1115"/>
      <c r="BBW4" s="1115"/>
      <c r="BBX4" s="1115"/>
      <c r="BBY4" s="1115"/>
      <c r="BBZ4" s="1115"/>
      <c r="BCA4" s="1115"/>
      <c r="BCB4" s="1115"/>
      <c r="BCC4" s="1115"/>
      <c r="BCD4" s="1115"/>
      <c r="BCE4" s="1115"/>
      <c r="BCF4" s="1115"/>
      <c r="BCG4" s="1115"/>
      <c r="BCH4" s="1115"/>
      <c r="BCI4" s="1115"/>
      <c r="BCJ4" s="1115"/>
      <c r="BCK4" s="1115"/>
      <c r="BCL4" s="1115"/>
      <c r="BCM4" s="1115"/>
      <c r="BCN4" s="1115"/>
      <c r="BCO4" s="1115"/>
      <c r="BCP4" s="1115"/>
      <c r="BCQ4" s="1115"/>
      <c r="BCR4" s="1115"/>
      <c r="BCS4" s="1115"/>
      <c r="BCT4" s="1115"/>
      <c r="BCU4" s="1115"/>
      <c r="BCV4" s="1115"/>
      <c r="BCW4" s="1115"/>
      <c r="BCX4" s="1115"/>
      <c r="BCY4" s="1115"/>
      <c r="BCZ4" s="1115"/>
      <c r="BDA4" s="1115"/>
      <c r="BDB4" s="1115"/>
      <c r="BDC4" s="1115"/>
      <c r="BDD4" s="1115"/>
      <c r="BDE4" s="1115"/>
      <c r="BDF4" s="1115"/>
      <c r="BDG4" s="1115"/>
      <c r="BDH4" s="1115"/>
      <c r="BDI4" s="1115"/>
      <c r="BDJ4" s="1115"/>
      <c r="BDK4" s="1115"/>
      <c r="BDL4" s="1115"/>
      <c r="BDM4" s="1115"/>
      <c r="BDN4" s="1115"/>
      <c r="BDO4" s="1115"/>
      <c r="BDP4" s="1115"/>
      <c r="BDQ4" s="1115"/>
      <c r="BDR4" s="1115"/>
      <c r="BDS4" s="1115"/>
      <c r="BDT4" s="1115"/>
      <c r="BDU4" s="1115"/>
      <c r="BDV4" s="1115"/>
      <c r="BDW4" s="1115"/>
      <c r="BDX4" s="1115"/>
      <c r="BDY4" s="1115"/>
      <c r="BDZ4" s="1115"/>
      <c r="BEA4" s="1115"/>
      <c r="BEB4" s="1115"/>
      <c r="BEC4" s="1115"/>
      <c r="BED4" s="1115"/>
      <c r="BEE4" s="1115"/>
      <c r="BEF4" s="1115"/>
      <c r="BEG4" s="1115"/>
      <c r="BEH4" s="1115"/>
      <c r="BEI4" s="1115"/>
      <c r="BEJ4" s="1115"/>
      <c r="BEK4" s="1115"/>
      <c r="BEL4" s="1115"/>
      <c r="BEM4" s="1115"/>
      <c r="BEN4" s="1115"/>
      <c r="BEO4" s="1115"/>
      <c r="BEP4" s="1115"/>
      <c r="BEQ4" s="1115"/>
      <c r="BER4" s="1115"/>
      <c r="BES4" s="1115"/>
      <c r="BET4" s="1115"/>
      <c r="BEU4" s="1115"/>
      <c r="BEV4" s="1115"/>
      <c r="BEW4" s="1115"/>
      <c r="BEX4" s="1115"/>
      <c r="BEY4" s="1115"/>
      <c r="BEZ4" s="1115"/>
      <c r="BFA4" s="1115"/>
      <c r="BFB4" s="1115"/>
      <c r="BFC4" s="1115"/>
      <c r="BFD4" s="1115"/>
      <c r="BFE4" s="1115"/>
      <c r="BFF4" s="1115"/>
      <c r="BFG4" s="1115"/>
      <c r="BFH4" s="1115"/>
      <c r="BFI4" s="1115"/>
      <c r="BFJ4" s="1115"/>
      <c r="BFK4" s="1115"/>
      <c r="BFL4" s="1115"/>
      <c r="BFM4" s="1115"/>
      <c r="BFN4" s="1115"/>
      <c r="BFO4" s="1115"/>
      <c r="BFP4" s="1115"/>
      <c r="BFQ4" s="1115"/>
      <c r="BFR4" s="1115"/>
      <c r="BFS4" s="1115"/>
      <c r="BFT4" s="1115"/>
      <c r="BFU4" s="1115"/>
      <c r="BFV4" s="1115"/>
      <c r="BFW4" s="1115"/>
      <c r="BFX4" s="1115"/>
      <c r="BFY4" s="1115"/>
      <c r="BFZ4" s="1115"/>
      <c r="BGA4" s="1115"/>
      <c r="BGB4" s="1115"/>
      <c r="BGC4" s="1115"/>
      <c r="BGD4" s="1115"/>
      <c r="BGE4" s="1115"/>
      <c r="BGF4" s="1115"/>
      <c r="BGG4" s="1115"/>
      <c r="BGH4" s="1115"/>
      <c r="BGI4" s="1115"/>
      <c r="BGJ4" s="1115"/>
      <c r="BGK4" s="1115"/>
      <c r="BGL4" s="1115"/>
      <c r="BGM4" s="1115"/>
      <c r="BGN4" s="1115"/>
      <c r="BGO4" s="1115"/>
      <c r="BGP4" s="1115"/>
      <c r="BGQ4" s="1115"/>
      <c r="BGR4" s="1115"/>
      <c r="BGS4" s="1115"/>
      <c r="BGT4" s="1115"/>
      <c r="BGU4" s="1115"/>
      <c r="BGV4" s="1115"/>
      <c r="BGW4" s="1115"/>
      <c r="BGX4" s="1115"/>
      <c r="BGY4" s="1115"/>
      <c r="BGZ4" s="1115"/>
      <c r="BHA4" s="1115"/>
      <c r="BHB4" s="1115"/>
      <c r="BHC4" s="1115"/>
      <c r="BHD4" s="1115"/>
      <c r="BHE4" s="1115"/>
      <c r="BHF4" s="1115"/>
      <c r="BHG4" s="1115"/>
      <c r="BHH4" s="1115"/>
      <c r="BHI4" s="1115"/>
      <c r="BHJ4" s="1115"/>
      <c r="BHK4" s="1115"/>
      <c r="BHL4" s="1115"/>
      <c r="BHM4" s="1115"/>
      <c r="BHN4" s="1115"/>
      <c r="BHO4" s="1115"/>
      <c r="BHP4" s="1115"/>
      <c r="BHQ4" s="1115"/>
      <c r="BHR4" s="1115"/>
      <c r="BHS4" s="1115"/>
      <c r="BHT4" s="1115"/>
      <c r="BHU4" s="1115"/>
      <c r="BHV4" s="1115"/>
      <c r="BHW4" s="1115"/>
      <c r="BHX4" s="1115"/>
      <c r="BHY4" s="1115"/>
      <c r="BHZ4" s="1115"/>
      <c r="BIA4" s="1115"/>
      <c r="BIB4" s="1115"/>
      <c r="BIC4" s="1115"/>
      <c r="BID4" s="1115"/>
      <c r="BIE4" s="1115"/>
      <c r="BIF4" s="1115"/>
      <c r="BIG4" s="1115"/>
      <c r="BIH4" s="1115"/>
      <c r="BII4" s="1115"/>
      <c r="BIJ4" s="1115"/>
      <c r="BIK4" s="1115"/>
      <c r="BIL4" s="1115"/>
      <c r="BIM4" s="1115"/>
      <c r="BIN4" s="1115"/>
      <c r="BIO4" s="1115"/>
      <c r="BIP4" s="1115"/>
      <c r="BIQ4" s="1115"/>
      <c r="BIR4" s="1115"/>
      <c r="BIS4" s="1115"/>
      <c r="BIT4" s="1115"/>
      <c r="BIU4" s="1115"/>
      <c r="BIV4" s="1115"/>
      <c r="BIW4" s="1115"/>
      <c r="BIX4" s="1115"/>
      <c r="BIY4" s="1115"/>
      <c r="BIZ4" s="1115"/>
      <c r="BJA4" s="1115"/>
      <c r="BJB4" s="1115"/>
      <c r="BJC4" s="1115"/>
      <c r="BJD4" s="1115"/>
      <c r="BJE4" s="1115"/>
      <c r="BJF4" s="1115"/>
      <c r="BJG4" s="1115"/>
      <c r="BJH4" s="1115"/>
      <c r="BJI4" s="1115"/>
      <c r="BJJ4" s="1115"/>
      <c r="BJK4" s="1115"/>
      <c r="BJL4" s="1115"/>
      <c r="BJM4" s="1115"/>
      <c r="BJN4" s="1115"/>
      <c r="BJO4" s="1115"/>
      <c r="BJP4" s="1115"/>
      <c r="BJQ4" s="1115"/>
      <c r="BJR4" s="1115"/>
      <c r="BJS4" s="1115"/>
      <c r="BJT4" s="1115"/>
      <c r="BJU4" s="1115"/>
      <c r="BJV4" s="1115"/>
      <c r="BJW4" s="1115"/>
      <c r="BJX4" s="1115"/>
      <c r="BJY4" s="1115"/>
      <c r="BJZ4" s="1115"/>
      <c r="BKA4" s="1115"/>
      <c r="BKB4" s="1115"/>
      <c r="BKC4" s="1115"/>
      <c r="BKD4" s="1115"/>
      <c r="BKE4" s="1115"/>
      <c r="BKF4" s="1115"/>
      <c r="BKG4" s="1115"/>
      <c r="BKH4" s="1115"/>
      <c r="BKI4" s="1115"/>
      <c r="BKJ4" s="1115"/>
      <c r="BKK4" s="1115"/>
      <c r="BKL4" s="1115"/>
      <c r="BKM4" s="1115"/>
      <c r="BKN4" s="1115"/>
      <c r="BKO4" s="1115"/>
      <c r="BKP4" s="1115"/>
      <c r="BKQ4" s="1115"/>
      <c r="BKR4" s="1115"/>
      <c r="BKS4" s="1115"/>
      <c r="BKT4" s="1115"/>
      <c r="BKU4" s="1115"/>
      <c r="BKV4" s="1115"/>
      <c r="BKW4" s="1115"/>
      <c r="BKX4" s="1115"/>
      <c r="BKY4" s="1115"/>
      <c r="BKZ4" s="1115"/>
      <c r="BLA4" s="1115"/>
      <c r="BLB4" s="1115"/>
      <c r="BLC4" s="1115"/>
      <c r="BLD4" s="1115"/>
      <c r="BLE4" s="1115"/>
      <c r="BLF4" s="1115"/>
      <c r="BLG4" s="1115"/>
      <c r="BLH4" s="1115"/>
      <c r="BLI4" s="1115"/>
      <c r="BLJ4" s="1115"/>
      <c r="BLK4" s="1115"/>
      <c r="BLL4" s="1115"/>
      <c r="BLM4" s="1115"/>
      <c r="BLN4" s="1115"/>
      <c r="BLO4" s="1115"/>
      <c r="BLP4" s="1115"/>
      <c r="BLQ4" s="1115"/>
      <c r="BLR4" s="1115"/>
      <c r="BLS4" s="1115"/>
      <c r="BLT4" s="1115"/>
      <c r="BLU4" s="1115"/>
      <c r="BLV4" s="1115"/>
      <c r="BLW4" s="1115"/>
      <c r="BLX4" s="1115"/>
      <c r="BLY4" s="1115"/>
      <c r="BLZ4" s="1115"/>
      <c r="BMA4" s="1115"/>
      <c r="BMB4" s="1115"/>
      <c r="BMC4" s="1115"/>
      <c r="BMD4" s="1115"/>
      <c r="BME4" s="1115"/>
      <c r="BMF4" s="1115"/>
      <c r="BMG4" s="1115"/>
      <c r="BMH4" s="1115"/>
      <c r="BMI4" s="1115"/>
      <c r="BMJ4" s="1115"/>
      <c r="BMK4" s="1115"/>
      <c r="BML4" s="1115"/>
      <c r="BMM4" s="1115"/>
      <c r="BMN4" s="1115"/>
      <c r="BMO4" s="1115"/>
      <c r="BMP4" s="1115"/>
      <c r="BMQ4" s="1115"/>
      <c r="BMR4" s="1115"/>
      <c r="BMS4" s="1115"/>
      <c r="BMT4" s="1115"/>
      <c r="BMU4" s="1115"/>
      <c r="BMV4" s="1115"/>
      <c r="BMW4" s="1115"/>
      <c r="BMX4" s="1115"/>
      <c r="BMY4" s="1115"/>
      <c r="BMZ4" s="1115"/>
      <c r="BNA4" s="1115"/>
      <c r="BNB4" s="1115"/>
      <c r="BNC4" s="1115"/>
      <c r="BND4" s="1115"/>
      <c r="BNE4" s="1115"/>
      <c r="BNF4" s="1115"/>
      <c r="BNG4" s="1115"/>
      <c r="BNH4" s="1115"/>
      <c r="BNI4" s="1115"/>
      <c r="BNJ4" s="1115"/>
      <c r="BNK4" s="1115"/>
      <c r="BNL4" s="1115"/>
      <c r="BNM4" s="1115"/>
      <c r="BNN4" s="1115"/>
      <c r="BNO4" s="1115"/>
      <c r="BNP4" s="1115"/>
      <c r="BNQ4" s="1115"/>
      <c r="BNR4" s="1115"/>
      <c r="BNS4" s="1115"/>
      <c r="BNT4" s="1115"/>
      <c r="BNU4" s="1115"/>
      <c r="BNV4" s="1115"/>
      <c r="BNW4" s="1115"/>
      <c r="BNX4" s="1115"/>
      <c r="BNY4" s="1115"/>
      <c r="BNZ4" s="1115"/>
      <c r="BOA4" s="1115"/>
      <c r="BOB4" s="1115"/>
      <c r="BOC4" s="1115"/>
      <c r="BOD4" s="1115"/>
      <c r="BOE4" s="1115"/>
      <c r="BOF4" s="1115"/>
      <c r="BOG4" s="1115"/>
      <c r="BOH4" s="1115"/>
      <c r="BOI4" s="1115"/>
      <c r="BOJ4" s="1115"/>
      <c r="BOK4" s="1115"/>
      <c r="BOL4" s="1115"/>
      <c r="BOM4" s="1115"/>
      <c r="BON4" s="1115"/>
      <c r="BOO4" s="1115"/>
      <c r="BOP4" s="1115"/>
      <c r="BOQ4" s="1115"/>
      <c r="BOR4" s="1115"/>
      <c r="BOS4" s="1115"/>
      <c r="BOT4" s="1115"/>
      <c r="BOU4" s="1115"/>
      <c r="BOV4" s="1115"/>
      <c r="BOW4" s="1115"/>
      <c r="BOX4" s="1115"/>
      <c r="BOY4" s="1115"/>
      <c r="BOZ4" s="1115"/>
      <c r="BPA4" s="1115"/>
      <c r="BPB4" s="1115"/>
      <c r="BPC4" s="1115"/>
      <c r="BPD4" s="1115"/>
      <c r="BPE4" s="1115"/>
      <c r="BPF4" s="1115"/>
      <c r="BPG4" s="1115"/>
      <c r="BPH4" s="1115"/>
      <c r="BPI4" s="1115"/>
      <c r="BPJ4" s="1115"/>
      <c r="BPK4" s="1115"/>
      <c r="BPL4" s="1115"/>
      <c r="BPM4" s="1115"/>
      <c r="BPN4" s="1115"/>
      <c r="BPO4" s="1115"/>
      <c r="BPP4" s="1115"/>
      <c r="BPQ4" s="1115"/>
      <c r="BPR4" s="1115"/>
      <c r="BPS4" s="1115"/>
      <c r="BPT4" s="1115"/>
      <c r="BPU4" s="1115"/>
      <c r="BPV4" s="1115"/>
      <c r="BPW4" s="1115"/>
      <c r="BPX4" s="1115"/>
      <c r="BPY4" s="1115"/>
      <c r="BPZ4" s="1115"/>
      <c r="BQA4" s="1115"/>
      <c r="BQB4" s="1115"/>
      <c r="BQC4" s="1115"/>
      <c r="BQD4" s="1115"/>
      <c r="BQE4" s="1115"/>
      <c r="BQF4" s="1115"/>
      <c r="BQG4" s="1115"/>
      <c r="BQH4" s="1115"/>
      <c r="BQI4" s="1115"/>
      <c r="BQJ4" s="1115"/>
      <c r="BQK4" s="1115"/>
      <c r="BQL4" s="1115"/>
      <c r="BQM4" s="1115"/>
      <c r="BQN4" s="1115"/>
      <c r="BQO4" s="1115"/>
      <c r="BQP4" s="1115"/>
      <c r="BQQ4" s="1115"/>
      <c r="BQR4" s="1115"/>
      <c r="BQS4" s="1115"/>
      <c r="BQT4" s="1115"/>
      <c r="BQU4" s="1115"/>
      <c r="BQV4" s="1115"/>
      <c r="BQW4" s="1115"/>
      <c r="BQX4" s="1115"/>
      <c r="BQY4" s="1115"/>
      <c r="BQZ4" s="1115"/>
      <c r="BRA4" s="1115"/>
      <c r="BRB4" s="1115"/>
      <c r="BRC4" s="1115"/>
      <c r="BRD4" s="1115"/>
      <c r="BRE4" s="1115"/>
      <c r="BRF4" s="1115"/>
      <c r="BRG4" s="1115"/>
      <c r="BRH4" s="1115"/>
      <c r="BRI4" s="1115"/>
      <c r="BRJ4" s="1115"/>
      <c r="BRK4" s="1115"/>
      <c r="BRL4" s="1115"/>
      <c r="BRM4" s="1115"/>
      <c r="BRN4" s="1115"/>
      <c r="BRO4" s="1115"/>
      <c r="BRP4" s="1115"/>
      <c r="BRQ4" s="1115"/>
      <c r="BRR4" s="1115"/>
      <c r="BRS4" s="1115"/>
      <c r="BRT4" s="1115"/>
      <c r="BRU4" s="1115"/>
      <c r="BRV4" s="1115"/>
      <c r="BRW4" s="1115"/>
      <c r="BRX4" s="1115"/>
      <c r="BRY4" s="1115"/>
      <c r="BRZ4" s="1115"/>
      <c r="BSA4" s="1115"/>
      <c r="BSB4" s="1115"/>
      <c r="BSC4" s="1115"/>
      <c r="BSD4" s="1115"/>
      <c r="BSE4" s="1115"/>
      <c r="BSF4" s="1115"/>
      <c r="BSG4" s="1115"/>
      <c r="BSH4" s="1115"/>
      <c r="BSI4" s="1115"/>
      <c r="BSJ4" s="1115"/>
      <c r="BSK4" s="1115"/>
      <c r="BSL4" s="1115"/>
      <c r="BSM4" s="1115"/>
      <c r="BSN4" s="1115"/>
      <c r="BSO4" s="1115"/>
      <c r="BSP4" s="1115"/>
      <c r="BSQ4" s="1115"/>
      <c r="BSR4" s="1115"/>
      <c r="BSS4" s="1115"/>
      <c r="BST4" s="1115"/>
      <c r="BSU4" s="1115"/>
      <c r="BSV4" s="1115"/>
      <c r="BSW4" s="1115"/>
      <c r="BSX4" s="1115"/>
      <c r="BSY4" s="1115"/>
      <c r="BSZ4" s="1115"/>
      <c r="BTA4" s="1115"/>
      <c r="BTB4" s="1115"/>
      <c r="BTC4" s="1115"/>
      <c r="BTD4" s="1115"/>
      <c r="BTE4" s="1115"/>
      <c r="BTF4" s="1115"/>
      <c r="BTG4" s="1115"/>
      <c r="BTH4" s="1115"/>
      <c r="BTI4" s="1115"/>
      <c r="BTJ4" s="1115"/>
      <c r="BTK4" s="1115"/>
      <c r="BTL4" s="1115"/>
      <c r="BTM4" s="1115"/>
      <c r="BTN4" s="1115"/>
      <c r="BTO4" s="1115"/>
      <c r="BTP4" s="1115"/>
      <c r="BTQ4" s="1115"/>
      <c r="BTR4" s="1115"/>
      <c r="BTS4" s="1115"/>
      <c r="BTT4" s="1115"/>
      <c r="BTU4" s="1115"/>
      <c r="BTV4" s="1115"/>
      <c r="BTW4" s="1115"/>
      <c r="BTX4" s="1115"/>
      <c r="BTY4" s="1115"/>
      <c r="BTZ4" s="1115"/>
      <c r="BUA4" s="1115"/>
      <c r="BUB4" s="1115"/>
      <c r="BUC4" s="1115"/>
      <c r="BUD4" s="1115"/>
      <c r="BUE4" s="1115"/>
      <c r="BUF4" s="1115"/>
      <c r="BUG4" s="1115"/>
      <c r="BUH4" s="1115"/>
      <c r="BUI4" s="1115"/>
      <c r="BUJ4" s="1115"/>
      <c r="BUK4" s="1115"/>
      <c r="BUL4" s="1115"/>
      <c r="BUM4" s="1115"/>
      <c r="BUN4" s="1115"/>
      <c r="BUO4" s="1115"/>
      <c r="BUP4" s="1115"/>
      <c r="BUQ4" s="1115"/>
      <c r="BUR4" s="1115"/>
      <c r="BUS4" s="1115"/>
      <c r="BUT4" s="1115"/>
      <c r="BUU4" s="1115"/>
      <c r="BUV4" s="1115"/>
      <c r="BUW4" s="1115"/>
      <c r="BUX4" s="1115"/>
      <c r="BUY4" s="1115"/>
      <c r="BUZ4" s="1115"/>
      <c r="BVA4" s="1115"/>
      <c r="BVB4" s="1115"/>
      <c r="BVC4" s="1115"/>
      <c r="BVD4" s="1115"/>
      <c r="BVE4" s="1115"/>
      <c r="BVF4" s="1115"/>
      <c r="BVG4" s="1115"/>
      <c r="BVH4" s="1115"/>
      <c r="BVI4" s="1115"/>
      <c r="BVJ4" s="1115"/>
      <c r="BVK4" s="1115"/>
      <c r="BVL4" s="1115"/>
      <c r="BVM4" s="1115"/>
      <c r="BVN4" s="1115"/>
      <c r="BVO4" s="1115"/>
      <c r="BVP4" s="1115"/>
      <c r="BVQ4" s="1115"/>
      <c r="BVR4" s="1115"/>
      <c r="BVS4" s="1115"/>
      <c r="BVT4" s="1115"/>
      <c r="BVU4" s="1115"/>
      <c r="BVV4" s="1115"/>
      <c r="BVW4" s="1115"/>
      <c r="BVX4" s="1115"/>
      <c r="BVY4" s="1115"/>
      <c r="BVZ4" s="1115"/>
      <c r="BWA4" s="1115"/>
      <c r="BWB4" s="1115"/>
      <c r="BWC4" s="1115"/>
      <c r="BWD4" s="1115"/>
      <c r="BWE4" s="1115"/>
      <c r="BWF4" s="1115"/>
      <c r="BWG4" s="1115"/>
      <c r="BWH4" s="1115"/>
      <c r="BWI4" s="1115"/>
      <c r="BWJ4" s="1115"/>
      <c r="BWK4" s="1115"/>
      <c r="BWL4" s="1115"/>
      <c r="BWM4" s="1115"/>
      <c r="BWN4" s="1115"/>
      <c r="BWO4" s="1115"/>
      <c r="BWP4" s="1115"/>
      <c r="BWQ4" s="1115"/>
      <c r="BWR4" s="1115"/>
      <c r="BWS4" s="1115"/>
      <c r="BWT4" s="1115"/>
      <c r="BWU4" s="1115"/>
      <c r="BWV4" s="1115"/>
      <c r="BWW4" s="1115"/>
      <c r="BWX4" s="1115"/>
      <c r="BWY4" s="1115"/>
      <c r="BWZ4" s="1115"/>
      <c r="BXA4" s="1115"/>
      <c r="BXB4" s="1115"/>
      <c r="BXC4" s="1115"/>
      <c r="BXD4" s="1115"/>
      <c r="BXE4" s="1115"/>
      <c r="BXF4" s="1115"/>
      <c r="BXG4" s="1115"/>
      <c r="BXH4" s="1115"/>
      <c r="BXI4" s="1115"/>
      <c r="BXJ4" s="1115"/>
      <c r="BXK4" s="1115"/>
      <c r="BXL4" s="1115"/>
      <c r="BXM4" s="1115"/>
      <c r="BXN4" s="1115"/>
      <c r="BXO4" s="1115"/>
      <c r="BXP4" s="1115"/>
      <c r="BXQ4" s="1115"/>
      <c r="BXR4" s="1115"/>
      <c r="BXS4" s="1115"/>
      <c r="BXT4" s="1115"/>
      <c r="BXU4" s="1115"/>
      <c r="BXV4" s="1115"/>
      <c r="BXW4" s="1115"/>
      <c r="BXX4" s="1115"/>
      <c r="BXY4" s="1115"/>
      <c r="BXZ4" s="1115"/>
      <c r="BYA4" s="1115"/>
      <c r="BYB4" s="1115"/>
      <c r="BYC4" s="1115"/>
      <c r="BYD4" s="1115"/>
      <c r="BYE4" s="1115"/>
      <c r="BYF4" s="1115"/>
      <c r="BYG4" s="1115"/>
      <c r="BYH4" s="1115"/>
      <c r="BYI4" s="1115"/>
      <c r="BYJ4" s="1115"/>
      <c r="BYK4" s="1115"/>
      <c r="BYL4" s="1115"/>
      <c r="BYM4" s="1115"/>
      <c r="BYN4" s="1115"/>
      <c r="BYO4" s="1115"/>
      <c r="BYP4" s="1115"/>
      <c r="BYQ4" s="1115"/>
      <c r="BYR4" s="1115"/>
      <c r="BYS4" s="1115"/>
      <c r="BYT4" s="1115"/>
      <c r="BYU4" s="1115"/>
      <c r="BYV4" s="1115"/>
      <c r="BYW4" s="1115"/>
      <c r="BYX4" s="1115"/>
      <c r="BYY4" s="1115"/>
      <c r="BYZ4" s="1115"/>
      <c r="BZA4" s="1115"/>
      <c r="BZB4" s="1115"/>
      <c r="BZC4" s="1115"/>
      <c r="BZD4" s="1115"/>
      <c r="BZE4" s="1115"/>
      <c r="BZF4" s="1115"/>
      <c r="BZG4" s="1115"/>
      <c r="BZH4" s="1115"/>
      <c r="BZI4" s="1115"/>
      <c r="BZJ4" s="1115"/>
      <c r="BZK4" s="1115"/>
      <c r="BZL4" s="1115"/>
      <c r="BZM4" s="1115"/>
      <c r="BZN4" s="1115"/>
      <c r="BZO4" s="1115"/>
      <c r="BZP4" s="1115"/>
      <c r="BZQ4" s="1115"/>
      <c r="BZR4" s="1115"/>
      <c r="BZS4" s="1115"/>
      <c r="BZT4" s="1115"/>
      <c r="BZU4" s="1115"/>
      <c r="BZV4" s="1115"/>
      <c r="BZW4" s="1115"/>
      <c r="BZX4" s="1115"/>
      <c r="BZY4" s="1115"/>
      <c r="BZZ4" s="1115"/>
      <c r="CAA4" s="1115"/>
      <c r="CAB4" s="1115"/>
      <c r="CAC4" s="1115"/>
      <c r="CAD4" s="1115"/>
      <c r="CAE4" s="1115"/>
      <c r="CAF4" s="1115"/>
      <c r="CAG4" s="1115"/>
      <c r="CAH4" s="1115"/>
      <c r="CAI4" s="1115"/>
      <c r="CAJ4" s="1115"/>
      <c r="CAK4" s="1115"/>
      <c r="CAL4" s="1115"/>
      <c r="CAM4" s="1115"/>
      <c r="CAN4" s="1115"/>
      <c r="CAO4" s="1115"/>
      <c r="CAP4" s="1115"/>
      <c r="CAQ4" s="1115"/>
      <c r="CAR4" s="1115"/>
      <c r="CAS4" s="1115"/>
      <c r="CAT4" s="1115"/>
      <c r="CAU4" s="1115"/>
      <c r="CAV4" s="1115"/>
      <c r="CAW4" s="1115"/>
      <c r="CAX4" s="1115"/>
      <c r="CAY4" s="1115"/>
      <c r="CAZ4" s="1115"/>
      <c r="CBA4" s="1115"/>
      <c r="CBB4" s="1115"/>
      <c r="CBC4" s="1115"/>
      <c r="CBD4" s="1115"/>
      <c r="CBE4" s="1115"/>
      <c r="CBF4" s="1115"/>
      <c r="CBG4" s="1115"/>
      <c r="CBH4" s="1115"/>
      <c r="CBI4" s="1115"/>
      <c r="CBJ4" s="1115"/>
      <c r="CBK4" s="1115"/>
      <c r="CBL4" s="1115"/>
      <c r="CBM4" s="1115"/>
      <c r="CBN4" s="1115"/>
      <c r="CBO4" s="1115"/>
      <c r="CBP4" s="1115"/>
      <c r="CBQ4" s="1115"/>
      <c r="CBR4" s="1115"/>
      <c r="CBS4" s="1115"/>
      <c r="CBT4" s="1115"/>
      <c r="CBU4" s="1115"/>
      <c r="CBV4" s="1115"/>
      <c r="CBW4" s="1115"/>
      <c r="CBX4" s="1115"/>
      <c r="CBY4" s="1115"/>
      <c r="CBZ4" s="1115"/>
      <c r="CCA4" s="1115"/>
      <c r="CCB4" s="1115"/>
      <c r="CCC4" s="1115"/>
      <c r="CCD4" s="1115"/>
      <c r="CCE4" s="1115"/>
      <c r="CCF4" s="1115"/>
      <c r="CCG4" s="1115"/>
      <c r="CCH4" s="1115"/>
      <c r="CCI4" s="1115"/>
      <c r="CCJ4" s="1115"/>
      <c r="CCK4" s="1115"/>
      <c r="CCL4" s="1115"/>
      <c r="CCM4" s="1115"/>
      <c r="CCN4" s="1115"/>
      <c r="CCO4" s="1115"/>
      <c r="CCP4" s="1115"/>
      <c r="CCQ4" s="1115"/>
      <c r="CCR4" s="1115"/>
      <c r="CCS4" s="1115"/>
      <c r="CCT4" s="1115"/>
      <c r="CCU4" s="1115"/>
      <c r="CCV4" s="1115"/>
      <c r="CCW4" s="1115"/>
      <c r="CCX4" s="1115"/>
      <c r="CCY4" s="1115"/>
      <c r="CCZ4" s="1115"/>
      <c r="CDA4" s="1115"/>
      <c r="CDB4" s="1115"/>
      <c r="CDC4" s="1115"/>
      <c r="CDD4" s="1115"/>
      <c r="CDE4" s="1115"/>
      <c r="CDF4" s="1115"/>
      <c r="CDG4" s="1115"/>
      <c r="CDH4" s="1115"/>
      <c r="CDI4" s="1115"/>
      <c r="CDJ4" s="1115"/>
      <c r="CDK4" s="1115"/>
      <c r="CDL4" s="1115"/>
      <c r="CDM4" s="1115"/>
      <c r="CDN4" s="1115"/>
      <c r="CDO4" s="1115"/>
      <c r="CDP4" s="1115"/>
      <c r="CDQ4" s="1115"/>
      <c r="CDR4" s="1115"/>
      <c r="CDS4" s="1115"/>
      <c r="CDT4" s="1115"/>
      <c r="CDU4" s="1115"/>
      <c r="CDV4" s="1115"/>
      <c r="CDW4" s="1115"/>
      <c r="CDX4" s="1115"/>
      <c r="CDY4" s="1115"/>
      <c r="CDZ4" s="1115"/>
      <c r="CEA4" s="1115"/>
      <c r="CEB4" s="1115"/>
      <c r="CEC4" s="1115"/>
      <c r="CED4" s="1115"/>
      <c r="CEE4" s="1115"/>
      <c r="CEF4" s="1115"/>
      <c r="CEG4" s="1115"/>
      <c r="CEH4" s="1115"/>
      <c r="CEI4" s="1115"/>
      <c r="CEJ4" s="1115"/>
      <c r="CEK4" s="1115"/>
      <c r="CEL4" s="1115"/>
      <c r="CEM4" s="1115"/>
      <c r="CEN4" s="1115"/>
      <c r="CEO4" s="1115"/>
      <c r="CEP4" s="1115"/>
      <c r="CEQ4" s="1115"/>
      <c r="CER4" s="1115"/>
      <c r="CES4" s="1115"/>
      <c r="CET4" s="1115"/>
      <c r="CEU4" s="1115"/>
      <c r="CEV4" s="1115"/>
      <c r="CEW4" s="1115"/>
      <c r="CEX4" s="1115"/>
      <c r="CEY4" s="1115"/>
      <c r="CEZ4" s="1115"/>
      <c r="CFA4" s="1115"/>
      <c r="CFB4" s="1115"/>
      <c r="CFC4" s="1115"/>
      <c r="CFD4" s="1115"/>
      <c r="CFE4" s="1115"/>
      <c r="CFF4" s="1115"/>
      <c r="CFG4" s="1115"/>
      <c r="CFH4" s="1115"/>
      <c r="CFI4" s="1115"/>
      <c r="CFJ4" s="1115"/>
      <c r="CFK4" s="1115"/>
      <c r="CFL4" s="1115"/>
      <c r="CFM4" s="1115"/>
      <c r="CFN4" s="1115"/>
      <c r="CFO4" s="1115"/>
      <c r="CFP4" s="1115"/>
      <c r="CFQ4" s="1115"/>
      <c r="CFR4" s="1115"/>
      <c r="CFS4" s="1115"/>
      <c r="CFT4" s="1115"/>
      <c r="CFU4" s="1115"/>
      <c r="CFV4" s="1115"/>
      <c r="CFW4" s="1115"/>
      <c r="CFX4" s="1115"/>
      <c r="CFY4" s="1115"/>
      <c r="CFZ4" s="1115"/>
      <c r="CGA4" s="1115"/>
      <c r="CGB4" s="1115"/>
      <c r="CGC4" s="1115"/>
      <c r="CGD4" s="1115"/>
      <c r="CGE4" s="1115"/>
      <c r="CGF4" s="1115"/>
      <c r="CGG4" s="1115"/>
      <c r="CGH4" s="1115"/>
      <c r="CGI4" s="1115"/>
      <c r="CGJ4" s="1115"/>
      <c r="CGK4" s="1115"/>
      <c r="CGL4" s="1115"/>
      <c r="CGM4" s="1115"/>
      <c r="CGN4" s="1115"/>
      <c r="CGO4" s="1115"/>
      <c r="CGP4" s="1115"/>
      <c r="CGQ4" s="1115"/>
      <c r="CGR4" s="1115"/>
      <c r="CGS4" s="1115"/>
      <c r="CGT4" s="1115"/>
      <c r="CGU4" s="1115"/>
      <c r="CGV4" s="1115"/>
      <c r="CGW4" s="1115"/>
      <c r="CGX4" s="1115"/>
      <c r="CGY4" s="1115"/>
      <c r="CGZ4" s="1115"/>
      <c r="CHA4" s="1115"/>
      <c r="CHB4" s="1115"/>
      <c r="CHC4" s="1115"/>
      <c r="CHD4" s="1115"/>
      <c r="CHE4" s="1115"/>
      <c r="CHF4" s="1115"/>
      <c r="CHG4" s="1115"/>
      <c r="CHH4" s="1115"/>
      <c r="CHI4" s="1115"/>
      <c r="CHJ4" s="1115"/>
      <c r="CHK4" s="1115"/>
      <c r="CHL4" s="1115"/>
      <c r="CHM4" s="1115"/>
      <c r="CHN4" s="1115"/>
      <c r="CHO4" s="1115"/>
      <c r="CHP4" s="1115"/>
      <c r="CHQ4" s="1115"/>
      <c r="CHR4" s="1115"/>
      <c r="CHS4" s="1115"/>
      <c r="CHT4" s="1115"/>
      <c r="CHU4" s="1115"/>
      <c r="CHV4" s="1115"/>
      <c r="CHW4" s="1115"/>
      <c r="CHX4" s="1115"/>
      <c r="CHY4" s="1115"/>
      <c r="CHZ4" s="1115"/>
      <c r="CIA4" s="1115"/>
      <c r="CIB4" s="1115"/>
      <c r="CIC4" s="1115"/>
      <c r="CID4" s="1115"/>
      <c r="CIE4" s="1115"/>
      <c r="CIF4" s="1115"/>
      <c r="CIG4" s="1115"/>
      <c r="CIH4" s="1115"/>
      <c r="CII4" s="1115"/>
      <c r="CIJ4" s="1115"/>
      <c r="CIK4" s="1115"/>
      <c r="CIL4" s="1115"/>
      <c r="CIM4" s="1115"/>
      <c r="CIN4" s="1115"/>
      <c r="CIO4" s="1115"/>
      <c r="CIP4" s="1115"/>
      <c r="CIQ4" s="1115"/>
      <c r="CIR4" s="1115"/>
      <c r="CIS4" s="1115"/>
      <c r="CIT4" s="1115"/>
      <c r="CIU4" s="1115"/>
      <c r="CIV4" s="1115"/>
      <c r="CIW4" s="1115"/>
      <c r="CIX4" s="1115"/>
      <c r="CIY4" s="1115"/>
      <c r="CIZ4" s="1115"/>
      <c r="CJA4" s="1115"/>
      <c r="CJB4" s="1115"/>
      <c r="CJC4" s="1115"/>
      <c r="CJD4" s="1115"/>
      <c r="CJE4" s="1115"/>
      <c r="CJF4" s="1115"/>
      <c r="CJG4" s="1115"/>
      <c r="CJH4" s="1115"/>
      <c r="CJI4" s="1115"/>
      <c r="CJJ4" s="1115"/>
      <c r="CJK4" s="1115"/>
      <c r="CJL4" s="1115"/>
      <c r="CJM4" s="1115"/>
      <c r="CJN4" s="1115"/>
      <c r="CJO4" s="1115"/>
      <c r="CJP4" s="1115"/>
      <c r="CJQ4" s="1115"/>
      <c r="CJR4" s="1115"/>
      <c r="CJS4" s="1115"/>
      <c r="CJT4" s="1115"/>
      <c r="CJU4" s="1115"/>
      <c r="CJV4" s="1115"/>
      <c r="CJW4" s="1115"/>
      <c r="CJX4" s="1115"/>
      <c r="CJY4" s="1115"/>
      <c r="CJZ4" s="1115"/>
      <c r="CKA4" s="1115"/>
      <c r="CKB4" s="1115"/>
      <c r="CKC4" s="1115"/>
      <c r="CKD4" s="1115"/>
      <c r="CKE4" s="1115"/>
      <c r="CKF4" s="1115"/>
      <c r="CKG4" s="1115"/>
      <c r="CKH4" s="1115"/>
      <c r="CKI4" s="1115"/>
      <c r="CKJ4" s="1115"/>
      <c r="CKK4" s="1115"/>
      <c r="CKL4" s="1115"/>
      <c r="CKM4" s="1115"/>
      <c r="CKN4" s="1115"/>
      <c r="CKO4" s="1115"/>
      <c r="CKP4" s="1115"/>
      <c r="CKQ4" s="1115"/>
      <c r="CKR4" s="1115"/>
      <c r="CKS4" s="1115"/>
      <c r="CKT4" s="1115"/>
      <c r="CKU4" s="1115"/>
      <c r="CKV4" s="1115"/>
      <c r="CKW4" s="1115"/>
      <c r="CKX4" s="1115"/>
      <c r="CKY4" s="1115"/>
      <c r="CKZ4" s="1115"/>
      <c r="CLA4" s="1115"/>
      <c r="CLB4" s="1115"/>
      <c r="CLC4" s="1115"/>
      <c r="CLD4" s="1115"/>
      <c r="CLE4" s="1115"/>
      <c r="CLF4" s="1115"/>
      <c r="CLG4" s="1115"/>
      <c r="CLH4" s="1115"/>
      <c r="CLI4" s="1115"/>
      <c r="CLJ4" s="1115"/>
      <c r="CLK4" s="1115"/>
      <c r="CLL4" s="1115"/>
      <c r="CLM4" s="1115"/>
      <c r="CLN4" s="1115"/>
      <c r="CLO4" s="1115"/>
      <c r="CLP4" s="1115"/>
      <c r="CLQ4" s="1115"/>
      <c r="CLR4" s="1115"/>
      <c r="CLS4" s="1115"/>
      <c r="CLT4" s="1115"/>
      <c r="CLU4" s="1115"/>
      <c r="CLV4" s="1115"/>
      <c r="CLW4" s="1115"/>
      <c r="CLX4" s="1115"/>
      <c r="CLY4" s="1115"/>
      <c r="CLZ4" s="1115"/>
      <c r="CMA4" s="1115"/>
      <c r="CMB4" s="1115"/>
      <c r="CMC4" s="1115"/>
      <c r="CMD4" s="1115"/>
      <c r="CME4" s="1115"/>
      <c r="CMF4" s="1115"/>
      <c r="CMG4" s="1115"/>
      <c r="CMH4" s="1115"/>
      <c r="CMI4" s="1115"/>
      <c r="CMJ4" s="1115"/>
      <c r="CMK4" s="1115"/>
      <c r="CML4" s="1115"/>
      <c r="CMM4" s="1115"/>
      <c r="CMN4" s="1115"/>
      <c r="CMO4" s="1115"/>
      <c r="CMP4" s="1115"/>
      <c r="CMQ4" s="1115"/>
      <c r="CMR4" s="1115"/>
      <c r="CMS4" s="1115"/>
      <c r="CMT4" s="1115"/>
      <c r="CMU4" s="1115"/>
      <c r="CMV4" s="1115"/>
      <c r="CMW4" s="1115"/>
      <c r="CMX4" s="1115"/>
      <c r="CMY4" s="1115"/>
      <c r="CMZ4" s="1115"/>
      <c r="CNA4" s="1115"/>
      <c r="CNB4" s="1115"/>
      <c r="CNC4" s="1115"/>
      <c r="CND4" s="1115"/>
      <c r="CNE4" s="1115"/>
      <c r="CNF4" s="1115"/>
      <c r="CNG4" s="1115"/>
      <c r="CNH4" s="1115"/>
      <c r="CNI4" s="1115"/>
      <c r="CNJ4" s="1115"/>
      <c r="CNK4" s="1115"/>
      <c r="CNL4" s="1115"/>
      <c r="CNM4" s="1115"/>
      <c r="CNN4" s="1115"/>
      <c r="CNO4" s="1115"/>
      <c r="CNP4" s="1115"/>
      <c r="CNQ4" s="1115"/>
      <c r="CNR4" s="1115"/>
      <c r="CNS4" s="1115"/>
      <c r="CNT4" s="1115"/>
      <c r="CNU4" s="1115"/>
      <c r="CNV4" s="1115"/>
      <c r="CNW4" s="1115"/>
      <c r="CNX4" s="1115"/>
      <c r="CNY4" s="1115"/>
      <c r="CNZ4" s="1115"/>
      <c r="COA4" s="1115"/>
      <c r="COB4" s="1115"/>
      <c r="COC4" s="1115"/>
      <c r="COD4" s="1115"/>
      <c r="COE4" s="1115"/>
      <c r="COF4" s="1115"/>
      <c r="COG4" s="1115"/>
      <c r="COH4" s="1115"/>
      <c r="COI4" s="1115"/>
      <c r="COJ4" s="1115"/>
      <c r="COK4" s="1115"/>
      <c r="COL4" s="1115"/>
      <c r="COM4" s="1115"/>
      <c r="CON4" s="1115"/>
      <c r="COO4" s="1115"/>
      <c r="COP4" s="1115"/>
      <c r="COQ4" s="1115"/>
      <c r="COR4" s="1115"/>
      <c r="COS4" s="1115"/>
      <c r="COT4" s="1115"/>
      <c r="COU4" s="1115"/>
      <c r="COV4" s="1115"/>
      <c r="COW4" s="1115"/>
      <c r="COX4" s="1115"/>
      <c r="COY4" s="1115"/>
      <c r="COZ4" s="1115"/>
      <c r="CPA4" s="1115"/>
      <c r="CPB4" s="1115"/>
      <c r="CPC4" s="1115"/>
      <c r="CPD4" s="1115"/>
      <c r="CPE4" s="1115"/>
      <c r="CPF4" s="1115"/>
      <c r="CPG4" s="1115"/>
      <c r="CPH4" s="1115"/>
      <c r="CPI4" s="1115"/>
      <c r="CPJ4" s="1115"/>
      <c r="CPK4" s="1115"/>
      <c r="CPL4" s="1115"/>
      <c r="CPM4" s="1115"/>
      <c r="CPN4" s="1115"/>
      <c r="CPO4" s="1115"/>
      <c r="CPP4" s="1115"/>
      <c r="CPQ4" s="1115"/>
      <c r="CPR4" s="1115"/>
      <c r="CPS4" s="1115"/>
      <c r="CPT4" s="1115"/>
      <c r="CPU4" s="1115"/>
      <c r="CPV4" s="1115"/>
      <c r="CPW4" s="1115"/>
      <c r="CPX4" s="1115"/>
      <c r="CPY4" s="1115"/>
      <c r="CPZ4" s="1115"/>
      <c r="CQA4" s="1115"/>
      <c r="CQB4" s="1115"/>
      <c r="CQC4" s="1115"/>
      <c r="CQD4" s="1115"/>
      <c r="CQE4" s="1115"/>
      <c r="CQF4" s="1115"/>
      <c r="CQG4" s="1115"/>
      <c r="CQH4" s="1115"/>
      <c r="CQI4" s="1115"/>
      <c r="CQJ4" s="1115"/>
      <c r="CQK4" s="1115"/>
      <c r="CQL4" s="1115"/>
      <c r="CQM4" s="1115"/>
      <c r="CQN4" s="1115"/>
      <c r="CQO4" s="1115"/>
      <c r="CQP4" s="1115"/>
      <c r="CQQ4" s="1115"/>
      <c r="CQR4" s="1115"/>
      <c r="CQS4" s="1115"/>
      <c r="CQT4" s="1115"/>
      <c r="CQU4" s="1115"/>
      <c r="CQV4" s="1115"/>
      <c r="CQW4" s="1115"/>
      <c r="CQX4" s="1115"/>
      <c r="CQY4" s="1115"/>
      <c r="CQZ4" s="1115"/>
      <c r="CRA4" s="1115"/>
      <c r="CRB4" s="1115"/>
      <c r="CRC4" s="1115"/>
      <c r="CRD4" s="1115"/>
      <c r="CRE4" s="1115"/>
      <c r="CRF4" s="1115"/>
      <c r="CRG4" s="1115"/>
      <c r="CRH4" s="1115"/>
      <c r="CRI4" s="1115"/>
      <c r="CRJ4" s="1115"/>
      <c r="CRK4" s="1115"/>
      <c r="CRL4" s="1115"/>
      <c r="CRM4" s="1115"/>
      <c r="CRN4" s="1115"/>
      <c r="CRO4" s="1115"/>
      <c r="CRP4" s="1115"/>
      <c r="CRQ4" s="1115"/>
      <c r="CRR4" s="1115"/>
      <c r="CRS4" s="1115"/>
      <c r="CRT4" s="1115"/>
      <c r="CRU4" s="1115"/>
      <c r="CRV4" s="1115"/>
      <c r="CRW4" s="1115"/>
      <c r="CRX4" s="1115"/>
      <c r="CRY4" s="1115"/>
      <c r="CRZ4" s="1115"/>
      <c r="CSA4" s="1115"/>
      <c r="CSB4" s="1115"/>
      <c r="CSC4" s="1115"/>
      <c r="CSD4" s="1115"/>
      <c r="CSE4" s="1115"/>
      <c r="CSF4" s="1115"/>
      <c r="CSG4" s="1115"/>
      <c r="CSH4" s="1115"/>
      <c r="CSI4" s="1115"/>
      <c r="CSJ4" s="1115"/>
      <c r="CSK4" s="1115"/>
      <c r="CSL4" s="1115"/>
      <c r="CSM4" s="1115"/>
      <c r="CSN4" s="1115"/>
      <c r="CSO4" s="1115"/>
      <c r="CSP4" s="1115"/>
      <c r="CSQ4" s="1115"/>
      <c r="CSR4" s="1115"/>
      <c r="CSS4" s="1115"/>
      <c r="CST4" s="1115"/>
      <c r="CSU4" s="1115"/>
      <c r="CSV4" s="1115"/>
      <c r="CSW4" s="1115"/>
      <c r="CSX4" s="1115"/>
      <c r="CSY4" s="1115"/>
      <c r="CSZ4" s="1115"/>
      <c r="CTA4" s="1115"/>
      <c r="CTB4" s="1115"/>
      <c r="CTC4" s="1115"/>
      <c r="CTD4" s="1115"/>
      <c r="CTE4" s="1115"/>
      <c r="CTF4" s="1115"/>
      <c r="CTG4" s="1115"/>
      <c r="CTH4" s="1115"/>
      <c r="CTI4" s="1115"/>
      <c r="CTJ4" s="1115"/>
      <c r="CTK4" s="1115"/>
      <c r="CTL4" s="1115"/>
      <c r="CTM4" s="1115"/>
      <c r="CTN4" s="1115"/>
      <c r="CTO4" s="1115"/>
      <c r="CTP4" s="1115"/>
      <c r="CTQ4" s="1115"/>
      <c r="CTR4" s="1115"/>
      <c r="CTS4" s="1115"/>
      <c r="CTT4" s="1115"/>
      <c r="CTU4" s="1115"/>
      <c r="CTV4" s="1115"/>
      <c r="CTW4" s="1115"/>
      <c r="CTX4" s="1115"/>
      <c r="CTY4" s="1115"/>
      <c r="CTZ4" s="1115"/>
      <c r="CUA4" s="1115"/>
      <c r="CUB4" s="1115"/>
      <c r="CUC4" s="1115"/>
      <c r="CUD4" s="1115"/>
      <c r="CUE4" s="1115"/>
      <c r="CUF4" s="1115"/>
      <c r="CUG4" s="1115"/>
      <c r="CUH4" s="1115"/>
      <c r="CUI4" s="1115"/>
      <c r="CUJ4" s="1115"/>
      <c r="CUK4" s="1115"/>
      <c r="CUL4" s="1115"/>
      <c r="CUM4" s="1115"/>
      <c r="CUN4" s="1115"/>
      <c r="CUO4" s="1115"/>
      <c r="CUP4" s="1115"/>
      <c r="CUQ4" s="1115"/>
      <c r="CUR4" s="1115"/>
      <c r="CUS4" s="1115"/>
      <c r="CUT4" s="1115"/>
      <c r="CUU4" s="1115"/>
      <c r="CUV4" s="1115"/>
      <c r="CUW4" s="1115"/>
      <c r="CUX4" s="1115"/>
      <c r="CUY4" s="1115"/>
      <c r="CUZ4" s="1115"/>
      <c r="CVA4" s="1115"/>
      <c r="CVB4" s="1115"/>
      <c r="CVC4" s="1115"/>
      <c r="CVD4" s="1115"/>
      <c r="CVE4" s="1115"/>
      <c r="CVF4" s="1115"/>
      <c r="CVG4" s="1115"/>
      <c r="CVH4" s="1115"/>
      <c r="CVI4" s="1115"/>
      <c r="CVJ4" s="1115"/>
      <c r="CVK4" s="1115"/>
      <c r="CVL4" s="1115"/>
      <c r="CVM4" s="1115"/>
      <c r="CVN4" s="1115"/>
      <c r="CVO4" s="1115"/>
      <c r="CVP4" s="1115"/>
      <c r="CVQ4" s="1115"/>
      <c r="CVR4" s="1115"/>
      <c r="CVS4" s="1115"/>
      <c r="CVT4" s="1115"/>
      <c r="CVU4" s="1115"/>
      <c r="CVV4" s="1115"/>
      <c r="CVW4" s="1115"/>
      <c r="CVX4" s="1115"/>
      <c r="CVY4" s="1115"/>
      <c r="CVZ4" s="1115"/>
      <c r="CWA4" s="1115"/>
      <c r="CWB4" s="1115"/>
      <c r="CWC4" s="1115"/>
      <c r="CWD4" s="1115"/>
      <c r="CWE4" s="1115"/>
      <c r="CWF4" s="1115"/>
      <c r="CWG4" s="1115"/>
      <c r="CWH4" s="1115"/>
      <c r="CWI4" s="1115"/>
      <c r="CWJ4" s="1115"/>
      <c r="CWK4" s="1115"/>
      <c r="CWL4" s="1115"/>
      <c r="CWM4" s="1115"/>
      <c r="CWN4" s="1115"/>
      <c r="CWO4" s="1115"/>
      <c r="CWP4" s="1115"/>
      <c r="CWQ4" s="1115"/>
      <c r="CWR4" s="1115"/>
      <c r="CWS4" s="1115"/>
      <c r="CWT4" s="1115"/>
      <c r="CWU4" s="1115"/>
      <c r="CWV4" s="1115"/>
      <c r="CWW4" s="1115"/>
      <c r="CWX4" s="1115"/>
      <c r="CWY4" s="1115"/>
      <c r="CWZ4" s="1115"/>
      <c r="CXA4" s="1115"/>
      <c r="CXB4" s="1115"/>
      <c r="CXC4" s="1115"/>
      <c r="CXD4" s="1115"/>
      <c r="CXE4" s="1115"/>
      <c r="CXF4" s="1115"/>
      <c r="CXG4" s="1115"/>
      <c r="CXH4" s="1115"/>
      <c r="CXI4" s="1115"/>
      <c r="CXJ4" s="1115"/>
      <c r="CXK4" s="1115"/>
      <c r="CXL4" s="1115"/>
      <c r="CXM4" s="1115"/>
      <c r="CXN4" s="1115"/>
      <c r="CXO4" s="1115"/>
      <c r="CXP4" s="1115"/>
      <c r="CXQ4" s="1115"/>
      <c r="CXR4" s="1115"/>
      <c r="CXS4" s="1115"/>
      <c r="CXT4" s="1115"/>
      <c r="CXU4" s="1115"/>
      <c r="CXV4" s="1115"/>
      <c r="CXW4" s="1115"/>
      <c r="CXX4" s="1115"/>
      <c r="CXY4" s="1115"/>
      <c r="CXZ4" s="1115"/>
      <c r="CYA4" s="1115"/>
      <c r="CYB4" s="1115"/>
      <c r="CYC4" s="1115"/>
      <c r="CYD4" s="1115"/>
      <c r="CYE4" s="1115"/>
      <c r="CYF4" s="1115"/>
      <c r="CYG4" s="1115"/>
      <c r="CYH4" s="1115"/>
      <c r="CYI4" s="1115"/>
      <c r="CYJ4" s="1115"/>
      <c r="CYK4" s="1115"/>
      <c r="CYL4" s="1115"/>
      <c r="CYM4" s="1115"/>
      <c r="CYN4" s="1115"/>
      <c r="CYO4" s="1115"/>
      <c r="CYP4" s="1115"/>
      <c r="CYQ4" s="1115"/>
      <c r="CYR4" s="1115"/>
      <c r="CYS4" s="1115"/>
      <c r="CYT4" s="1115"/>
      <c r="CYU4" s="1115"/>
      <c r="CYV4" s="1115"/>
      <c r="CYW4" s="1115"/>
      <c r="CYX4" s="1115"/>
      <c r="CYY4" s="1115"/>
      <c r="CYZ4" s="1115"/>
      <c r="CZA4" s="1115"/>
      <c r="CZB4" s="1115"/>
      <c r="CZC4" s="1115"/>
      <c r="CZD4" s="1115"/>
      <c r="CZE4" s="1115"/>
      <c r="CZF4" s="1115"/>
      <c r="CZG4" s="1115"/>
      <c r="CZH4" s="1115"/>
      <c r="CZI4" s="1115"/>
      <c r="CZJ4" s="1115"/>
      <c r="CZK4" s="1115"/>
      <c r="CZL4" s="1115"/>
      <c r="CZM4" s="1115"/>
      <c r="CZN4" s="1115"/>
      <c r="CZO4" s="1115"/>
      <c r="CZP4" s="1115"/>
      <c r="CZQ4" s="1115"/>
      <c r="CZR4" s="1115"/>
      <c r="CZS4" s="1115"/>
      <c r="CZT4" s="1115"/>
      <c r="CZU4" s="1115"/>
      <c r="CZV4" s="1115"/>
      <c r="CZW4" s="1115"/>
      <c r="CZX4" s="1115"/>
      <c r="CZY4" s="1115"/>
      <c r="CZZ4" s="1115"/>
      <c r="DAA4" s="1115"/>
      <c r="DAB4" s="1115"/>
      <c r="DAC4" s="1115"/>
      <c r="DAD4" s="1115"/>
      <c r="DAE4" s="1115"/>
      <c r="DAF4" s="1115"/>
      <c r="DAG4" s="1115"/>
      <c r="DAH4" s="1115"/>
      <c r="DAI4" s="1115"/>
      <c r="DAJ4" s="1115"/>
      <c r="DAK4" s="1115"/>
      <c r="DAL4" s="1115"/>
      <c r="DAM4" s="1115"/>
      <c r="DAN4" s="1115"/>
      <c r="DAO4" s="1115"/>
      <c r="DAP4" s="1115"/>
      <c r="DAQ4" s="1115"/>
      <c r="DAR4" s="1115"/>
      <c r="DAS4" s="1115"/>
      <c r="DAT4" s="1115"/>
      <c r="DAU4" s="1115"/>
      <c r="DAV4" s="1115"/>
      <c r="DAW4" s="1115"/>
      <c r="DAX4" s="1115"/>
      <c r="DAY4" s="1115"/>
      <c r="DAZ4" s="1115"/>
      <c r="DBA4" s="1115"/>
      <c r="DBB4" s="1115"/>
      <c r="DBC4" s="1115"/>
      <c r="DBD4" s="1115"/>
      <c r="DBE4" s="1115"/>
      <c r="DBF4" s="1115"/>
      <c r="DBG4" s="1115"/>
      <c r="DBH4" s="1115"/>
      <c r="DBI4" s="1115"/>
      <c r="DBJ4" s="1115"/>
      <c r="DBK4" s="1115"/>
      <c r="DBL4" s="1115"/>
      <c r="DBM4" s="1115"/>
      <c r="DBN4" s="1115"/>
      <c r="DBO4" s="1115"/>
      <c r="DBP4" s="1115"/>
      <c r="DBQ4" s="1115"/>
      <c r="DBR4" s="1115"/>
      <c r="DBS4" s="1115"/>
      <c r="DBT4" s="1115"/>
      <c r="DBU4" s="1115"/>
      <c r="DBV4" s="1115"/>
      <c r="DBW4" s="1115"/>
      <c r="DBX4" s="1115"/>
      <c r="DBY4" s="1115"/>
      <c r="DBZ4" s="1115"/>
      <c r="DCA4" s="1115"/>
      <c r="DCB4" s="1115"/>
      <c r="DCC4" s="1115"/>
      <c r="DCD4" s="1115"/>
      <c r="DCE4" s="1115"/>
      <c r="DCF4" s="1115"/>
      <c r="DCG4" s="1115"/>
      <c r="DCH4" s="1115"/>
      <c r="DCI4" s="1115"/>
      <c r="DCJ4" s="1115"/>
      <c r="DCK4" s="1115"/>
      <c r="DCL4" s="1115"/>
      <c r="DCM4" s="1115"/>
      <c r="DCN4" s="1115"/>
      <c r="DCO4" s="1115"/>
      <c r="DCP4" s="1115"/>
      <c r="DCQ4" s="1115"/>
      <c r="DCR4" s="1115"/>
      <c r="DCS4" s="1115"/>
      <c r="DCT4" s="1115"/>
      <c r="DCU4" s="1115"/>
      <c r="DCV4" s="1115"/>
      <c r="DCW4" s="1115"/>
      <c r="DCX4" s="1115"/>
      <c r="DCY4" s="1115"/>
      <c r="DCZ4" s="1115"/>
      <c r="DDA4" s="1115"/>
      <c r="DDB4" s="1115"/>
      <c r="DDC4" s="1115"/>
      <c r="DDD4" s="1115"/>
      <c r="DDE4" s="1115"/>
      <c r="DDF4" s="1115"/>
      <c r="DDG4" s="1115"/>
      <c r="DDH4" s="1115"/>
      <c r="DDI4" s="1115"/>
      <c r="DDJ4" s="1115"/>
      <c r="DDK4" s="1115"/>
      <c r="DDL4" s="1115"/>
      <c r="DDM4" s="1115"/>
      <c r="DDN4" s="1115"/>
      <c r="DDO4" s="1115"/>
      <c r="DDP4" s="1115"/>
      <c r="DDQ4" s="1115"/>
      <c r="DDR4" s="1115"/>
      <c r="DDS4" s="1115"/>
      <c r="DDT4" s="1115"/>
      <c r="DDU4" s="1115"/>
      <c r="DDV4" s="1115"/>
      <c r="DDW4" s="1115"/>
      <c r="DDX4" s="1115"/>
      <c r="DDY4" s="1115"/>
      <c r="DDZ4" s="1115"/>
      <c r="DEA4" s="1115"/>
      <c r="DEB4" s="1115"/>
      <c r="DEC4" s="1115"/>
      <c r="DED4" s="1115"/>
      <c r="DEE4" s="1115"/>
      <c r="DEF4" s="1115"/>
      <c r="DEG4" s="1115"/>
      <c r="DEH4" s="1115"/>
      <c r="DEI4" s="1115"/>
      <c r="DEJ4" s="1115"/>
      <c r="DEK4" s="1115"/>
      <c r="DEL4" s="1115"/>
      <c r="DEM4" s="1115"/>
      <c r="DEN4" s="1115"/>
      <c r="DEO4" s="1115"/>
      <c r="DEP4" s="1115"/>
      <c r="DEQ4" s="1115"/>
      <c r="DER4" s="1115"/>
      <c r="DES4" s="1115"/>
      <c r="DET4" s="1115"/>
      <c r="DEU4" s="1115"/>
      <c r="DEV4" s="1115"/>
      <c r="DEW4" s="1115"/>
      <c r="DEX4" s="1115"/>
      <c r="DEY4" s="1115"/>
      <c r="DEZ4" s="1115"/>
      <c r="DFA4" s="1115"/>
      <c r="DFB4" s="1115"/>
      <c r="DFC4" s="1115"/>
      <c r="DFD4" s="1115"/>
      <c r="DFE4" s="1115"/>
      <c r="DFF4" s="1115"/>
      <c r="DFG4" s="1115"/>
      <c r="DFH4" s="1115"/>
      <c r="DFI4" s="1115"/>
      <c r="DFJ4" s="1115"/>
      <c r="DFK4" s="1115"/>
      <c r="DFL4" s="1115"/>
      <c r="DFM4" s="1115"/>
      <c r="DFN4" s="1115"/>
      <c r="DFO4" s="1115"/>
      <c r="DFP4" s="1115"/>
      <c r="DFQ4" s="1115"/>
      <c r="DFR4" s="1115"/>
      <c r="DFS4" s="1115"/>
      <c r="DFT4" s="1115"/>
      <c r="DFU4" s="1115"/>
      <c r="DFV4" s="1115"/>
      <c r="DFW4" s="1115"/>
      <c r="DFX4" s="1115"/>
      <c r="DFY4" s="1115"/>
      <c r="DFZ4" s="1115"/>
      <c r="DGA4" s="1115"/>
      <c r="DGB4" s="1115"/>
      <c r="DGC4" s="1115"/>
      <c r="DGD4" s="1115"/>
      <c r="DGE4" s="1115"/>
      <c r="DGF4" s="1115"/>
      <c r="DGG4" s="1115"/>
      <c r="DGH4" s="1115"/>
      <c r="DGI4" s="1115"/>
      <c r="DGJ4" s="1115"/>
      <c r="DGK4" s="1115"/>
      <c r="DGL4" s="1115"/>
      <c r="DGM4" s="1115"/>
      <c r="DGN4" s="1115"/>
      <c r="DGO4" s="1115"/>
      <c r="DGP4" s="1115"/>
      <c r="DGQ4" s="1115"/>
      <c r="DGR4" s="1115"/>
      <c r="DGS4" s="1115"/>
      <c r="DGT4" s="1115"/>
      <c r="DGU4" s="1115"/>
      <c r="DGV4" s="1115"/>
      <c r="DGW4" s="1115"/>
      <c r="DGX4" s="1115"/>
      <c r="DGY4" s="1115"/>
      <c r="DGZ4" s="1115"/>
      <c r="DHA4" s="1115"/>
      <c r="DHB4" s="1115"/>
      <c r="DHC4" s="1115"/>
      <c r="DHD4" s="1115"/>
      <c r="DHE4" s="1115"/>
      <c r="DHF4" s="1115"/>
      <c r="DHG4" s="1115"/>
      <c r="DHH4" s="1115"/>
      <c r="DHI4" s="1115"/>
      <c r="DHJ4" s="1115"/>
      <c r="DHK4" s="1115"/>
      <c r="DHL4" s="1115"/>
      <c r="DHM4" s="1115"/>
      <c r="DHN4" s="1115"/>
      <c r="DHO4" s="1115"/>
      <c r="DHP4" s="1115"/>
      <c r="DHQ4" s="1115"/>
      <c r="DHR4" s="1115"/>
      <c r="DHS4" s="1115"/>
      <c r="DHT4" s="1115"/>
      <c r="DHU4" s="1115"/>
      <c r="DHV4" s="1115"/>
      <c r="DHW4" s="1115"/>
      <c r="DHX4" s="1115"/>
      <c r="DHY4" s="1115"/>
      <c r="DHZ4" s="1115"/>
      <c r="DIA4" s="1115"/>
      <c r="DIB4" s="1115"/>
      <c r="DIC4" s="1115"/>
      <c r="DID4" s="1115"/>
      <c r="DIE4" s="1115"/>
      <c r="DIF4" s="1115"/>
      <c r="DIG4" s="1115"/>
      <c r="DIH4" s="1115"/>
      <c r="DII4" s="1115"/>
      <c r="DIJ4" s="1115"/>
      <c r="DIK4" s="1115"/>
      <c r="DIL4" s="1115"/>
      <c r="DIM4" s="1115"/>
      <c r="DIN4" s="1115"/>
      <c r="DIO4" s="1115"/>
      <c r="DIP4" s="1115"/>
      <c r="DIQ4" s="1115"/>
      <c r="DIR4" s="1115"/>
      <c r="DIS4" s="1115"/>
      <c r="DIT4" s="1115"/>
      <c r="DIU4" s="1115"/>
      <c r="DIV4" s="1115"/>
      <c r="DIW4" s="1115"/>
      <c r="DIX4" s="1115"/>
      <c r="DIY4" s="1115"/>
      <c r="DIZ4" s="1115"/>
      <c r="DJA4" s="1115"/>
      <c r="DJB4" s="1115"/>
      <c r="DJC4" s="1115"/>
      <c r="DJD4" s="1115"/>
      <c r="DJE4" s="1115"/>
      <c r="DJF4" s="1115"/>
      <c r="DJG4" s="1115"/>
      <c r="DJH4" s="1115"/>
      <c r="DJI4" s="1115"/>
      <c r="DJJ4" s="1115"/>
      <c r="DJK4" s="1115"/>
      <c r="DJL4" s="1115"/>
      <c r="DJM4" s="1115"/>
      <c r="DJN4" s="1115"/>
      <c r="DJO4" s="1115"/>
      <c r="DJP4" s="1115"/>
      <c r="DJQ4" s="1115"/>
      <c r="DJR4" s="1115"/>
      <c r="DJS4" s="1115"/>
      <c r="DJT4" s="1115"/>
      <c r="DJU4" s="1115"/>
      <c r="DJV4" s="1115"/>
      <c r="DJW4" s="1115"/>
      <c r="DJX4" s="1115"/>
      <c r="DJY4" s="1115"/>
      <c r="DJZ4" s="1115"/>
      <c r="DKA4" s="1115"/>
      <c r="DKB4" s="1115"/>
      <c r="DKC4" s="1115"/>
      <c r="DKD4" s="1115"/>
      <c r="DKE4" s="1115"/>
      <c r="DKF4" s="1115"/>
      <c r="DKG4" s="1115"/>
      <c r="DKH4" s="1115"/>
      <c r="DKI4" s="1115"/>
      <c r="DKJ4" s="1115"/>
      <c r="DKK4" s="1115"/>
      <c r="DKL4" s="1115"/>
      <c r="DKM4" s="1115"/>
      <c r="DKN4" s="1115"/>
      <c r="DKO4" s="1115"/>
      <c r="DKP4" s="1115"/>
      <c r="DKQ4" s="1115"/>
      <c r="DKR4" s="1115"/>
      <c r="DKS4" s="1115"/>
      <c r="DKT4" s="1115"/>
      <c r="DKU4" s="1115"/>
      <c r="DKV4" s="1115"/>
      <c r="DKW4" s="1115"/>
      <c r="DKX4" s="1115"/>
      <c r="DKY4" s="1115"/>
      <c r="DKZ4" s="1115"/>
      <c r="DLA4" s="1115"/>
      <c r="DLB4" s="1115"/>
      <c r="DLC4" s="1115"/>
      <c r="DLD4" s="1115"/>
      <c r="DLE4" s="1115"/>
      <c r="DLF4" s="1115"/>
      <c r="DLG4" s="1115"/>
      <c r="DLH4" s="1115"/>
      <c r="DLI4" s="1115"/>
      <c r="DLJ4" s="1115"/>
      <c r="DLK4" s="1115"/>
      <c r="DLL4" s="1115"/>
      <c r="DLM4" s="1115"/>
      <c r="DLN4" s="1115"/>
      <c r="DLO4" s="1115"/>
      <c r="DLP4" s="1115"/>
      <c r="DLQ4" s="1115"/>
      <c r="DLR4" s="1115"/>
      <c r="DLS4" s="1115"/>
      <c r="DLT4" s="1115"/>
      <c r="DLU4" s="1115"/>
      <c r="DLV4" s="1115"/>
      <c r="DLW4" s="1115"/>
      <c r="DLX4" s="1115"/>
      <c r="DLY4" s="1115"/>
      <c r="DLZ4" s="1115"/>
      <c r="DMA4" s="1115"/>
      <c r="DMB4" s="1115"/>
      <c r="DMC4" s="1115"/>
      <c r="DMD4" s="1115"/>
      <c r="DME4" s="1115"/>
      <c r="DMF4" s="1115"/>
      <c r="DMG4" s="1115"/>
      <c r="DMH4" s="1115"/>
      <c r="DMI4" s="1115"/>
      <c r="DMJ4" s="1115"/>
      <c r="DMK4" s="1115"/>
      <c r="DML4" s="1115"/>
      <c r="DMM4" s="1115"/>
      <c r="DMN4" s="1115"/>
      <c r="DMO4" s="1115"/>
      <c r="DMP4" s="1115"/>
      <c r="DMQ4" s="1115"/>
      <c r="DMR4" s="1115"/>
      <c r="DMS4" s="1115"/>
      <c r="DMT4" s="1115"/>
      <c r="DMU4" s="1115"/>
      <c r="DMV4" s="1115"/>
      <c r="DMW4" s="1115"/>
      <c r="DMX4" s="1115"/>
      <c r="DMY4" s="1115"/>
      <c r="DMZ4" s="1115"/>
      <c r="DNA4" s="1115"/>
      <c r="DNB4" s="1115"/>
      <c r="DNC4" s="1115"/>
      <c r="DND4" s="1115"/>
      <c r="DNE4" s="1115"/>
      <c r="DNF4" s="1115"/>
      <c r="DNG4" s="1115"/>
      <c r="DNH4" s="1115"/>
      <c r="DNI4" s="1115"/>
      <c r="DNJ4" s="1115"/>
      <c r="DNK4" s="1115"/>
      <c r="DNL4" s="1115"/>
      <c r="DNM4" s="1115"/>
      <c r="DNN4" s="1115"/>
      <c r="DNO4" s="1115"/>
      <c r="DNP4" s="1115"/>
      <c r="DNQ4" s="1115"/>
      <c r="DNR4" s="1115"/>
      <c r="DNS4" s="1115"/>
      <c r="DNT4" s="1115"/>
      <c r="DNU4" s="1115"/>
      <c r="DNV4" s="1115"/>
      <c r="DNW4" s="1115"/>
      <c r="DNX4" s="1115"/>
      <c r="DNY4" s="1115"/>
      <c r="DNZ4" s="1115"/>
      <c r="DOA4" s="1115"/>
      <c r="DOB4" s="1115"/>
      <c r="DOC4" s="1115"/>
      <c r="DOD4" s="1115"/>
      <c r="DOE4" s="1115"/>
      <c r="DOF4" s="1115"/>
      <c r="DOG4" s="1115"/>
      <c r="DOH4" s="1115"/>
      <c r="DOI4" s="1115"/>
      <c r="DOJ4" s="1115"/>
      <c r="DOK4" s="1115"/>
      <c r="DOL4" s="1115"/>
      <c r="DOM4" s="1115"/>
      <c r="DON4" s="1115"/>
      <c r="DOO4" s="1115"/>
      <c r="DOP4" s="1115"/>
      <c r="DOQ4" s="1115"/>
      <c r="DOR4" s="1115"/>
      <c r="DOS4" s="1115"/>
      <c r="DOT4" s="1115"/>
      <c r="DOU4" s="1115"/>
      <c r="DOV4" s="1115"/>
      <c r="DOW4" s="1115"/>
      <c r="DOX4" s="1115"/>
      <c r="DOY4" s="1115"/>
      <c r="DOZ4" s="1115"/>
      <c r="DPA4" s="1115"/>
      <c r="DPB4" s="1115"/>
      <c r="DPC4" s="1115"/>
      <c r="DPD4" s="1115"/>
      <c r="DPE4" s="1115"/>
      <c r="DPF4" s="1115"/>
      <c r="DPG4" s="1115"/>
      <c r="DPH4" s="1115"/>
      <c r="DPI4" s="1115"/>
      <c r="DPJ4" s="1115"/>
      <c r="DPK4" s="1115"/>
      <c r="DPL4" s="1115"/>
      <c r="DPM4" s="1115"/>
      <c r="DPN4" s="1115"/>
      <c r="DPO4" s="1115"/>
      <c r="DPP4" s="1115"/>
      <c r="DPQ4" s="1115"/>
      <c r="DPR4" s="1115"/>
      <c r="DPS4" s="1115"/>
      <c r="DPT4" s="1115"/>
      <c r="DPU4" s="1115"/>
      <c r="DPV4" s="1115"/>
      <c r="DPW4" s="1115"/>
      <c r="DPX4" s="1115"/>
      <c r="DPY4" s="1115"/>
      <c r="DPZ4" s="1115"/>
      <c r="DQA4" s="1115"/>
      <c r="DQB4" s="1115"/>
      <c r="DQC4" s="1115"/>
      <c r="DQD4" s="1115"/>
      <c r="DQE4" s="1115"/>
      <c r="DQF4" s="1115"/>
      <c r="DQG4" s="1115"/>
      <c r="DQH4" s="1115"/>
      <c r="DQI4" s="1115"/>
      <c r="DQJ4" s="1115"/>
      <c r="DQK4" s="1115"/>
      <c r="DQL4" s="1115"/>
      <c r="DQM4" s="1115"/>
      <c r="DQN4" s="1115"/>
      <c r="DQO4" s="1115"/>
      <c r="DQP4" s="1115"/>
      <c r="DQQ4" s="1115"/>
      <c r="DQR4" s="1115"/>
      <c r="DQS4" s="1115"/>
      <c r="DQT4" s="1115"/>
      <c r="DQU4" s="1115"/>
      <c r="DQV4" s="1115"/>
      <c r="DQW4" s="1115"/>
      <c r="DQX4" s="1115"/>
      <c r="DQY4" s="1115"/>
      <c r="DQZ4" s="1115"/>
      <c r="DRA4" s="1115"/>
      <c r="DRB4" s="1115"/>
      <c r="DRC4" s="1115"/>
      <c r="DRD4" s="1115"/>
      <c r="DRE4" s="1115"/>
      <c r="DRF4" s="1115"/>
      <c r="DRG4" s="1115"/>
      <c r="DRH4" s="1115"/>
      <c r="DRI4" s="1115"/>
      <c r="DRJ4" s="1115"/>
      <c r="DRK4" s="1115"/>
      <c r="DRL4" s="1115"/>
      <c r="DRM4" s="1115"/>
      <c r="DRN4" s="1115"/>
      <c r="DRO4" s="1115"/>
      <c r="DRP4" s="1115"/>
      <c r="DRQ4" s="1115"/>
      <c r="DRR4" s="1115"/>
      <c r="DRS4" s="1115"/>
      <c r="DRT4" s="1115"/>
      <c r="DRU4" s="1115"/>
      <c r="DRV4" s="1115"/>
      <c r="DRW4" s="1115"/>
      <c r="DRX4" s="1115"/>
      <c r="DRY4" s="1115"/>
      <c r="DRZ4" s="1115"/>
      <c r="DSA4" s="1115"/>
      <c r="DSB4" s="1115"/>
      <c r="DSC4" s="1115"/>
      <c r="DSD4" s="1115"/>
      <c r="DSE4" s="1115"/>
      <c r="DSF4" s="1115"/>
      <c r="DSG4" s="1115"/>
      <c r="DSH4" s="1115"/>
      <c r="DSI4" s="1115"/>
      <c r="DSJ4" s="1115"/>
      <c r="DSK4" s="1115"/>
      <c r="DSL4" s="1115"/>
      <c r="DSM4" s="1115"/>
      <c r="DSN4" s="1115"/>
      <c r="DSO4" s="1115"/>
      <c r="DSP4" s="1115"/>
      <c r="DSQ4" s="1115"/>
      <c r="DSR4" s="1115"/>
      <c r="DSS4" s="1115"/>
      <c r="DST4" s="1115"/>
      <c r="DSU4" s="1115"/>
      <c r="DSV4" s="1115"/>
      <c r="DSW4" s="1115"/>
      <c r="DSX4" s="1115"/>
      <c r="DSY4" s="1115"/>
      <c r="DSZ4" s="1115"/>
      <c r="DTA4" s="1115"/>
      <c r="DTB4" s="1115"/>
      <c r="DTC4" s="1115"/>
      <c r="DTD4" s="1115"/>
      <c r="DTE4" s="1115"/>
      <c r="DTF4" s="1115"/>
      <c r="DTG4" s="1115"/>
      <c r="DTH4" s="1115"/>
      <c r="DTI4" s="1115"/>
      <c r="DTJ4" s="1115"/>
      <c r="DTK4" s="1115"/>
      <c r="DTL4" s="1115"/>
      <c r="DTM4" s="1115"/>
      <c r="DTN4" s="1115"/>
      <c r="DTO4" s="1115"/>
      <c r="DTP4" s="1115"/>
      <c r="DTQ4" s="1115"/>
      <c r="DTR4" s="1115"/>
      <c r="DTS4" s="1115"/>
      <c r="DTT4" s="1115"/>
      <c r="DTU4" s="1115"/>
      <c r="DTV4" s="1115"/>
      <c r="DTW4" s="1115"/>
      <c r="DTX4" s="1115"/>
      <c r="DTY4" s="1115"/>
      <c r="DTZ4" s="1115"/>
      <c r="DUA4" s="1115"/>
      <c r="DUB4" s="1115"/>
      <c r="DUC4" s="1115"/>
      <c r="DUD4" s="1115"/>
      <c r="DUE4" s="1115"/>
      <c r="DUF4" s="1115"/>
      <c r="DUG4" s="1115"/>
      <c r="DUH4" s="1115"/>
      <c r="DUI4" s="1115"/>
      <c r="DUJ4" s="1115"/>
      <c r="DUK4" s="1115"/>
      <c r="DUL4" s="1115"/>
      <c r="DUM4" s="1115"/>
      <c r="DUN4" s="1115"/>
      <c r="DUO4" s="1115"/>
      <c r="DUP4" s="1115"/>
      <c r="DUQ4" s="1115"/>
      <c r="DUR4" s="1115"/>
      <c r="DUS4" s="1115"/>
      <c r="DUT4" s="1115"/>
      <c r="DUU4" s="1115"/>
      <c r="DUV4" s="1115"/>
      <c r="DUW4" s="1115"/>
      <c r="DUX4" s="1115"/>
      <c r="DUY4" s="1115"/>
      <c r="DUZ4" s="1115"/>
      <c r="DVA4" s="1115"/>
      <c r="DVB4" s="1115"/>
      <c r="DVC4" s="1115"/>
      <c r="DVD4" s="1115"/>
      <c r="DVE4" s="1115"/>
      <c r="DVF4" s="1115"/>
      <c r="DVG4" s="1115"/>
      <c r="DVH4" s="1115"/>
      <c r="DVI4" s="1115"/>
      <c r="DVJ4" s="1115"/>
      <c r="DVK4" s="1115"/>
      <c r="DVL4" s="1115"/>
      <c r="DVM4" s="1115"/>
      <c r="DVN4" s="1115"/>
      <c r="DVO4" s="1115"/>
      <c r="DVP4" s="1115"/>
      <c r="DVQ4" s="1115"/>
      <c r="DVR4" s="1115"/>
      <c r="DVS4" s="1115"/>
      <c r="DVT4" s="1115"/>
      <c r="DVU4" s="1115"/>
      <c r="DVV4" s="1115"/>
      <c r="DVW4" s="1115"/>
      <c r="DVX4" s="1115"/>
      <c r="DVY4" s="1115"/>
      <c r="DVZ4" s="1115"/>
      <c r="DWA4" s="1115"/>
      <c r="DWB4" s="1115"/>
      <c r="DWC4" s="1115"/>
      <c r="DWD4" s="1115"/>
      <c r="DWE4" s="1115"/>
      <c r="DWF4" s="1115"/>
      <c r="DWG4" s="1115"/>
      <c r="DWH4" s="1115"/>
      <c r="DWI4" s="1115"/>
      <c r="DWJ4" s="1115"/>
      <c r="DWK4" s="1115"/>
      <c r="DWL4" s="1115"/>
      <c r="DWM4" s="1115"/>
      <c r="DWN4" s="1115"/>
      <c r="DWO4" s="1115"/>
      <c r="DWP4" s="1115"/>
      <c r="DWQ4" s="1115"/>
      <c r="DWR4" s="1115"/>
      <c r="DWS4" s="1115"/>
      <c r="DWT4" s="1115"/>
      <c r="DWU4" s="1115"/>
      <c r="DWV4" s="1115"/>
      <c r="DWW4" s="1115"/>
      <c r="DWX4" s="1115"/>
      <c r="DWY4" s="1115"/>
      <c r="DWZ4" s="1115"/>
      <c r="DXA4" s="1115"/>
      <c r="DXB4" s="1115"/>
      <c r="DXC4" s="1115"/>
      <c r="DXD4" s="1115"/>
      <c r="DXE4" s="1115"/>
      <c r="DXF4" s="1115"/>
      <c r="DXG4" s="1115"/>
      <c r="DXH4" s="1115"/>
      <c r="DXI4" s="1115"/>
      <c r="DXJ4" s="1115"/>
      <c r="DXK4" s="1115"/>
      <c r="DXL4" s="1115"/>
      <c r="DXM4" s="1115"/>
      <c r="DXN4" s="1115"/>
      <c r="DXO4" s="1115"/>
      <c r="DXP4" s="1115"/>
      <c r="DXQ4" s="1115"/>
      <c r="DXR4" s="1115"/>
      <c r="DXS4" s="1115"/>
      <c r="DXT4" s="1115"/>
      <c r="DXU4" s="1115"/>
      <c r="DXV4" s="1115"/>
      <c r="DXW4" s="1115"/>
      <c r="DXX4" s="1115"/>
      <c r="DXY4" s="1115"/>
      <c r="DXZ4" s="1115"/>
      <c r="DYA4" s="1115"/>
      <c r="DYB4" s="1115"/>
      <c r="DYC4" s="1115"/>
      <c r="DYD4" s="1115"/>
      <c r="DYE4" s="1115"/>
      <c r="DYF4" s="1115"/>
      <c r="DYG4" s="1115"/>
      <c r="DYH4" s="1115"/>
      <c r="DYI4" s="1115"/>
      <c r="DYJ4" s="1115"/>
      <c r="DYK4" s="1115"/>
      <c r="DYL4" s="1115"/>
      <c r="DYM4" s="1115"/>
      <c r="DYN4" s="1115"/>
      <c r="DYO4" s="1115"/>
      <c r="DYP4" s="1115"/>
      <c r="DYQ4" s="1115"/>
      <c r="DYR4" s="1115"/>
      <c r="DYS4" s="1115"/>
      <c r="DYT4" s="1115"/>
      <c r="DYU4" s="1115"/>
      <c r="DYV4" s="1115"/>
      <c r="DYW4" s="1115"/>
      <c r="DYX4" s="1115"/>
      <c r="DYY4" s="1115"/>
      <c r="DYZ4" s="1115"/>
      <c r="DZA4" s="1115"/>
      <c r="DZB4" s="1115"/>
      <c r="DZC4" s="1115"/>
      <c r="DZD4" s="1115"/>
      <c r="DZE4" s="1115"/>
      <c r="DZF4" s="1115"/>
      <c r="DZG4" s="1115"/>
      <c r="DZH4" s="1115"/>
      <c r="DZI4" s="1115"/>
      <c r="DZJ4" s="1115"/>
      <c r="DZK4" s="1115"/>
      <c r="DZL4" s="1115"/>
      <c r="DZM4" s="1115"/>
      <c r="DZN4" s="1115"/>
      <c r="DZO4" s="1115"/>
      <c r="DZP4" s="1115"/>
      <c r="DZQ4" s="1115"/>
      <c r="DZR4" s="1115"/>
      <c r="DZS4" s="1115"/>
      <c r="DZT4" s="1115"/>
      <c r="DZU4" s="1115"/>
      <c r="DZV4" s="1115"/>
      <c r="DZW4" s="1115"/>
      <c r="DZX4" s="1115"/>
      <c r="DZY4" s="1115"/>
      <c r="DZZ4" s="1115"/>
      <c r="EAA4" s="1115"/>
      <c r="EAB4" s="1115"/>
      <c r="EAC4" s="1115"/>
      <c r="EAD4" s="1115"/>
      <c r="EAE4" s="1115"/>
      <c r="EAF4" s="1115"/>
      <c r="EAG4" s="1115"/>
      <c r="EAH4" s="1115"/>
      <c r="EAI4" s="1115"/>
      <c r="EAJ4" s="1115"/>
      <c r="EAK4" s="1115"/>
      <c r="EAL4" s="1115"/>
      <c r="EAM4" s="1115"/>
      <c r="EAN4" s="1115"/>
      <c r="EAO4" s="1115"/>
      <c r="EAP4" s="1115"/>
      <c r="EAQ4" s="1115"/>
      <c r="EAR4" s="1115"/>
      <c r="EAS4" s="1115"/>
      <c r="EAT4" s="1115"/>
      <c r="EAU4" s="1115"/>
      <c r="EAV4" s="1115"/>
      <c r="EAW4" s="1115"/>
      <c r="EAX4" s="1115"/>
      <c r="EAY4" s="1115"/>
      <c r="EAZ4" s="1115"/>
      <c r="EBA4" s="1115"/>
      <c r="EBB4" s="1115"/>
      <c r="EBC4" s="1115"/>
      <c r="EBD4" s="1115"/>
      <c r="EBE4" s="1115"/>
      <c r="EBF4" s="1115"/>
      <c r="EBG4" s="1115"/>
      <c r="EBH4" s="1115"/>
      <c r="EBI4" s="1115"/>
      <c r="EBJ4" s="1115"/>
      <c r="EBK4" s="1115"/>
      <c r="EBL4" s="1115"/>
      <c r="EBM4" s="1115"/>
      <c r="EBN4" s="1115"/>
      <c r="EBO4" s="1115"/>
      <c r="EBP4" s="1115"/>
      <c r="EBQ4" s="1115"/>
      <c r="EBR4" s="1115"/>
      <c r="EBS4" s="1115"/>
      <c r="EBT4" s="1115"/>
      <c r="EBU4" s="1115"/>
      <c r="EBV4" s="1115"/>
      <c r="EBW4" s="1115"/>
      <c r="EBX4" s="1115"/>
      <c r="EBY4" s="1115"/>
      <c r="EBZ4" s="1115"/>
      <c r="ECA4" s="1115"/>
      <c r="ECB4" s="1115"/>
      <c r="ECC4" s="1115"/>
      <c r="ECD4" s="1115"/>
      <c r="ECE4" s="1115"/>
      <c r="ECF4" s="1115"/>
      <c r="ECG4" s="1115"/>
      <c r="ECH4" s="1115"/>
      <c r="ECI4" s="1115"/>
      <c r="ECJ4" s="1115"/>
      <c r="ECK4" s="1115"/>
      <c r="ECL4" s="1115"/>
      <c r="ECM4" s="1115"/>
      <c r="ECN4" s="1115"/>
      <c r="ECO4" s="1115"/>
      <c r="ECP4" s="1115"/>
      <c r="ECQ4" s="1115"/>
      <c r="ECR4" s="1115"/>
      <c r="ECS4" s="1115"/>
      <c r="ECT4" s="1115"/>
      <c r="ECU4" s="1115"/>
      <c r="ECV4" s="1115"/>
      <c r="ECW4" s="1115"/>
      <c r="ECX4" s="1115"/>
      <c r="ECY4" s="1115"/>
      <c r="ECZ4" s="1115"/>
      <c r="EDA4" s="1115"/>
      <c r="EDB4" s="1115"/>
      <c r="EDC4" s="1115"/>
      <c r="EDD4" s="1115"/>
      <c r="EDE4" s="1115"/>
      <c r="EDF4" s="1115"/>
      <c r="EDG4" s="1115"/>
      <c r="EDH4" s="1115"/>
      <c r="EDI4" s="1115"/>
      <c r="EDJ4" s="1115"/>
      <c r="EDK4" s="1115"/>
      <c r="EDL4" s="1115"/>
      <c r="EDM4" s="1115"/>
      <c r="EDN4" s="1115"/>
      <c r="EDO4" s="1115"/>
      <c r="EDP4" s="1115"/>
      <c r="EDQ4" s="1115"/>
      <c r="EDR4" s="1115"/>
      <c r="EDS4" s="1115"/>
      <c r="EDT4" s="1115"/>
      <c r="EDU4" s="1115"/>
      <c r="EDV4" s="1115"/>
      <c r="EDW4" s="1115"/>
      <c r="EDX4" s="1115"/>
      <c r="EDY4" s="1115"/>
      <c r="EDZ4" s="1115"/>
      <c r="EEA4" s="1115"/>
      <c r="EEB4" s="1115"/>
      <c r="EEC4" s="1115"/>
      <c r="EED4" s="1115"/>
      <c r="EEE4" s="1115"/>
      <c r="EEF4" s="1115"/>
      <c r="EEG4" s="1115"/>
      <c r="EEH4" s="1115"/>
      <c r="EEI4" s="1115"/>
      <c r="EEJ4" s="1115"/>
      <c r="EEK4" s="1115"/>
      <c r="EEL4" s="1115"/>
      <c r="EEM4" s="1115"/>
      <c r="EEN4" s="1115"/>
      <c r="EEO4" s="1115"/>
      <c r="EEP4" s="1115"/>
      <c r="EEQ4" s="1115"/>
      <c r="EER4" s="1115"/>
      <c r="EES4" s="1115"/>
      <c r="EET4" s="1115"/>
      <c r="EEU4" s="1115"/>
      <c r="EEV4" s="1115"/>
      <c r="EEW4" s="1115"/>
      <c r="EEX4" s="1115"/>
      <c r="EEY4" s="1115"/>
      <c r="EEZ4" s="1115"/>
      <c r="EFA4" s="1115"/>
      <c r="EFB4" s="1115"/>
      <c r="EFC4" s="1115"/>
      <c r="EFD4" s="1115"/>
      <c r="EFE4" s="1115"/>
      <c r="EFF4" s="1115"/>
      <c r="EFG4" s="1115"/>
      <c r="EFH4" s="1115"/>
      <c r="EFI4" s="1115"/>
      <c r="EFJ4" s="1115"/>
      <c r="EFK4" s="1115"/>
      <c r="EFL4" s="1115"/>
      <c r="EFM4" s="1115"/>
      <c r="EFN4" s="1115"/>
      <c r="EFO4" s="1115"/>
      <c r="EFP4" s="1115"/>
      <c r="EFQ4" s="1115"/>
      <c r="EFR4" s="1115"/>
      <c r="EFS4" s="1115"/>
      <c r="EFT4" s="1115"/>
      <c r="EFU4" s="1115"/>
      <c r="EFV4" s="1115"/>
      <c r="EFW4" s="1115"/>
      <c r="EFX4" s="1115"/>
      <c r="EFY4" s="1115"/>
      <c r="EFZ4" s="1115"/>
      <c r="EGA4" s="1115"/>
      <c r="EGB4" s="1115"/>
      <c r="EGC4" s="1115"/>
      <c r="EGD4" s="1115"/>
      <c r="EGE4" s="1115"/>
      <c r="EGF4" s="1115"/>
      <c r="EGG4" s="1115"/>
      <c r="EGH4" s="1115"/>
      <c r="EGI4" s="1115"/>
      <c r="EGJ4" s="1115"/>
      <c r="EGK4" s="1115"/>
      <c r="EGL4" s="1115"/>
      <c r="EGM4" s="1115"/>
      <c r="EGN4" s="1115"/>
      <c r="EGO4" s="1115"/>
      <c r="EGP4" s="1115"/>
      <c r="EGQ4" s="1115"/>
      <c r="EGR4" s="1115"/>
      <c r="EGS4" s="1115"/>
      <c r="EGT4" s="1115"/>
      <c r="EGU4" s="1115"/>
      <c r="EGV4" s="1115"/>
      <c r="EGW4" s="1115"/>
      <c r="EGX4" s="1115"/>
      <c r="EGY4" s="1115"/>
      <c r="EGZ4" s="1115"/>
      <c r="EHA4" s="1115"/>
      <c r="EHB4" s="1115"/>
      <c r="EHC4" s="1115"/>
      <c r="EHD4" s="1115"/>
      <c r="EHE4" s="1115"/>
      <c r="EHF4" s="1115"/>
      <c r="EHG4" s="1115"/>
      <c r="EHH4" s="1115"/>
      <c r="EHI4" s="1115"/>
      <c r="EHJ4" s="1115"/>
      <c r="EHK4" s="1115"/>
      <c r="EHL4" s="1115"/>
      <c r="EHM4" s="1115"/>
      <c r="EHN4" s="1115"/>
      <c r="EHO4" s="1115"/>
      <c r="EHP4" s="1115"/>
      <c r="EHQ4" s="1115"/>
      <c r="EHR4" s="1115"/>
      <c r="EHS4" s="1115"/>
      <c r="EHT4" s="1115"/>
      <c r="EHU4" s="1115"/>
      <c r="EHV4" s="1115"/>
      <c r="EHW4" s="1115"/>
      <c r="EHX4" s="1115"/>
      <c r="EHY4" s="1115"/>
      <c r="EHZ4" s="1115"/>
      <c r="EIA4" s="1115"/>
      <c r="EIB4" s="1115"/>
      <c r="EIC4" s="1115"/>
      <c r="EID4" s="1115"/>
      <c r="EIE4" s="1115"/>
      <c r="EIF4" s="1115"/>
      <c r="EIG4" s="1115"/>
      <c r="EIH4" s="1115"/>
      <c r="EII4" s="1115"/>
      <c r="EIJ4" s="1115"/>
      <c r="EIK4" s="1115"/>
      <c r="EIL4" s="1115"/>
      <c r="EIM4" s="1115"/>
      <c r="EIN4" s="1115"/>
      <c r="EIO4" s="1115"/>
      <c r="EIP4" s="1115"/>
      <c r="EIQ4" s="1115"/>
      <c r="EIR4" s="1115"/>
      <c r="EIS4" s="1115"/>
      <c r="EIT4" s="1115"/>
      <c r="EIU4" s="1115"/>
      <c r="EIV4" s="1115"/>
      <c r="EIW4" s="1115"/>
      <c r="EIX4" s="1115"/>
      <c r="EIY4" s="1115"/>
      <c r="EIZ4" s="1115"/>
      <c r="EJA4" s="1115"/>
      <c r="EJB4" s="1115"/>
      <c r="EJC4" s="1115"/>
      <c r="EJD4" s="1115"/>
      <c r="EJE4" s="1115"/>
      <c r="EJF4" s="1115"/>
      <c r="EJG4" s="1115"/>
      <c r="EJH4" s="1115"/>
      <c r="EJI4" s="1115"/>
      <c r="EJJ4" s="1115"/>
      <c r="EJK4" s="1115"/>
      <c r="EJL4" s="1115"/>
      <c r="EJM4" s="1115"/>
      <c r="EJN4" s="1115"/>
      <c r="EJO4" s="1115"/>
      <c r="EJP4" s="1115"/>
      <c r="EJQ4" s="1115"/>
      <c r="EJR4" s="1115"/>
      <c r="EJS4" s="1115"/>
      <c r="EJT4" s="1115"/>
      <c r="EJU4" s="1115"/>
      <c r="EJV4" s="1115"/>
      <c r="EJW4" s="1115"/>
      <c r="EJX4" s="1115"/>
      <c r="EJY4" s="1115"/>
      <c r="EJZ4" s="1115"/>
      <c r="EKA4" s="1115"/>
      <c r="EKB4" s="1115"/>
      <c r="EKC4" s="1115"/>
      <c r="EKD4" s="1115"/>
      <c r="EKE4" s="1115"/>
      <c r="EKF4" s="1115"/>
      <c r="EKG4" s="1115"/>
      <c r="EKH4" s="1115"/>
      <c r="EKI4" s="1115"/>
      <c r="EKJ4" s="1115"/>
      <c r="EKK4" s="1115"/>
      <c r="EKL4" s="1115"/>
      <c r="EKM4" s="1115"/>
      <c r="EKN4" s="1115"/>
      <c r="EKO4" s="1115"/>
      <c r="EKP4" s="1115"/>
      <c r="EKQ4" s="1115"/>
      <c r="EKR4" s="1115"/>
      <c r="EKS4" s="1115"/>
      <c r="EKT4" s="1115"/>
      <c r="EKU4" s="1115"/>
      <c r="EKV4" s="1115"/>
      <c r="EKW4" s="1115"/>
      <c r="EKX4" s="1115"/>
      <c r="EKY4" s="1115"/>
      <c r="EKZ4" s="1115"/>
      <c r="ELA4" s="1115"/>
      <c r="ELB4" s="1115"/>
      <c r="ELC4" s="1115"/>
      <c r="ELD4" s="1115"/>
      <c r="ELE4" s="1115"/>
      <c r="ELF4" s="1115"/>
      <c r="ELG4" s="1115"/>
      <c r="ELH4" s="1115"/>
      <c r="ELI4" s="1115"/>
      <c r="ELJ4" s="1115"/>
      <c r="ELK4" s="1115"/>
      <c r="ELL4" s="1115"/>
      <c r="ELM4" s="1115"/>
      <c r="ELN4" s="1115"/>
      <c r="ELO4" s="1115"/>
      <c r="ELP4" s="1115"/>
      <c r="ELQ4" s="1115"/>
      <c r="ELR4" s="1115"/>
      <c r="ELS4" s="1115"/>
      <c r="ELT4" s="1115"/>
      <c r="ELU4" s="1115"/>
      <c r="ELV4" s="1115"/>
      <c r="ELW4" s="1115"/>
      <c r="ELX4" s="1115"/>
      <c r="ELY4" s="1115"/>
      <c r="ELZ4" s="1115"/>
      <c r="EMA4" s="1115"/>
      <c r="EMB4" s="1115"/>
      <c r="EMC4" s="1115"/>
      <c r="EMD4" s="1115"/>
      <c r="EME4" s="1115"/>
      <c r="EMF4" s="1115"/>
      <c r="EMG4" s="1115"/>
      <c r="EMH4" s="1115"/>
      <c r="EMI4" s="1115"/>
      <c r="EMJ4" s="1115"/>
      <c r="EMK4" s="1115"/>
      <c r="EML4" s="1115"/>
      <c r="EMM4" s="1115"/>
      <c r="EMN4" s="1115"/>
      <c r="EMO4" s="1115"/>
      <c r="EMP4" s="1115"/>
      <c r="EMQ4" s="1115"/>
      <c r="EMR4" s="1115"/>
      <c r="EMS4" s="1115"/>
      <c r="EMT4" s="1115"/>
      <c r="EMU4" s="1115"/>
      <c r="EMV4" s="1115"/>
      <c r="EMW4" s="1115"/>
      <c r="EMX4" s="1115"/>
      <c r="EMY4" s="1115"/>
      <c r="EMZ4" s="1115"/>
      <c r="ENA4" s="1115"/>
      <c r="ENB4" s="1115"/>
      <c r="ENC4" s="1115"/>
      <c r="END4" s="1115"/>
      <c r="ENE4" s="1115"/>
      <c r="ENF4" s="1115"/>
      <c r="ENG4" s="1115"/>
      <c r="ENH4" s="1115"/>
      <c r="ENI4" s="1115"/>
      <c r="ENJ4" s="1115"/>
      <c r="ENK4" s="1115"/>
      <c r="ENL4" s="1115"/>
      <c r="ENM4" s="1115"/>
      <c r="ENN4" s="1115"/>
      <c r="ENO4" s="1115"/>
      <c r="ENP4" s="1115"/>
      <c r="ENQ4" s="1115"/>
      <c r="ENR4" s="1115"/>
      <c r="ENS4" s="1115"/>
      <c r="ENT4" s="1115"/>
      <c r="ENU4" s="1115"/>
      <c r="ENV4" s="1115"/>
      <c r="ENW4" s="1115"/>
      <c r="ENX4" s="1115"/>
      <c r="ENY4" s="1115"/>
      <c r="ENZ4" s="1115"/>
      <c r="EOA4" s="1115"/>
      <c r="EOB4" s="1115"/>
      <c r="EOC4" s="1115"/>
      <c r="EOD4" s="1115"/>
      <c r="EOE4" s="1115"/>
      <c r="EOF4" s="1115"/>
      <c r="EOG4" s="1115"/>
      <c r="EOH4" s="1115"/>
      <c r="EOI4" s="1115"/>
      <c r="EOJ4" s="1115"/>
      <c r="EOK4" s="1115"/>
      <c r="EOL4" s="1115"/>
      <c r="EOM4" s="1115"/>
      <c r="EON4" s="1115"/>
      <c r="EOO4" s="1115"/>
      <c r="EOP4" s="1115"/>
      <c r="EOQ4" s="1115"/>
      <c r="EOR4" s="1115"/>
      <c r="EOS4" s="1115"/>
      <c r="EOT4" s="1115"/>
      <c r="EOU4" s="1115"/>
      <c r="EOV4" s="1115"/>
      <c r="EOW4" s="1115"/>
      <c r="EOX4" s="1115"/>
      <c r="EOY4" s="1115"/>
      <c r="EOZ4" s="1115"/>
      <c r="EPA4" s="1115"/>
      <c r="EPB4" s="1115"/>
      <c r="EPC4" s="1115"/>
      <c r="EPD4" s="1115"/>
      <c r="EPE4" s="1115"/>
      <c r="EPF4" s="1115"/>
      <c r="EPG4" s="1115"/>
      <c r="EPH4" s="1115"/>
      <c r="EPI4" s="1115"/>
      <c r="EPJ4" s="1115"/>
      <c r="EPK4" s="1115"/>
      <c r="EPL4" s="1115"/>
      <c r="EPM4" s="1115"/>
      <c r="EPN4" s="1115"/>
      <c r="EPO4" s="1115"/>
      <c r="EPP4" s="1115"/>
      <c r="EPQ4" s="1115"/>
      <c r="EPR4" s="1115"/>
      <c r="EPS4" s="1115"/>
      <c r="EPT4" s="1115"/>
      <c r="EPU4" s="1115"/>
      <c r="EPV4" s="1115"/>
      <c r="EPW4" s="1115"/>
      <c r="EPX4" s="1115"/>
      <c r="EPY4" s="1115"/>
      <c r="EPZ4" s="1115"/>
      <c r="EQA4" s="1115"/>
      <c r="EQB4" s="1115"/>
      <c r="EQC4" s="1115"/>
      <c r="EQD4" s="1115"/>
      <c r="EQE4" s="1115"/>
      <c r="EQF4" s="1115"/>
      <c r="EQG4" s="1115"/>
      <c r="EQH4" s="1115"/>
      <c r="EQI4" s="1115"/>
      <c r="EQJ4" s="1115"/>
      <c r="EQK4" s="1115"/>
      <c r="EQL4" s="1115"/>
      <c r="EQM4" s="1115"/>
      <c r="EQN4" s="1115"/>
      <c r="EQO4" s="1115"/>
      <c r="EQP4" s="1115"/>
      <c r="EQQ4" s="1115"/>
      <c r="EQR4" s="1115"/>
      <c r="EQS4" s="1115"/>
      <c r="EQT4" s="1115"/>
      <c r="EQU4" s="1115"/>
      <c r="EQV4" s="1115"/>
      <c r="EQW4" s="1115"/>
      <c r="EQX4" s="1115"/>
      <c r="EQY4" s="1115"/>
      <c r="EQZ4" s="1115"/>
      <c r="ERA4" s="1115"/>
      <c r="ERB4" s="1115"/>
      <c r="ERC4" s="1115"/>
      <c r="ERD4" s="1115"/>
      <c r="ERE4" s="1115"/>
      <c r="ERF4" s="1115"/>
      <c r="ERG4" s="1115"/>
      <c r="ERH4" s="1115"/>
      <c r="ERI4" s="1115"/>
      <c r="ERJ4" s="1115"/>
      <c r="ERK4" s="1115"/>
      <c r="ERL4" s="1115"/>
      <c r="ERM4" s="1115"/>
      <c r="ERN4" s="1115"/>
      <c r="ERO4" s="1115"/>
      <c r="ERP4" s="1115"/>
      <c r="ERQ4" s="1115"/>
      <c r="ERR4" s="1115"/>
      <c r="ERS4" s="1115"/>
      <c r="ERT4" s="1115"/>
      <c r="ERU4" s="1115"/>
      <c r="ERV4" s="1115"/>
      <c r="ERW4" s="1115"/>
      <c r="ERX4" s="1115"/>
      <c r="ERY4" s="1115"/>
      <c r="ERZ4" s="1115"/>
      <c r="ESA4" s="1115"/>
      <c r="ESB4" s="1115"/>
      <c r="ESC4" s="1115"/>
      <c r="ESD4" s="1115"/>
      <c r="ESE4" s="1115"/>
      <c r="ESF4" s="1115"/>
      <c r="ESG4" s="1115"/>
      <c r="ESH4" s="1115"/>
      <c r="ESI4" s="1115"/>
      <c r="ESJ4" s="1115"/>
      <c r="ESK4" s="1115"/>
      <c r="ESL4" s="1115"/>
      <c r="ESM4" s="1115"/>
      <c r="ESN4" s="1115"/>
      <c r="ESO4" s="1115"/>
      <c r="ESP4" s="1115"/>
      <c r="ESQ4" s="1115"/>
      <c r="ESR4" s="1115"/>
      <c r="ESS4" s="1115"/>
      <c r="EST4" s="1115"/>
      <c r="ESU4" s="1115"/>
      <c r="ESV4" s="1115"/>
      <c r="ESW4" s="1115"/>
      <c r="ESX4" s="1115"/>
      <c r="ESY4" s="1115"/>
      <c r="ESZ4" s="1115"/>
      <c r="ETA4" s="1115"/>
      <c r="ETB4" s="1115"/>
      <c r="ETC4" s="1115"/>
      <c r="ETD4" s="1115"/>
      <c r="ETE4" s="1115"/>
      <c r="ETF4" s="1115"/>
      <c r="ETG4" s="1115"/>
      <c r="ETH4" s="1115"/>
      <c r="ETI4" s="1115"/>
      <c r="ETJ4" s="1115"/>
      <c r="ETK4" s="1115"/>
      <c r="ETL4" s="1115"/>
      <c r="ETM4" s="1115"/>
      <c r="ETN4" s="1115"/>
      <c r="ETO4" s="1115"/>
      <c r="ETP4" s="1115"/>
      <c r="ETQ4" s="1115"/>
      <c r="ETR4" s="1115"/>
      <c r="ETS4" s="1115"/>
      <c r="ETT4" s="1115"/>
      <c r="ETU4" s="1115"/>
      <c r="ETV4" s="1115"/>
      <c r="ETW4" s="1115"/>
      <c r="ETX4" s="1115"/>
      <c r="ETY4" s="1115"/>
      <c r="ETZ4" s="1115"/>
      <c r="EUA4" s="1115"/>
      <c r="EUB4" s="1115"/>
      <c r="EUC4" s="1115"/>
      <c r="EUD4" s="1115"/>
      <c r="EUE4" s="1115"/>
      <c r="EUF4" s="1115"/>
      <c r="EUG4" s="1115"/>
      <c r="EUH4" s="1115"/>
      <c r="EUI4" s="1115"/>
      <c r="EUJ4" s="1115"/>
      <c r="EUK4" s="1115"/>
      <c r="EUL4" s="1115"/>
      <c r="EUM4" s="1115"/>
      <c r="EUN4" s="1115"/>
      <c r="EUO4" s="1115"/>
      <c r="EUP4" s="1115"/>
      <c r="EUQ4" s="1115"/>
      <c r="EUR4" s="1115"/>
      <c r="EUS4" s="1115"/>
      <c r="EUT4" s="1115"/>
      <c r="EUU4" s="1115"/>
      <c r="EUV4" s="1115"/>
      <c r="EUW4" s="1115"/>
      <c r="EUX4" s="1115"/>
      <c r="EUY4" s="1115"/>
      <c r="EUZ4" s="1115"/>
      <c r="EVA4" s="1115"/>
      <c r="EVB4" s="1115"/>
      <c r="EVC4" s="1115"/>
      <c r="EVD4" s="1115"/>
      <c r="EVE4" s="1115"/>
      <c r="EVF4" s="1115"/>
      <c r="EVG4" s="1115"/>
      <c r="EVH4" s="1115"/>
      <c r="EVI4" s="1115"/>
      <c r="EVJ4" s="1115"/>
      <c r="EVK4" s="1115"/>
      <c r="EVL4" s="1115"/>
      <c r="EVM4" s="1115"/>
      <c r="EVN4" s="1115"/>
      <c r="EVO4" s="1115"/>
      <c r="EVP4" s="1115"/>
      <c r="EVQ4" s="1115"/>
      <c r="EVR4" s="1115"/>
      <c r="EVS4" s="1115"/>
      <c r="EVT4" s="1115"/>
      <c r="EVU4" s="1115"/>
      <c r="EVV4" s="1115"/>
      <c r="EVW4" s="1115"/>
      <c r="EVX4" s="1115"/>
      <c r="EVY4" s="1115"/>
      <c r="EVZ4" s="1115"/>
      <c r="EWA4" s="1115"/>
      <c r="EWB4" s="1115"/>
      <c r="EWC4" s="1115"/>
      <c r="EWD4" s="1115"/>
      <c r="EWE4" s="1115"/>
      <c r="EWF4" s="1115"/>
      <c r="EWG4" s="1115"/>
      <c r="EWH4" s="1115"/>
      <c r="EWI4" s="1115"/>
      <c r="EWJ4" s="1115"/>
      <c r="EWK4" s="1115"/>
      <c r="EWL4" s="1115"/>
      <c r="EWM4" s="1115"/>
      <c r="EWN4" s="1115"/>
      <c r="EWO4" s="1115"/>
      <c r="EWP4" s="1115"/>
      <c r="EWQ4" s="1115"/>
      <c r="EWR4" s="1115"/>
      <c r="EWS4" s="1115"/>
      <c r="EWT4" s="1115"/>
      <c r="EWU4" s="1115"/>
      <c r="EWV4" s="1115"/>
      <c r="EWW4" s="1115"/>
      <c r="EWX4" s="1115"/>
      <c r="EWY4" s="1115"/>
      <c r="EWZ4" s="1115"/>
      <c r="EXA4" s="1115"/>
      <c r="EXB4" s="1115"/>
      <c r="EXC4" s="1115"/>
      <c r="EXD4" s="1115"/>
      <c r="EXE4" s="1115"/>
      <c r="EXF4" s="1115"/>
      <c r="EXG4" s="1115"/>
      <c r="EXH4" s="1115"/>
      <c r="EXI4" s="1115"/>
      <c r="EXJ4" s="1115"/>
      <c r="EXK4" s="1115"/>
      <c r="EXL4" s="1115"/>
      <c r="EXM4" s="1115"/>
      <c r="EXN4" s="1115"/>
      <c r="EXO4" s="1115"/>
      <c r="EXP4" s="1115"/>
      <c r="EXQ4" s="1115"/>
      <c r="EXR4" s="1115"/>
      <c r="EXS4" s="1115"/>
      <c r="EXT4" s="1115"/>
      <c r="EXU4" s="1115"/>
      <c r="EXV4" s="1115"/>
      <c r="EXW4" s="1115"/>
      <c r="EXX4" s="1115"/>
      <c r="EXY4" s="1115"/>
      <c r="EXZ4" s="1115"/>
      <c r="EYA4" s="1115"/>
      <c r="EYB4" s="1115"/>
      <c r="EYC4" s="1115"/>
      <c r="EYD4" s="1115"/>
      <c r="EYE4" s="1115"/>
      <c r="EYF4" s="1115"/>
      <c r="EYG4" s="1115"/>
      <c r="EYH4" s="1115"/>
      <c r="EYI4" s="1115"/>
      <c r="EYJ4" s="1115"/>
      <c r="EYK4" s="1115"/>
      <c r="EYL4" s="1115"/>
      <c r="EYM4" s="1115"/>
      <c r="EYN4" s="1115"/>
      <c r="EYO4" s="1115"/>
      <c r="EYP4" s="1115"/>
      <c r="EYQ4" s="1115"/>
      <c r="EYR4" s="1115"/>
      <c r="EYS4" s="1115"/>
      <c r="EYT4" s="1115"/>
      <c r="EYU4" s="1115"/>
      <c r="EYV4" s="1115"/>
      <c r="EYW4" s="1115"/>
      <c r="EYX4" s="1115"/>
      <c r="EYY4" s="1115"/>
      <c r="EYZ4" s="1115"/>
      <c r="EZA4" s="1115"/>
      <c r="EZB4" s="1115"/>
      <c r="EZC4" s="1115"/>
      <c r="EZD4" s="1115"/>
      <c r="EZE4" s="1115"/>
      <c r="EZF4" s="1115"/>
      <c r="EZG4" s="1115"/>
      <c r="EZH4" s="1115"/>
      <c r="EZI4" s="1115"/>
      <c r="EZJ4" s="1115"/>
      <c r="EZK4" s="1115"/>
      <c r="EZL4" s="1115"/>
      <c r="EZM4" s="1115"/>
      <c r="EZN4" s="1115"/>
      <c r="EZO4" s="1115"/>
      <c r="EZP4" s="1115"/>
      <c r="EZQ4" s="1115"/>
      <c r="EZR4" s="1115"/>
      <c r="EZS4" s="1115"/>
      <c r="EZT4" s="1115"/>
      <c r="EZU4" s="1115"/>
      <c r="EZV4" s="1115"/>
      <c r="EZW4" s="1115"/>
      <c r="EZX4" s="1115"/>
      <c r="EZY4" s="1115"/>
      <c r="EZZ4" s="1115"/>
      <c r="FAA4" s="1115"/>
      <c r="FAB4" s="1115"/>
      <c r="FAC4" s="1115"/>
      <c r="FAD4" s="1115"/>
      <c r="FAE4" s="1115"/>
      <c r="FAF4" s="1115"/>
      <c r="FAG4" s="1115"/>
      <c r="FAH4" s="1115"/>
      <c r="FAI4" s="1115"/>
      <c r="FAJ4" s="1115"/>
      <c r="FAK4" s="1115"/>
      <c r="FAL4" s="1115"/>
      <c r="FAM4" s="1115"/>
      <c r="FAN4" s="1115"/>
      <c r="FAO4" s="1115"/>
      <c r="FAP4" s="1115"/>
      <c r="FAQ4" s="1115"/>
      <c r="FAR4" s="1115"/>
      <c r="FAS4" s="1115"/>
      <c r="FAT4" s="1115"/>
      <c r="FAU4" s="1115"/>
      <c r="FAV4" s="1115"/>
      <c r="FAW4" s="1115"/>
      <c r="FAX4" s="1115"/>
      <c r="FAY4" s="1115"/>
      <c r="FAZ4" s="1115"/>
      <c r="FBA4" s="1115"/>
      <c r="FBB4" s="1115"/>
      <c r="FBC4" s="1115"/>
      <c r="FBD4" s="1115"/>
      <c r="FBE4" s="1115"/>
      <c r="FBF4" s="1115"/>
      <c r="FBG4" s="1115"/>
      <c r="FBH4" s="1115"/>
      <c r="FBI4" s="1115"/>
      <c r="FBJ4" s="1115"/>
      <c r="FBK4" s="1115"/>
      <c r="FBL4" s="1115"/>
      <c r="FBM4" s="1115"/>
      <c r="FBN4" s="1115"/>
      <c r="FBO4" s="1115"/>
      <c r="FBP4" s="1115"/>
      <c r="FBQ4" s="1115"/>
      <c r="FBR4" s="1115"/>
      <c r="FBS4" s="1115"/>
      <c r="FBT4" s="1115"/>
      <c r="FBU4" s="1115"/>
      <c r="FBV4" s="1115"/>
      <c r="FBW4" s="1115"/>
      <c r="FBX4" s="1115"/>
      <c r="FBY4" s="1115"/>
      <c r="FBZ4" s="1115"/>
      <c r="FCA4" s="1115"/>
      <c r="FCB4" s="1115"/>
      <c r="FCC4" s="1115"/>
      <c r="FCD4" s="1115"/>
      <c r="FCE4" s="1115"/>
      <c r="FCF4" s="1115"/>
      <c r="FCG4" s="1115"/>
      <c r="FCH4" s="1115"/>
      <c r="FCI4" s="1115"/>
      <c r="FCJ4" s="1115"/>
      <c r="FCK4" s="1115"/>
      <c r="FCL4" s="1115"/>
      <c r="FCM4" s="1115"/>
      <c r="FCN4" s="1115"/>
      <c r="FCO4" s="1115"/>
      <c r="FCP4" s="1115"/>
      <c r="FCQ4" s="1115"/>
      <c r="FCR4" s="1115"/>
      <c r="FCS4" s="1115"/>
      <c r="FCT4" s="1115"/>
      <c r="FCU4" s="1115"/>
      <c r="FCV4" s="1115"/>
      <c r="FCW4" s="1115"/>
      <c r="FCX4" s="1115"/>
      <c r="FCY4" s="1115"/>
      <c r="FCZ4" s="1115"/>
      <c r="FDA4" s="1115"/>
      <c r="FDB4" s="1115"/>
      <c r="FDC4" s="1115"/>
      <c r="FDD4" s="1115"/>
      <c r="FDE4" s="1115"/>
      <c r="FDF4" s="1115"/>
      <c r="FDG4" s="1115"/>
      <c r="FDH4" s="1115"/>
      <c r="FDI4" s="1115"/>
      <c r="FDJ4" s="1115"/>
      <c r="FDK4" s="1115"/>
      <c r="FDL4" s="1115"/>
      <c r="FDM4" s="1115"/>
      <c r="FDN4" s="1115"/>
      <c r="FDO4" s="1115"/>
      <c r="FDP4" s="1115"/>
      <c r="FDQ4" s="1115"/>
      <c r="FDR4" s="1115"/>
      <c r="FDS4" s="1115"/>
      <c r="FDT4" s="1115"/>
      <c r="FDU4" s="1115"/>
      <c r="FDV4" s="1115"/>
      <c r="FDW4" s="1115"/>
      <c r="FDX4" s="1115"/>
      <c r="FDY4" s="1115"/>
      <c r="FDZ4" s="1115"/>
      <c r="FEA4" s="1115"/>
      <c r="FEB4" s="1115"/>
      <c r="FEC4" s="1115"/>
      <c r="FED4" s="1115"/>
      <c r="FEE4" s="1115"/>
      <c r="FEF4" s="1115"/>
      <c r="FEG4" s="1115"/>
      <c r="FEH4" s="1115"/>
      <c r="FEI4" s="1115"/>
      <c r="FEJ4" s="1115"/>
      <c r="FEK4" s="1115"/>
      <c r="FEL4" s="1115"/>
      <c r="FEM4" s="1115"/>
      <c r="FEN4" s="1115"/>
      <c r="FEO4" s="1115"/>
      <c r="FEP4" s="1115"/>
      <c r="FEQ4" s="1115"/>
      <c r="FER4" s="1115"/>
      <c r="FES4" s="1115"/>
      <c r="FET4" s="1115"/>
      <c r="FEU4" s="1115"/>
      <c r="FEV4" s="1115"/>
      <c r="FEW4" s="1115"/>
      <c r="FEX4" s="1115"/>
      <c r="FEY4" s="1115"/>
      <c r="FEZ4" s="1115"/>
      <c r="FFA4" s="1115"/>
      <c r="FFB4" s="1115"/>
      <c r="FFC4" s="1115"/>
      <c r="FFD4" s="1115"/>
      <c r="FFE4" s="1115"/>
      <c r="FFF4" s="1115"/>
      <c r="FFG4" s="1115"/>
      <c r="FFH4" s="1115"/>
      <c r="FFI4" s="1115"/>
      <c r="FFJ4" s="1115"/>
      <c r="FFK4" s="1115"/>
      <c r="FFL4" s="1115"/>
      <c r="FFM4" s="1115"/>
      <c r="FFN4" s="1115"/>
      <c r="FFO4" s="1115"/>
      <c r="FFP4" s="1115"/>
      <c r="FFQ4" s="1115"/>
      <c r="FFR4" s="1115"/>
      <c r="FFS4" s="1115"/>
      <c r="FFT4" s="1115"/>
      <c r="FFU4" s="1115"/>
      <c r="FFV4" s="1115"/>
      <c r="FFW4" s="1115"/>
      <c r="FFX4" s="1115"/>
      <c r="FFY4" s="1115"/>
      <c r="FFZ4" s="1115"/>
      <c r="FGA4" s="1115"/>
      <c r="FGB4" s="1115"/>
      <c r="FGC4" s="1115"/>
      <c r="FGD4" s="1115"/>
      <c r="FGE4" s="1115"/>
      <c r="FGF4" s="1115"/>
      <c r="FGG4" s="1115"/>
      <c r="FGH4" s="1115"/>
      <c r="FGI4" s="1115"/>
      <c r="FGJ4" s="1115"/>
      <c r="FGK4" s="1115"/>
      <c r="FGL4" s="1115"/>
      <c r="FGM4" s="1115"/>
      <c r="FGN4" s="1115"/>
      <c r="FGO4" s="1115"/>
      <c r="FGP4" s="1115"/>
      <c r="FGQ4" s="1115"/>
      <c r="FGR4" s="1115"/>
      <c r="FGS4" s="1115"/>
      <c r="FGT4" s="1115"/>
      <c r="FGU4" s="1115"/>
      <c r="FGV4" s="1115"/>
      <c r="FGW4" s="1115"/>
      <c r="FGX4" s="1115"/>
      <c r="FGY4" s="1115"/>
      <c r="FGZ4" s="1115"/>
      <c r="FHA4" s="1115"/>
      <c r="FHB4" s="1115"/>
      <c r="FHC4" s="1115"/>
      <c r="FHD4" s="1115"/>
      <c r="FHE4" s="1115"/>
      <c r="FHF4" s="1115"/>
      <c r="FHG4" s="1115"/>
      <c r="FHH4" s="1115"/>
      <c r="FHI4" s="1115"/>
      <c r="FHJ4" s="1115"/>
      <c r="FHK4" s="1115"/>
      <c r="FHL4" s="1115"/>
      <c r="FHM4" s="1115"/>
      <c r="FHN4" s="1115"/>
      <c r="FHO4" s="1115"/>
      <c r="FHP4" s="1115"/>
      <c r="FHQ4" s="1115"/>
      <c r="FHR4" s="1115"/>
      <c r="FHS4" s="1115"/>
      <c r="FHT4" s="1115"/>
      <c r="FHU4" s="1115"/>
      <c r="FHV4" s="1115"/>
      <c r="FHW4" s="1115"/>
      <c r="FHX4" s="1115"/>
      <c r="FHY4" s="1115"/>
      <c r="FHZ4" s="1115"/>
      <c r="FIA4" s="1115"/>
      <c r="FIB4" s="1115"/>
      <c r="FIC4" s="1115"/>
      <c r="FID4" s="1115"/>
      <c r="FIE4" s="1115"/>
      <c r="FIF4" s="1115"/>
      <c r="FIG4" s="1115"/>
      <c r="FIH4" s="1115"/>
      <c r="FII4" s="1115"/>
      <c r="FIJ4" s="1115"/>
      <c r="FIK4" s="1115"/>
      <c r="FIL4" s="1115"/>
      <c r="FIM4" s="1115"/>
      <c r="FIN4" s="1115"/>
      <c r="FIO4" s="1115"/>
      <c r="FIP4" s="1115"/>
      <c r="FIQ4" s="1115"/>
      <c r="FIR4" s="1115"/>
      <c r="FIS4" s="1115"/>
      <c r="FIT4" s="1115"/>
      <c r="FIU4" s="1115"/>
      <c r="FIV4" s="1115"/>
      <c r="FIW4" s="1115"/>
      <c r="FIX4" s="1115"/>
      <c r="FIY4" s="1115"/>
      <c r="FIZ4" s="1115"/>
      <c r="FJA4" s="1115"/>
      <c r="FJB4" s="1115"/>
      <c r="FJC4" s="1115"/>
      <c r="FJD4" s="1115"/>
      <c r="FJE4" s="1115"/>
      <c r="FJF4" s="1115"/>
      <c r="FJG4" s="1115"/>
      <c r="FJH4" s="1115"/>
      <c r="FJI4" s="1115"/>
      <c r="FJJ4" s="1115"/>
      <c r="FJK4" s="1115"/>
      <c r="FJL4" s="1115"/>
      <c r="FJM4" s="1115"/>
      <c r="FJN4" s="1115"/>
      <c r="FJO4" s="1115"/>
      <c r="FJP4" s="1115"/>
      <c r="FJQ4" s="1115"/>
      <c r="FJR4" s="1115"/>
      <c r="FJS4" s="1115"/>
      <c r="FJT4" s="1115"/>
      <c r="FJU4" s="1115"/>
      <c r="FJV4" s="1115"/>
      <c r="FJW4" s="1115"/>
      <c r="FJX4" s="1115"/>
      <c r="FJY4" s="1115"/>
      <c r="FJZ4" s="1115"/>
      <c r="FKA4" s="1115"/>
      <c r="FKB4" s="1115"/>
      <c r="FKC4" s="1115"/>
      <c r="FKD4" s="1115"/>
      <c r="FKE4" s="1115"/>
      <c r="FKF4" s="1115"/>
      <c r="FKG4" s="1115"/>
      <c r="FKH4" s="1115"/>
      <c r="FKI4" s="1115"/>
      <c r="FKJ4" s="1115"/>
      <c r="FKK4" s="1115"/>
      <c r="FKL4" s="1115"/>
      <c r="FKM4" s="1115"/>
      <c r="FKN4" s="1115"/>
      <c r="FKO4" s="1115"/>
      <c r="FKP4" s="1115"/>
      <c r="FKQ4" s="1115"/>
      <c r="FKR4" s="1115"/>
      <c r="FKS4" s="1115"/>
      <c r="FKT4" s="1115"/>
      <c r="FKU4" s="1115"/>
      <c r="FKV4" s="1115"/>
      <c r="FKW4" s="1115"/>
      <c r="FKX4" s="1115"/>
      <c r="FKY4" s="1115"/>
      <c r="FKZ4" s="1115"/>
      <c r="FLA4" s="1115"/>
      <c r="FLB4" s="1115"/>
      <c r="FLC4" s="1115"/>
      <c r="FLD4" s="1115"/>
      <c r="FLE4" s="1115"/>
      <c r="FLF4" s="1115"/>
      <c r="FLG4" s="1115"/>
      <c r="FLH4" s="1115"/>
      <c r="FLI4" s="1115"/>
      <c r="FLJ4" s="1115"/>
      <c r="FLK4" s="1115"/>
      <c r="FLL4" s="1115"/>
      <c r="FLM4" s="1115"/>
      <c r="FLN4" s="1115"/>
      <c r="FLO4" s="1115"/>
      <c r="FLP4" s="1115"/>
      <c r="FLQ4" s="1115"/>
      <c r="FLR4" s="1115"/>
      <c r="FLS4" s="1115"/>
      <c r="FLT4" s="1115"/>
      <c r="FLU4" s="1115"/>
      <c r="FLV4" s="1115"/>
      <c r="FLW4" s="1115"/>
      <c r="FLX4" s="1115"/>
      <c r="FLY4" s="1115"/>
      <c r="FLZ4" s="1115"/>
      <c r="FMA4" s="1115"/>
      <c r="FMB4" s="1115"/>
      <c r="FMC4" s="1115"/>
      <c r="FMD4" s="1115"/>
      <c r="FME4" s="1115"/>
      <c r="FMF4" s="1115"/>
      <c r="FMG4" s="1115"/>
      <c r="FMH4" s="1115"/>
      <c r="FMI4" s="1115"/>
      <c r="FMJ4" s="1115"/>
      <c r="FMK4" s="1115"/>
      <c r="FML4" s="1115"/>
      <c r="FMM4" s="1115"/>
      <c r="FMN4" s="1115"/>
      <c r="FMO4" s="1115"/>
      <c r="FMP4" s="1115"/>
      <c r="FMQ4" s="1115"/>
      <c r="FMR4" s="1115"/>
      <c r="FMS4" s="1115"/>
      <c r="FMT4" s="1115"/>
      <c r="FMU4" s="1115"/>
      <c r="FMV4" s="1115"/>
      <c r="FMW4" s="1115"/>
      <c r="FMX4" s="1115"/>
      <c r="FMY4" s="1115"/>
      <c r="FMZ4" s="1115"/>
      <c r="FNA4" s="1115"/>
      <c r="FNB4" s="1115"/>
      <c r="FNC4" s="1115"/>
      <c r="FND4" s="1115"/>
      <c r="FNE4" s="1115"/>
      <c r="FNF4" s="1115"/>
      <c r="FNG4" s="1115"/>
      <c r="FNH4" s="1115"/>
      <c r="FNI4" s="1115"/>
      <c r="FNJ4" s="1115"/>
      <c r="FNK4" s="1115"/>
      <c r="FNL4" s="1115"/>
      <c r="FNM4" s="1115"/>
      <c r="FNN4" s="1115"/>
      <c r="FNO4" s="1115"/>
      <c r="FNP4" s="1115"/>
      <c r="FNQ4" s="1115"/>
      <c r="FNR4" s="1115"/>
      <c r="FNS4" s="1115"/>
      <c r="FNT4" s="1115"/>
      <c r="FNU4" s="1115"/>
      <c r="FNV4" s="1115"/>
      <c r="FNW4" s="1115"/>
      <c r="FNX4" s="1115"/>
      <c r="FNY4" s="1115"/>
      <c r="FNZ4" s="1115"/>
      <c r="FOA4" s="1115"/>
      <c r="FOB4" s="1115"/>
      <c r="FOC4" s="1115"/>
      <c r="FOD4" s="1115"/>
      <c r="FOE4" s="1115"/>
      <c r="FOF4" s="1115"/>
      <c r="FOG4" s="1115"/>
      <c r="FOH4" s="1115"/>
      <c r="FOI4" s="1115"/>
      <c r="FOJ4" s="1115"/>
      <c r="FOK4" s="1115"/>
      <c r="FOL4" s="1115"/>
      <c r="FOM4" s="1115"/>
      <c r="FON4" s="1115"/>
      <c r="FOO4" s="1115"/>
      <c r="FOP4" s="1115"/>
      <c r="FOQ4" s="1115"/>
      <c r="FOR4" s="1115"/>
      <c r="FOS4" s="1115"/>
      <c r="FOT4" s="1115"/>
      <c r="FOU4" s="1115"/>
      <c r="FOV4" s="1115"/>
      <c r="FOW4" s="1115"/>
      <c r="FOX4" s="1115"/>
      <c r="FOY4" s="1115"/>
      <c r="FOZ4" s="1115"/>
      <c r="FPA4" s="1115"/>
      <c r="FPB4" s="1115"/>
      <c r="FPC4" s="1115"/>
      <c r="FPD4" s="1115"/>
      <c r="FPE4" s="1115"/>
      <c r="FPF4" s="1115"/>
      <c r="FPG4" s="1115"/>
      <c r="FPH4" s="1115"/>
      <c r="FPI4" s="1115"/>
      <c r="FPJ4" s="1115"/>
      <c r="FPK4" s="1115"/>
      <c r="FPL4" s="1115"/>
      <c r="FPM4" s="1115"/>
      <c r="FPN4" s="1115"/>
      <c r="FPO4" s="1115"/>
      <c r="FPP4" s="1115"/>
      <c r="FPQ4" s="1115"/>
      <c r="FPR4" s="1115"/>
      <c r="FPS4" s="1115"/>
      <c r="FPT4" s="1115"/>
      <c r="FPU4" s="1115"/>
      <c r="FPV4" s="1115"/>
      <c r="FPW4" s="1115"/>
      <c r="FPX4" s="1115"/>
      <c r="FPY4" s="1115"/>
      <c r="FPZ4" s="1115"/>
      <c r="FQA4" s="1115"/>
      <c r="FQB4" s="1115"/>
      <c r="FQC4" s="1115"/>
      <c r="FQD4" s="1115"/>
      <c r="FQE4" s="1115"/>
      <c r="FQF4" s="1115"/>
      <c r="FQG4" s="1115"/>
      <c r="FQH4" s="1115"/>
      <c r="FQI4" s="1115"/>
      <c r="FQJ4" s="1115"/>
      <c r="FQK4" s="1115"/>
      <c r="FQL4" s="1115"/>
      <c r="FQM4" s="1115"/>
      <c r="FQN4" s="1115"/>
      <c r="FQO4" s="1115"/>
      <c r="FQP4" s="1115"/>
      <c r="FQQ4" s="1115"/>
      <c r="FQR4" s="1115"/>
      <c r="FQS4" s="1115"/>
      <c r="FQT4" s="1115"/>
      <c r="FQU4" s="1115"/>
      <c r="FQV4" s="1115"/>
      <c r="FQW4" s="1115"/>
      <c r="FQX4" s="1115"/>
      <c r="FQY4" s="1115"/>
      <c r="FQZ4" s="1115"/>
      <c r="FRA4" s="1115"/>
      <c r="FRB4" s="1115"/>
      <c r="FRC4" s="1115"/>
      <c r="FRD4" s="1115"/>
      <c r="FRE4" s="1115"/>
      <c r="FRF4" s="1115"/>
      <c r="FRG4" s="1115"/>
      <c r="FRH4" s="1115"/>
      <c r="FRI4" s="1115"/>
      <c r="FRJ4" s="1115"/>
      <c r="FRK4" s="1115"/>
      <c r="FRL4" s="1115"/>
      <c r="FRM4" s="1115"/>
      <c r="FRN4" s="1115"/>
      <c r="FRO4" s="1115"/>
      <c r="FRP4" s="1115"/>
      <c r="FRQ4" s="1115"/>
      <c r="FRR4" s="1115"/>
      <c r="FRS4" s="1115"/>
      <c r="FRT4" s="1115"/>
      <c r="FRU4" s="1115"/>
      <c r="FRV4" s="1115"/>
      <c r="FRW4" s="1115"/>
      <c r="FRX4" s="1115"/>
      <c r="FRY4" s="1115"/>
      <c r="FRZ4" s="1115"/>
      <c r="FSA4" s="1115"/>
      <c r="FSB4" s="1115"/>
      <c r="FSC4" s="1115"/>
      <c r="FSD4" s="1115"/>
      <c r="FSE4" s="1115"/>
      <c r="FSF4" s="1115"/>
      <c r="FSG4" s="1115"/>
      <c r="FSH4" s="1115"/>
      <c r="FSI4" s="1115"/>
      <c r="FSJ4" s="1115"/>
      <c r="FSK4" s="1115"/>
      <c r="FSL4" s="1115"/>
      <c r="FSM4" s="1115"/>
      <c r="FSN4" s="1115"/>
      <c r="FSO4" s="1115"/>
      <c r="FSP4" s="1115"/>
      <c r="FSQ4" s="1115"/>
      <c r="FSR4" s="1115"/>
      <c r="FSS4" s="1115"/>
      <c r="FST4" s="1115"/>
      <c r="FSU4" s="1115"/>
      <c r="FSV4" s="1115"/>
      <c r="FSW4" s="1115"/>
      <c r="FSX4" s="1115"/>
      <c r="FSY4" s="1115"/>
      <c r="FSZ4" s="1115"/>
      <c r="FTA4" s="1115"/>
      <c r="FTB4" s="1115"/>
      <c r="FTC4" s="1115"/>
      <c r="FTD4" s="1115"/>
      <c r="FTE4" s="1115"/>
      <c r="FTF4" s="1115"/>
      <c r="FTG4" s="1115"/>
      <c r="FTH4" s="1115"/>
      <c r="FTI4" s="1115"/>
      <c r="FTJ4" s="1115"/>
      <c r="FTK4" s="1115"/>
      <c r="FTL4" s="1115"/>
      <c r="FTM4" s="1115"/>
      <c r="FTN4" s="1115"/>
      <c r="FTO4" s="1115"/>
      <c r="FTP4" s="1115"/>
      <c r="FTQ4" s="1115"/>
      <c r="FTR4" s="1115"/>
      <c r="FTS4" s="1115"/>
      <c r="FTT4" s="1115"/>
      <c r="FTU4" s="1115"/>
      <c r="FTV4" s="1115"/>
      <c r="FTW4" s="1115"/>
      <c r="FTX4" s="1115"/>
      <c r="FTY4" s="1115"/>
      <c r="FTZ4" s="1115"/>
      <c r="FUA4" s="1115"/>
      <c r="FUB4" s="1115"/>
      <c r="FUC4" s="1115"/>
      <c r="FUD4" s="1115"/>
      <c r="FUE4" s="1115"/>
      <c r="FUF4" s="1115"/>
      <c r="FUG4" s="1115"/>
      <c r="FUH4" s="1115"/>
      <c r="FUI4" s="1115"/>
      <c r="FUJ4" s="1115"/>
      <c r="FUK4" s="1115"/>
      <c r="FUL4" s="1115"/>
      <c r="FUM4" s="1115"/>
      <c r="FUN4" s="1115"/>
      <c r="FUO4" s="1115"/>
      <c r="FUP4" s="1115"/>
      <c r="FUQ4" s="1115"/>
      <c r="FUR4" s="1115"/>
      <c r="FUS4" s="1115"/>
      <c r="FUT4" s="1115"/>
      <c r="FUU4" s="1115"/>
      <c r="FUV4" s="1115"/>
      <c r="FUW4" s="1115"/>
      <c r="FUX4" s="1115"/>
      <c r="FUY4" s="1115"/>
      <c r="FUZ4" s="1115"/>
      <c r="FVA4" s="1115"/>
      <c r="FVB4" s="1115"/>
      <c r="FVC4" s="1115"/>
      <c r="FVD4" s="1115"/>
      <c r="FVE4" s="1115"/>
      <c r="FVF4" s="1115"/>
      <c r="FVG4" s="1115"/>
      <c r="FVH4" s="1115"/>
      <c r="FVI4" s="1115"/>
      <c r="FVJ4" s="1115"/>
      <c r="FVK4" s="1115"/>
      <c r="FVL4" s="1115"/>
      <c r="FVM4" s="1115"/>
      <c r="FVN4" s="1115"/>
      <c r="FVO4" s="1115"/>
      <c r="FVP4" s="1115"/>
      <c r="FVQ4" s="1115"/>
      <c r="FVR4" s="1115"/>
      <c r="FVS4" s="1115"/>
      <c r="FVT4" s="1115"/>
      <c r="FVU4" s="1115"/>
      <c r="FVV4" s="1115"/>
      <c r="FVW4" s="1115"/>
      <c r="FVX4" s="1115"/>
      <c r="FVY4" s="1115"/>
      <c r="FVZ4" s="1115"/>
      <c r="FWA4" s="1115"/>
      <c r="FWB4" s="1115"/>
      <c r="FWC4" s="1115"/>
      <c r="FWD4" s="1115"/>
      <c r="FWE4" s="1115"/>
      <c r="FWF4" s="1115"/>
      <c r="FWG4" s="1115"/>
      <c r="FWH4" s="1115"/>
      <c r="FWI4" s="1115"/>
      <c r="FWJ4" s="1115"/>
      <c r="FWK4" s="1115"/>
      <c r="FWL4" s="1115"/>
      <c r="FWM4" s="1115"/>
      <c r="FWN4" s="1115"/>
      <c r="FWO4" s="1115"/>
      <c r="FWP4" s="1115"/>
      <c r="FWQ4" s="1115"/>
      <c r="FWR4" s="1115"/>
      <c r="FWS4" s="1115"/>
      <c r="FWT4" s="1115"/>
      <c r="FWU4" s="1115"/>
      <c r="FWV4" s="1115"/>
      <c r="FWW4" s="1115"/>
      <c r="FWX4" s="1115"/>
      <c r="FWY4" s="1115"/>
      <c r="FWZ4" s="1115"/>
      <c r="FXA4" s="1115"/>
      <c r="FXB4" s="1115"/>
      <c r="FXC4" s="1115"/>
      <c r="FXD4" s="1115"/>
      <c r="FXE4" s="1115"/>
      <c r="FXF4" s="1115"/>
      <c r="FXG4" s="1115"/>
      <c r="FXH4" s="1115"/>
      <c r="FXI4" s="1115"/>
      <c r="FXJ4" s="1115"/>
      <c r="FXK4" s="1115"/>
      <c r="FXL4" s="1115"/>
      <c r="FXM4" s="1115"/>
      <c r="FXN4" s="1115"/>
      <c r="FXO4" s="1115"/>
      <c r="FXP4" s="1115"/>
      <c r="FXQ4" s="1115"/>
      <c r="FXR4" s="1115"/>
      <c r="FXS4" s="1115"/>
      <c r="FXT4" s="1115"/>
      <c r="FXU4" s="1115"/>
      <c r="FXV4" s="1115"/>
      <c r="FXW4" s="1115"/>
      <c r="FXX4" s="1115"/>
      <c r="FXY4" s="1115"/>
      <c r="FXZ4" s="1115"/>
      <c r="FYA4" s="1115"/>
      <c r="FYB4" s="1115"/>
      <c r="FYC4" s="1115"/>
      <c r="FYD4" s="1115"/>
      <c r="FYE4" s="1115"/>
      <c r="FYF4" s="1115"/>
      <c r="FYG4" s="1115"/>
      <c r="FYH4" s="1115"/>
      <c r="FYI4" s="1115"/>
      <c r="FYJ4" s="1115"/>
      <c r="FYK4" s="1115"/>
      <c r="FYL4" s="1115"/>
      <c r="FYM4" s="1115"/>
      <c r="FYN4" s="1115"/>
      <c r="FYO4" s="1115"/>
      <c r="FYP4" s="1115"/>
      <c r="FYQ4" s="1115"/>
      <c r="FYR4" s="1115"/>
      <c r="FYS4" s="1115"/>
      <c r="FYT4" s="1115"/>
      <c r="FYU4" s="1115"/>
      <c r="FYV4" s="1115"/>
      <c r="FYW4" s="1115"/>
      <c r="FYX4" s="1115"/>
      <c r="FYY4" s="1115"/>
      <c r="FYZ4" s="1115"/>
      <c r="FZA4" s="1115"/>
      <c r="FZB4" s="1115"/>
      <c r="FZC4" s="1115"/>
      <c r="FZD4" s="1115"/>
      <c r="FZE4" s="1115"/>
      <c r="FZF4" s="1115"/>
      <c r="FZG4" s="1115"/>
      <c r="FZH4" s="1115"/>
      <c r="FZI4" s="1115"/>
      <c r="FZJ4" s="1115"/>
      <c r="FZK4" s="1115"/>
      <c r="FZL4" s="1115"/>
      <c r="FZM4" s="1115"/>
      <c r="FZN4" s="1115"/>
      <c r="FZO4" s="1115"/>
      <c r="FZP4" s="1115"/>
      <c r="FZQ4" s="1115"/>
      <c r="FZR4" s="1115"/>
      <c r="FZS4" s="1115"/>
      <c r="FZT4" s="1115"/>
      <c r="FZU4" s="1115"/>
      <c r="FZV4" s="1115"/>
      <c r="FZW4" s="1115"/>
      <c r="FZX4" s="1115"/>
      <c r="FZY4" s="1115"/>
      <c r="FZZ4" s="1115"/>
      <c r="GAA4" s="1115"/>
      <c r="GAB4" s="1115"/>
      <c r="GAC4" s="1115"/>
      <c r="GAD4" s="1115"/>
      <c r="GAE4" s="1115"/>
      <c r="GAF4" s="1115"/>
      <c r="GAG4" s="1115"/>
      <c r="GAH4" s="1115"/>
      <c r="GAI4" s="1115"/>
      <c r="GAJ4" s="1115"/>
      <c r="GAK4" s="1115"/>
      <c r="GAL4" s="1115"/>
      <c r="GAM4" s="1115"/>
      <c r="GAN4" s="1115"/>
      <c r="GAO4" s="1115"/>
      <c r="GAP4" s="1115"/>
      <c r="GAQ4" s="1115"/>
      <c r="GAR4" s="1115"/>
      <c r="GAS4" s="1115"/>
      <c r="GAT4" s="1115"/>
      <c r="GAU4" s="1115"/>
      <c r="GAV4" s="1115"/>
      <c r="GAW4" s="1115"/>
      <c r="GAX4" s="1115"/>
      <c r="GAY4" s="1115"/>
      <c r="GAZ4" s="1115"/>
      <c r="GBA4" s="1115"/>
      <c r="GBB4" s="1115"/>
      <c r="GBC4" s="1115"/>
      <c r="GBD4" s="1115"/>
      <c r="GBE4" s="1115"/>
      <c r="GBF4" s="1115"/>
      <c r="GBG4" s="1115"/>
      <c r="GBH4" s="1115"/>
      <c r="GBI4" s="1115"/>
      <c r="GBJ4" s="1115"/>
      <c r="GBK4" s="1115"/>
      <c r="GBL4" s="1115"/>
      <c r="GBM4" s="1115"/>
      <c r="GBN4" s="1115"/>
      <c r="GBO4" s="1115"/>
      <c r="GBP4" s="1115"/>
      <c r="GBQ4" s="1115"/>
      <c r="GBR4" s="1115"/>
      <c r="GBS4" s="1115"/>
      <c r="GBT4" s="1115"/>
      <c r="GBU4" s="1115"/>
      <c r="GBV4" s="1115"/>
      <c r="GBW4" s="1115"/>
      <c r="GBX4" s="1115"/>
      <c r="GBY4" s="1115"/>
      <c r="GBZ4" s="1115"/>
      <c r="GCA4" s="1115"/>
      <c r="GCB4" s="1115"/>
      <c r="GCC4" s="1115"/>
      <c r="GCD4" s="1115"/>
      <c r="GCE4" s="1115"/>
      <c r="GCF4" s="1115"/>
      <c r="GCG4" s="1115"/>
      <c r="GCH4" s="1115"/>
      <c r="GCI4" s="1115"/>
      <c r="GCJ4" s="1115"/>
      <c r="GCK4" s="1115"/>
      <c r="GCL4" s="1115"/>
      <c r="GCM4" s="1115"/>
      <c r="GCN4" s="1115"/>
      <c r="GCO4" s="1115"/>
      <c r="GCP4" s="1115"/>
      <c r="GCQ4" s="1115"/>
      <c r="GCR4" s="1115"/>
      <c r="GCS4" s="1115"/>
      <c r="GCT4" s="1115"/>
      <c r="GCU4" s="1115"/>
      <c r="GCV4" s="1115"/>
      <c r="GCW4" s="1115"/>
      <c r="GCX4" s="1115"/>
      <c r="GCY4" s="1115"/>
      <c r="GCZ4" s="1115"/>
      <c r="GDA4" s="1115"/>
      <c r="GDB4" s="1115"/>
      <c r="GDC4" s="1115"/>
      <c r="GDD4" s="1115"/>
      <c r="GDE4" s="1115"/>
      <c r="GDF4" s="1115"/>
      <c r="GDG4" s="1115"/>
      <c r="GDH4" s="1115"/>
      <c r="GDI4" s="1115"/>
      <c r="GDJ4" s="1115"/>
      <c r="GDK4" s="1115"/>
      <c r="GDL4" s="1115"/>
      <c r="GDM4" s="1115"/>
      <c r="GDN4" s="1115"/>
      <c r="GDO4" s="1115"/>
      <c r="GDP4" s="1115"/>
      <c r="GDQ4" s="1115"/>
      <c r="GDR4" s="1115"/>
      <c r="GDS4" s="1115"/>
      <c r="GDT4" s="1115"/>
      <c r="GDU4" s="1115"/>
      <c r="GDV4" s="1115"/>
      <c r="GDW4" s="1115"/>
      <c r="GDX4" s="1115"/>
      <c r="GDY4" s="1115"/>
      <c r="GDZ4" s="1115"/>
      <c r="GEA4" s="1115"/>
      <c r="GEB4" s="1115"/>
      <c r="GEC4" s="1115"/>
      <c r="GED4" s="1115"/>
      <c r="GEE4" s="1115"/>
      <c r="GEF4" s="1115"/>
      <c r="GEG4" s="1115"/>
      <c r="GEH4" s="1115"/>
      <c r="GEI4" s="1115"/>
      <c r="GEJ4" s="1115"/>
      <c r="GEK4" s="1115"/>
      <c r="GEL4" s="1115"/>
      <c r="GEM4" s="1115"/>
      <c r="GEN4" s="1115"/>
      <c r="GEO4" s="1115"/>
      <c r="GEP4" s="1115"/>
      <c r="GEQ4" s="1115"/>
      <c r="GER4" s="1115"/>
      <c r="GES4" s="1115"/>
      <c r="GET4" s="1115"/>
      <c r="GEU4" s="1115"/>
      <c r="GEV4" s="1115"/>
      <c r="GEW4" s="1115"/>
      <c r="GEX4" s="1115"/>
      <c r="GEY4" s="1115"/>
      <c r="GEZ4" s="1115"/>
      <c r="GFA4" s="1115"/>
      <c r="GFB4" s="1115"/>
      <c r="GFC4" s="1115"/>
      <c r="GFD4" s="1115"/>
      <c r="GFE4" s="1115"/>
      <c r="GFF4" s="1115"/>
      <c r="GFG4" s="1115"/>
      <c r="GFH4" s="1115"/>
      <c r="GFI4" s="1115"/>
      <c r="GFJ4" s="1115"/>
      <c r="GFK4" s="1115"/>
      <c r="GFL4" s="1115"/>
      <c r="GFM4" s="1115"/>
      <c r="GFN4" s="1115"/>
      <c r="GFO4" s="1115"/>
      <c r="GFP4" s="1115"/>
      <c r="GFQ4" s="1115"/>
      <c r="GFR4" s="1115"/>
      <c r="GFS4" s="1115"/>
      <c r="GFT4" s="1115"/>
      <c r="GFU4" s="1115"/>
      <c r="GFV4" s="1115"/>
      <c r="GFW4" s="1115"/>
      <c r="GFX4" s="1115"/>
      <c r="GFY4" s="1115"/>
      <c r="GFZ4" s="1115"/>
      <c r="GGA4" s="1115"/>
      <c r="GGB4" s="1115"/>
      <c r="GGC4" s="1115"/>
      <c r="GGD4" s="1115"/>
      <c r="GGE4" s="1115"/>
      <c r="GGF4" s="1115"/>
      <c r="GGG4" s="1115"/>
      <c r="GGH4" s="1115"/>
      <c r="GGI4" s="1115"/>
      <c r="GGJ4" s="1115"/>
      <c r="GGK4" s="1115"/>
      <c r="GGL4" s="1115"/>
      <c r="GGM4" s="1115"/>
      <c r="GGN4" s="1115"/>
      <c r="GGO4" s="1115"/>
      <c r="GGP4" s="1115"/>
      <c r="GGQ4" s="1115"/>
      <c r="GGR4" s="1115"/>
      <c r="GGS4" s="1115"/>
      <c r="GGT4" s="1115"/>
      <c r="GGU4" s="1115"/>
      <c r="GGV4" s="1115"/>
      <c r="GGW4" s="1115"/>
      <c r="GGX4" s="1115"/>
      <c r="GGY4" s="1115"/>
      <c r="GGZ4" s="1115"/>
      <c r="GHA4" s="1115"/>
      <c r="GHB4" s="1115"/>
      <c r="GHC4" s="1115"/>
      <c r="GHD4" s="1115"/>
      <c r="GHE4" s="1115"/>
      <c r="GHF4" s="1115"/>
      <c r="GHG4" s="1115"/>
      <c r="GHH4" s="1115"/>
      <c r="GHI4" s="1115"/>
      <c r="GHJ4" s="1115"/>
      <c r="GHK4" s="1115"/>
      <c r="GHL4" s="1115"/>
      <c r="GHM4" s="1115"/>
      <c r="GHN4" s="1115"/>
      <c r="GHO4" s="1115"/>
      <c r="GHP4" s="1115"/>
      <c r="GHQ4" s="1115"/>
      <c r="GHR4" s="1115"/>
      <c r="GHS4" s="1115"/>
      <c r="GHT4" s="1115"/>
      <c r="GHU4" s="1115"/>
      <c r="GHV4" s="1115"/>
      <c r="GHW4" s="1115"/>
      <c r="GHX4" s="1115"/>
      <c r="GHY4" s="1115"/>
      <c r="GHZ4" s="1115"/>
      <c r="GIA4" s="1115"/>
      <c r="GIB4" s="1115"/>
      <c r="GIC4" s="1115"/>
      <c r="GID4" s="1115"/>
      <c r="GIE4" s="1115"/>
      <c r="GIF4" s="1115"/>
      <c r="GIG4" s="1115"/>
      <c r="GIH4" s="1115"/>
      <c r="GII4" s="1115"/>
      <c r="GIJ4" s="1115"/>
      <c r="GIK4" s="1115"/>
      <c r="GIL4" s="1115"/>
      <c r="GIM4" s="1115"/>
      <c r="GIN4" s="1115"/>
      <c r="GIO4" s="1115"/>
      <c r="GIP4" s="1115"/>
      <c r="GIQ4" s="1115"/>
      <c r="GIR4" s="1115"/>
      <c r="GIS4" s="1115"/>
      <c r="GIT4" s="1115"/>
      <c r="GIU4" s="1115"/>
      <c r="GIV4" s="1115"/>
      <c r="GIW4" s="1115"/>
      <c r="GIX4" s="1115"/>
      <c r="GIY4" s="1115"/>
      <c r="GIZ4" s="1115"/>
      <c r="GJA4" s="1115"/>
      <c r="GJB4" s="1115"/>
      <c r="GJC4" s="1115"/>
      <c r="GJD4" s="1115"/>
      <c r="GJE4" s="1115"/>
      <c r="GJF4" s="1115"/>
      <c r="GJG4" s="1115"/>
      <c r="GJH4" s="1115"/>
      <c r="GJI4" s="1115"/>
      <c r="GJJ4" s="1115"/>
      <c r="GJK4" s="1115"/>
      <c r="GJL4" s="1115"/>
      <c r="GJM4" s="1115"/>
      <c r="GJN4" s="1115"/>
      <c r="GJO4" s="1115"/>
      <c r="GJP4" s="1115"/>
      <c r="GJQ4" s="1115"/>
      <c r="GJR4" s="1115"/>
      <c r="GJS4" s="1115"/>
      <c r="GJT4" s="1115"/>
      <c r="GJU4" s="1115"/>
      <c r="GJV4" s="1115"/>
      <c r="GJW4" s="1115"/>
      <c r="GJX4" s="1115"/>
      <c r="GJY4" s="1115"/>
      <c r="GJZ4" s="1115"/>
      <c r="GKA4" s="1115"/>
      <c r="GKB4" s="1115"/>
      <c r="GKC4" s="1115"/>
      <c r="GKD4" s="1115"/>
      <c r="GKE4" s="1115"/>
      <c r="GKF4" s="1115"/>
      <c r="GKG4" s="1115"/>
      <c r="GKH4" s="1115"/>
      <c r="GKI4" s="1115"/>
      <c r="GKJ4" s="1115"/>
      <c r="GKK4" s="1115"/>
      <c r="GKL4" s="1115"/>
      <c r="GKM4" s="1115"/>
      <c r="GKN4" s="1115"/>
      <c r="GKO4" s="1115"/>
      <c r="GKP4" s="1115"/>
      <c r="GKQ4" s="1115"/>
      <c r="GKR4" s="1115"/>
      <c r="GKS4" s="1115"/>
      <c r="GKT4" s="1115"/>
      <c r="GKU4" s="1115"/>
      <c r="GKV4" s="1115"/>
      <c r="GKW4" s="1115"/>
      <c r="GKX4" s="1115"/>
      <c r="GKY4" s="1115"/>
      <c r="GKZ4" s="1115"/>
      <c r="GLA4" s="1115"/>
      <c r="GLB4" s="1115"/>
      <c r="GLC4" s="1115"/>
      <c r="GLD4" s="1115"/>
      <c r="GLE4" s="1115"/>
      <c r="GLF4" s="1115"/>
      <c r="GLG4" s="1115"/>
      <c r="GLH4" s="1115"/>
      <c r="GLI4" s="1115"/>
      <c r="GLJ4" s="1115"/>
      <c r="GLK4" s="1115"/>
      <c r="GLL4" s="1115"/>
      <c r="GLM4" s="1115"/>
      <c r="GLN4" s="1115"/>
      <c r="GLO4" s="1115"/>
      <c r="GLP4" s="1115"/>
      <c r="GLQ4" s="1115"/>
      <c r="GLR4" s="1115"/>
      <c r="GLS4" s="1115"/>
      <c r="GLT4" s="1115"/>
      <c r="GLU4" s="1115"/>
      <c r="GLV4" s="1115"/>
      <c r="GLW4" s="1115"/>
      <c r="GLX4" s="1115"/>
      <c r="GLY4" s="1115"/>
      <c r="GLZ4" s="1115"/>
      <c r="GMA4" s="1115"/>
      <c r="GMB4" s="1115"/>
      <c r="GMC4" s="1115"/>
      <c r="GMD4" s="1115"/>
      <c r="GME4" s="1115"/>
      <c r="GMF4" s="1115"/>
      <c r="GMG4" s="1115"/>
      <c r="GMH4" s="1115"/>
      <c r="GMI4" s="1115"/>
      <c r="GMJ4" s="1115"/>
      <c r="GMK4" s="1115"/>
      <c r="GML4" s="1115"/>
      <c r="GMM4" s="1115"/>
      <c r="GMN4" s="1115"/>
      <c r="GMO4" s="1115"/>
      <c r="GMP4" s="1115"/>
      <c r="GMQ4" s="1115"/>
      <c r="GMR4" s="1115"/>
      <c r="GMS4" s="1115"/>
      <c r="GMT4" s="1115"/>
      <c r="GMU4" s="1115"/>
      <c r="GMV4" s="1115"/>
      <c r="GMW4" s="1115"/>
      <c r="GMX4" s="1115"/>
      <c r="GMY4" s="1115"/>
      <c r="GMZ4" s="1115"/>
      <c r="GNA4" s="1115"/>
      <c r="GNB4" s="1115"/>
      <c r="GNC4" s="1115"/>
      <c r="GND4" s="1115"/>
      <c r="GNE4" s="1115"/>
      <c r="GNF4" s="1115"/>
      <c r="GNG4" s="1115"/>
      <c r="GNH4" s="1115"/>
      <c r="GNI4" s="1115"/>
      <c r="GNJ4" s="1115"/>
      <c r="GNK4" s="1115"/>
      <c r="GNL4" s="1115"/>
      <c r="GNM4" s="1115"/>
      <c r="GNN4" s="1115"/>
      <c r="GNO4" s="1115"/>
      <c r="GNP4" s="1115"/>
      <c r="GNQ4" s="1115"/>
      <c r="GNR4" s="1115"/>
      <c r="GNS4" s="1115"/>
      <c r="GNT4" s="1115"/>
      <c r="GNU4" s="1115"/>
      <c r="GNV4" s="1115"/>
      <c r="GNW4" s="1115"/>
      <c r="GNX4" s="1115"/>
      <c r="GNY4" s="1115"/>
      <c r="GNZ4" s="1115"/>
      <c r="GOA4" s="1115"/>
      <c r="GOB4" s="1115"/>
      <c r="GOC4" s="1115"/>
      <c r="GOD4" s="1115"/>
      <c r="GOE4" s="1115"/>
      <c r="GOF4" s="1115"/>
      <c r="GOG4" s="1115"/>
      <c r="GOH4" s="1115"/>
      <c r="GOI4" s="1115"/>
      <c r="GOJ4" s="1115"/>
      <c r="GOK4" s="1115"/>
      <c r="GOL4" s="1115"/>
      <c r="GOM4" s="1115"/>
      <c r="GON4" s="1115"/>
      <c r="GOO4" s="1115"/>
      <c r="GOP4" s="1115"/>
      <c r="GOQ4" s="1115"/>
      <c r="GOR4" s="1115"/>
      <c r="GOS4" s="1115"/>
      <c r="GOT4" s="1115"/>
      <c r="GOU4" s="1115"/>
      <c r="GOV4" s="1115"/>
      <c r="GOW4" s="1115"/>
      <c r="GOX4" s="1115"/>
      <c r="GOY4" s="1115"/>
      <c r="GOZ4" s="1115"/>
      <c r="GPA4" s="1115"/>
      <c r="GPB4" s="1115"/>
      <c r="GPC4" s="1115"/>
      <c r="GPD4" s="1115"/>
      <c r="GPE4" s="1115"/>
      <c r="GPF4" s="1115"/>
      <c r="GPG4" s="1115"/>
      <c r="GPH4" s="1115"/>
      <c r="GPI4" s="1115"/>
      <c r="GPJ4" s="1115"/>
      <c r="GPK4" s="1115"/>
      <c r="GPL4" s="1115"/>
      <c r="GPM4" s="1115"/>
      <c r="GPN4" s="1115"/>
      <c r="GPO4" s="1115"/>
      <c r="GPP4" s="1115"/>
      <c r="GPQ4" s="1115"/>
      <c r="GPR4" s="1115"/>
      <c r="GPS4" s="1115"/>
      <c r="GPT4" s="1115"/>
      <c r="GPU4" s="1115"/>
      <c r="GPV4" s="1115"/>
      <c r="GPW4" s="1115"/>
      <c r="GPX4" s="1115"/>
      <c r="GPY4" s="1115"/>
      <c r="GPZ4" s="1115"/>
      <c r="GQA4" s="1115"/>
      <c r="GQB4" s="1115"/>
      <c r="GQC4" s="1115"/>
      <c r="GQD4" s="1115"/>
      <c r="GQE4" s="1115"/>
      <c r="GQF4" s="1115"/>
      <c r="GQG4" s="1115"/>
      <c r="GQH4" s="1115"/>
      <c r="GQI4" s="1115"/>
      <c r="GQJ4" s="1115"/>
      <c r="GQK4" s="1115"/>
      <c r="GQL4" s="1115"/>
      <c r="GQM4" s="1115"/>
      <c r="GQN4" s="1115"/>
      <c r="GQO4" s="1115"/>
      <c r="GQP4" s="1115"/>
      <c r="GQQ4" s="1115"/>
      <c r="GQR4" s="1115"/>
      <c r="GQS4" s="1115"/>
      <c r="GQT4" s="1115"/>
      <c r="GQU4" s="1115"/>
      <c r="GQV4" s="1115"/>
      <c r="GQW4" s="1115"/>
      <c r="GQX4" s="1115"/>
      <c r="GQY4" s="1115"/>
      <c r="GQZ4" s="1115"/>
      <c r="GRA4" s="1115"/>
      <c r="GRB4" s="1115"/>
      <c r="GRC4" s="1115"/>
      <c r="GRD4" s="1115"/>
      <c r="GRE4" s="1115"/>
      <c r="GRF4" s="1115"/>
      <c r="GRG4" s="1115"/>
      <c r="GRH4" s="1115"/>
      <c r="GRI4" s="1115"/>
      <c r="GRJ4" s="1115"/>
      <c r="GRK4" s="1115"/>
      <c r="GRL4" s="1115"/>
      <c r="GRM4" s="1115"/>
      <c r="GRN4" s="1115"/>
      <c r="GRO4" s="1115"/>
      <c r="GRP4" s="1115"/>
      <c r="GRQ4" s="1115"/>
      <c r="GRR4" s="1115"/>
      <c r="GRS4" s="1115"/>
      <c r="GRT4" s="1115"/>
      <c r="GRU4" s="1115"/>
      <c r="GRV4" s="1115"/>
      <c r="GRW4" s="1115"/>
      <c r="GRX4" s="1115"/>
      <c r="GRY4" s="1115"/>
      <c r="GRZ4" s="1115"/>
      <c r="GSA4" s="1115"/>
      <c r="GSB4" s="1115"/>
      <c r="GSC4" s="1115"/>
      <c r="GSD4" s="1115"/>
      <c r="GSE4" s="1115"/>
      <c r="GSF4" s="1115"/>
      <c r="GSG4" s="1115"/>
      <c r="GSH4" s="1115"/>
      <c r="GSI4" s="1115"/>
      <c r="GSJ4" s="1115"/>
      <c r="GSK4" s="1115"/>
      <c r="GSL4" s="1115"/>
      <c r="GSM4" s="1115"/>
      <c r="GSN4" s="1115"/>
      <c r="GSO4" s="1115"/>
      <c r="GSP4" s="1115"/>
      <c r="GSQ4" s="1115"/>
      <c r="GSR4" s="1115"/>
      <c r="GSS4" s="1115"/>
      <c r="GST4" s="1115"/>
      <c r="GSU4" s="1115"/>
      <c r="GSV4" s="1115"/>
      <c r="GSW4" s="1115"/>
      <c r="GSX4" s="1115"/>
      <c r="GSY4" s="1115"/>
      <c r="GSZ4" s="1115"/>
      <c r="GTA4" s="1115"/>
      <c r="GTB4" s="1115"/>
      <c r="GTC4" s="1115"/>
      <c r="GTD4" s="1115"/>
      <c r="GTE4" s="1115"/>
      <c r="GTF4" s="1115"/>
      <c r="GTG4" s="1115"/>
      <c r="GTH4" s="1115"/>
      <c r="GTI4" s="1115"/>
      <c r="GTJ4" s="1115"/>
      <c r="GTK4" s="1115"/>
      <c r="GTL4" s="1115"/>
      <c r="GTM4" s="1115"/>
      <c r="GTN4" s="1115"/>
      <c r="GTO4" s="1115"/>
      <c r="GTP4" s="1115"/>
      <c r="GTQ4" s="1115"/>
      <c r="GTR4" s="1115"/>
      <c r="GTS4" s="1115"/>
      <c r="GTT4" s="1115"/>
      <c r="GTU4" s="1115"/>
      <c r="GTV4" s="1115"/>
      <c r="GTW4" s="1115"/>
      <c r="GTX4" s="1115"/>
      <c r="GTY4" s="1115"/>
      <c r="GTZ4" s="1115"/>
      <c r="GUA4" s="1115"/>
      <c r="GUB4" s="1115"/>
      <c r="GUC4" s="1115"/>
      <c r="GUD4" s="1115"/>
      <c r="GUE4" s="1115"/>
      <c r="GUF4" s="1115"/>
      <c r="GUG4" s="1115"/>
      <c r="GUH4" s="1115"/>
      <c r="GUI4" s="1115"/>
      <c r="GUJ4" s="1115"/>
      <c r="GUK4" s="1115"/>
      <c r="GUL4" s="1115"/>
      <c r="GUM4" s="1115"/>
      <c r="GUN4" s="1115"/>
      <c r="GUO4" s="1115"/>
      <c r="GUP4" s="1115"/>
      <c r="GUQ4" s="1115"/>
      <c r="GUR4" s="1115"/>
      <c r="GUS4" s="1115"/>
      <c r="GUT4" s="1115"/>
      <c r="GUU4" s="1115"/>
      <c r="GUV4" s="1115"/>
      <c r="GUW4" s="1115"/>
      <c r="GUX4" s="1115"/>
      <c r="GUY4" s="1115"/>
      <c r="GUZ4" s="1115"/>
      <c r="GVA4" s="1115"/>
      <c r="GVB4" s="1115"/>
      <c r="GVC4" s="1115"/>
      <c r="GVD4" s="1115"/>
      <c r="GVE4" s="1115"/>
      <c r="GVF4" s="1115"/>
      <c r="GVG4" s="1115"/>
      <c r="GVH4" s="1115"/>
      <c r="GVI4" s="1115"/>
      <c r="GVJ4" s="1115"/>
      <c r="GVK4" s="1115"/>
      <c r="GVL4" s="1115"/>
      <c r="GVM4" s="1115"/>
      <c r="GVN4" s="1115"/>
      <c r="GVO4" s="1115"/>
      <c r="GVP4" s="1115"/>
      <c r="GVQ4" s="1115"/>
      <c r="GVR4" s="1115"/>
      <c r="GVS4" s="1115"/>
      <c r="GVT4" s="1115"/>
      <c r="GVU4" s="1115"/>
      <c r="GVV4" s="1115"/>
      <c r="GVW4" s="1115"/>
      <c r="GVX4" s="1115"/>
      <c r="GVY4" s="1115"/>
      <c r="GVZ4" s="1115"/>
      <c r="GWA4" s="1115"/>
      <c r="GWB4" s="1115"/>
      <c r="GWC4" s="1115"/>
      <c r="GWD4" s="1115"/>
      <c r="GWE4" s="1115"/>
      <c r="GWF4" s="1115"/>
      <c r="GWG4" s="1115"/>
      <c r="GWH4" s="1115"/>
      <c r="GWI4" s="1115"/>
      <c r="GWJ4" s="1115"/>
      <c r="GWK4" s="1115"/>
      <c r="GWL4" s="1115"/>
      <c r="GWM4" s="1115"/>
      <c r="GWN4" s="1115"/>
      <c r="GWO4" s="1115"/>
      <c r="GWP4" s="1115"/>
      <c r="GWQ4" s="1115"/>
      <c r="GWR4" s="1115"/>
      <c r="GWS4" s="1115"/>
      <c r="GWT4" s="1115"/>
      <c r="GWU4" s="1115"/>
      <c r="GWV4" s="1115"/>
      <c r="GWW4" s="1115"/>
      <c r="GWX4" s="1115"/>
      <c r="GWY4" s="1115"/>
      <c r="GWZ4" s="1115"/>
      <c r="GXA4" s="1115"/>
      <c r="GXB4" s="1115"/>
      <c r="GXC4" s="1115"/>
      <c r="GXD4" s="1115"/>
      <c r="GXE4" s="1115"/>
      <c r="GXF4" s="1115"/>
      <c r="GXG4" s="1115"/>
      <c r="GXH4" s="1115"/>
      <c r="GXI4" s="1115"/>
      <c r="GXJ4" s="1115"/>
      <c r="GXK4" s="1115"/>
      <c r="GXL4" s="1115"/>
      <c r="GXM4" s="1115"/>
      <c r="GXN4" s="1115"/>
      <c r="GXO4" s="1115"/>
      <c r="GXP4" s="1115"/>
      <c r="GXQ4" s="1115"/>
      <c r="GXR4" s="1115"/>
      <c r="GXS4" s="1115"/>
      <c r="GXT4" s="1115"/>
      <c r="GXU4" s="1115"/>
      <c r="GXV4" s="1115"/>
      <c r="GXW4" s="1115"/>
      <c r="GXX4" s="1115"/>
      <c r="GXY4" s="1115"/>
      <c r="GXZ4" s="1115"/>
      <c r="GYA4" s="1115"/>
      <c r="GYB4" s="1115"/>
      <c r="GYC4" s="1115"/>
      <c r="GYD4" s="1115"/>
      <c r="GYE4" s="1115"/>
      <c r="GYF4" s="1115"/>
      <c r="GYG4" s="1115"/>
      <c r="GYH4" s="1115"/>
      <c r="GYI4" s="1115"/>
      <c r="GYJ4" s="1115"/>
      <c r="GYK4" s="1115"/>
      <c r="GYL4" s="1115"/>
      <c r="GYM4" s="1115"/>
      <c r="GYN4" s="1115"/>
      <c r="GYO4" s="1115"/>
      <c r="GYP4" s="1115"/>
      <c r="GYQ4" s="1115"/>
      <c r="GYR4" s="1115"/>
      <c r="GYS4" s="1115"/>
      <c r="GYT4" s="1115"/>
      <c r="GYU4" s="1115"/>
      <c r="GYV4" s="1115"/>
      <c r="GYW4" s="1115"/>
      <c r="GYX4" s="1115"/>
      <c r="GYY4" s="1115"/>
      <c r="GYZ4" s="1115"/>
      <c r="GZA4" s="1115"/>
      <c r="GZB4" s="1115"/>
      <c r="GZC4" s="1115"/>
      <c r="GZD4" s="1115"/>
      <c r="GZE4" s="1115"/>
      <c r="GZF4" s="1115"/>
      <c r="GZG4" s="1115"/>
      <c r="GZH4" s="1115"/>
      <c r="GZI4" s="1115"/>
      <c r="GZJ4" s="1115"/>
      <c r="GZK4" s="1115"/>
      <c r="GZL4" s="1115"/>
      <c r="GZM4" s="1115"/>
      <c r="GZN4" s="1115"/>
      <c r="GZO4" s="1115"/>
      <c r="GZP4" s="1115"/>
      <c r="GZQ4" s="1115"/>
      <c r="GZR4" s="1115"/>
      <c r="GZS4" s="1115"/>
      <c r="GZT4" s="1115"/>
      <c r="GZU4" s="1115"/>
      <c r="GZV4" s="1115"/>
      <c r="GZW4" s="1115"/>
      <c r="GZX4" s="1115"/>
      <c r="GZY4" s="1115"/>
      <c r="GZZ4" s="1115"/>
      <c r="HAA4" s="1115"/>
      <c r="HAB4" s="1115"/>
      <c r="HAC4" s="1115"/>
      <c r="HAD4" s="1115"/>
      <c r="HAE4" s="1115"/>
      <c r="HAF4" s="1115"/>
      <c r="HAG4" s="1115"/>
      <c r="HAH4" s="1115"/>
      <c r="HAI4" s="1115"/>
      <c r="HAJ4" s="1115"/>
      <c r="HAK4" s="1115"/>
      <c r="HAL4" s="1115"/>
      <c r="HAM4" s="1115"/>
      <c r="HAN4" s="1115"/>
      <c r="HAO4" s="1115"/>
      <c r="HAP4" s="1115"/>
      <c r="HAQ4" s="1115"/>
      <c r="HAR4" s="1115"/>
      <c r="HAS4" s="1115"/>
      <c r="HAT4" s="1115"/>
      <c r="HAU4" s="1115"/>
      <c r="HAV4" s="1115"/>
      <c r="HAW4" s="1115"/>
      <c r="HAX4" s="1115"/>
      <c r="HAY4" s="1115"/>
      <c r="HAZ4" s="1115"/>
      <c r="HBA4" s="1115"/>
      <c r="HBB4" s="1115"/>
      <c r="HBC4" s="1115"/>
      <c r="HBD4" s="1115"/>
      <c r="HBE4" s="1115"/>
      <c r="HBF4" s="1115"/>
      <c r="HBG4" s="1115"/>
      <c r="HBH4" s="1115"/>
      <c r="HBI4" s="1115"/>
      <c r="HBJ4" s="1115"/>
      <c r="HBK4" s="1115"/>
      <c r="HBL4" s="1115"/>
      <c r="HBM4" s="1115"/>
      <c r="HBN4" s="1115"/>
      <c r="HBO4" s="1115"/>
      <c r="HBP4" s="1115"/>
      <c r="HBQ4" s="1115"/>
      <c r="HBR4" s="1115"/>
      <c r="HBS4" s="1115"/>
      <c r="HBT4" s="1115"/>
      <c r="HBU4" s="1115"/>
      <c r="HBV4" s="1115"/>
      <c r="HBW4" s="1115"/>
      <c r="HBX4" s="1115"/>
      <c r="HBY4" s="1115"/>
      <c r="HBZ4" s="1115"/>
      <c r="HCA4" s="1115"/>
      <c r="HCB4" s="1115"/>
      <c r="HCC4" s="1115"/>
      <c r="HCD4" s="1115"/>
      <c r="HCE4" s="1115"/>
      <c r="HCF4" s="1115"/>
      <c r="HCG4" s="1115"/>
      <c r="HCH4" s="1115"/>
      <c r="HCI4" s="1115"/>
      <c r="HCJ4" s="1115"/>
      <c r="HCK4" s="1115"/>
      <c r="HCL4" s="1115"/>
      <c r="HCM4" s="1115"/>
      <c r="HCN4" s="1115"/>
      <c r="HCO4" s="1115"/>
      <c r="HCP4" s="1115"/>
      <c r="HCQ4" s="1115"/>
      <c r="HCR4" s="1115"/>
      <c r="HCS4" s="1115"/>
      <c r="HCT4" s="1115"/>
      <c r="HCU4" s="1115"/>
      <c r="HCV4" s="1115"/>
      <c r="HCW4" s="1115"/>
      <c r="HCX4" s="1115"/>
      <c r="HCY4" s="1115"/>
      <c r="HCZ4" s="1115"/>
      <c r="HDA4" s="1115"/>
      <c r="HDB4" s="1115"/>
      <c r="HDC4" s="1115"/>
      <c r="HDD4" s="1115"/>
      <c r="HDE4" s="1115"/>
      <c r="HDF4" s="1115"/>
      <c r="HDG4" s="1115"/>
      <c r="HDH4" s="1115"/>
      <c r="HDI4" s="1115"/>
      <c r="HDJ4" s="1115"/>
      <c r="HDK4" s="1115"/>
      <c r="HDL4" s="1115"/>
      <c r="HDM4" s="1115"/>
      <c r="HDN4" s="1115"/>
      <c r="HDO4" s="1115"/>
      <c r="HDP4" s="1115"/>
      <c r="HDQ4" s="1115"/>
      <c r="HDR4" s="1115"/>
      <c r="HDS4" s="1115"/>
      <c r="HDT4" s="1115"/>
      <c r="HDU4" s="1115"/>
      <c r="HDV4" s="1115"/>
      <c r="HDW4" s="1115"/>
      <c r="HDX4" s="1115"/>
      <c r="HDY4" s="1115"/>
      <c r="HDZ4" s="1115"/>
      <c r="HEA4" s="1115"/>
      <c r="HEB4" s="1115"/>
      <c r="HEC4" s="1115"/>
      <c r="HED4" s="1115"/>
      <c r="HEE4" s="1115"/>
      <c r="HEF4" s="1115"/>
      <c r="HEG4" s="1115"/>
      <c r="HEH4" s="1115"/>
      <c r="HEI4" s="1115"/>
      <c r="HEJ4" s="1115"/>
      <c r="HEK4" s="1115"/>
      <c r="HEL4" s="1115"/>
      <c r="HEM4" s="1115"/>
      <c r="HEN4" s="1115"/>
      <c r="HEO4" s="1115"/>
      <c r="HEP4" s="1115"/>
      <c r="HEQ4" s="1115"/>
      <c r="HER4" s="1115"/>
      <c r="HES4" s="1115"/>
      <c r="HET4" s="1115"/>
      <c r="HEU4" s="1115"/>
      <c r="HEV4" s="1115"/>
      <c r="HEW4" s="1115"/>
      <c r="HEX4" s="1115"/>
      <c r="HEY4" s="1115"/>
      <c r="HEZ4" s="1115"/>
      <c r="HFA4" s="1115"/>
      <c r="HFB4" s="1115"/>
      <c r="HFC4" s="1115"/>
      <c r="HFD4" s="1115"/>
      <c r="HFE4" s="1115"/>
      <c r="HFF4" s="1115"/>
      <c r="HFG4" s="1115"/>
      <c r="HFH4" s="1115"/>
      <c r="HFI4" s="1115"/>
      <c r="HFJ4" s="1115"/>
      <c r="HFK4" s="1115"/>
      <c r="HFL4" s="1115"/>
      <c r="HFM4" s="1115"/>
      <c r="HFN4" s="1115"/>
      <c r="HFO4" s="1115"/>
      <c r="HFP4" s="1115"/>
      <c r="HFQ4" s="1115"/>
      <c r="HFR4" s="1115"/>
      <c r="HFS4" s="1115"/>
      <c r="HFT4" s="1115"/>
      <c r="HFU4" s="1115"/>
      <c r="HFV4" s="1115"/>
      <c r="HFW4" s="1115"/>
      <c r="HFX4" s="1115"/>
      <c r="HFY4" s="1115"/>
      <c r="HFZ4" s="1115"/>
      <c r="HGA4" s="1115"/>
      <c r="HGB4" s="1115"/>
      <c r="HGC4" s="1115"/>
      <c r="HGD4" s="1115"/>
      <c r="HGE4" s="1115"/>
      <c r="HGF4" s="1115"/>
      <c r="HGG4" s="1115"/>
      <c r="HGH4" s="1115"/>
      <c r="HGI4" s="1115"/>
      <c r="HGJ4" s="1115"/>
      <c r="HGK4" s="1115"/>
      <c r="HGL4" s="1115"/>
      <c r="HGM4" s="1115"/>
      <c r="HGN4" s="1115"/>
      <c r="HGO4" s="1115"/>
      <c r="HGP4" s="1115"/>
      <c r="HGQ4" s="1115"/>
      <c r="HGR4" s="1115"/>
      <c r="HGS4" s="1115"/>
      <c r="HGT4" s="1115"/>
      <c r="HGU4" s="1115"/>
      <c r="HGV4" s="1115"/>
      <c r="HGW4" s="1115"/>
      <c r="HGX4" s="1115"/>
      <c r="HGY4" s="1115"/>
      <c r="HGZ4" s="1115"/>
      <c r="HHA4" s="1115"/>
      <c r="HHB4" s="1115"/>
      <c r="HHC4" s="1115"/>
      <c r="HHD4" s="1115"/>
      <c r="HHE4" s="1115"/>
      <c r="HHF4" s="1115"/>
      <c r="HHG4" s="1115"/>
      <c r="HHH4" s="1115"/>
      <c r="HHI4" s="1115"/>
      <c r="HHJ4" s="1115"/>
      <c r="HHK4" s="1115"/>
      <c r="HHL4" s="1115"/>
      <c r="HHM4" s="1115"/>
      <c r="HHN4" s="1115"/>
      <c r="HHO4" s="1115"/>
      <c r="HHP4" s="1115"/>
      <c r="HHQ4" s="1115"/>
      <c r="HHR4" s="1115"/>
      <c r="HHS4" s="1115"/>
      <c r="HHT4" s="1115"/>
      <c r="HHU4" s="1115"/>
      <c r="HHV4" s="1115"/>
      <c r="HHW4" s="1115"/>
      <c r="HHX4" s="1115"/>
      <c r="HHY4" s="1115"/>
      <c r="HHZ4" s="1115"/>
      <c r="HIA4" s="1115"/>
      <c r="HIB4" s="1115"/>
      <c r="HIC4" s="1115"/>
      <c r="HID4" s="1115"/>
      <c r="HIE4" s="1115"/>
      <c r="HIF4" s="1115"/>
      <c r="HIG4" s="1115"/>
      <c r="HIH4" s="1115"/>
      <c r="HII4" s="1115"/>
      <c r="HIJ4" s="1115"/>
      <c r="HIK4" s="1115"/>
      <c r="HIL4" s="1115"/>
      <c r="HIM4" s="1115"/>
      <c r="HIN4" s="1115"/>
      <c r="HIO4" s="1115"/>
      <c r="HIP4" s="1115"/>
      <c r="HIQ4" s="1115"/>
      <c r="HIR4" s="1115"/>
      <c r="HIS4" s="1115"/>
      <c r="HIT4" s="1115"/>
      <c r="HIU4" s="1115"/>
      <c r="HIV4" s="1115"/>
      <c r="HIW4" s="1115"/>
      <c r="HIX4" s="1115"/>
      <c r="HIY4" s="1115"/>
      <c r="HIZ4" s="1115"/>
      <c r="HJA4" s="1115"/>
      <c r="HJB4" s="1115"/>
      <c r="HJC4" s="1115"/>
      <c r="HJD4" s="1115"/>
      <c r="HJE4" s="1115"/>
      <c r="HJF4" s="1115"/>
      <c r="HJG4" s="1115"/>
      <c r="HJH4" s="1115"/>
      <c r="HJI4" s="1115"/>
      <c r="HJJ4" s="1115"/>
      <c r="HJK4" s="1115"/>
      <c r="HJL4" s="1115"/>
      <c r="HJM4" s="1115"/>
      <c r="HJN4" s="1115"/>
      <c r="HJO4" s="1115"/>
      <c r="HJP4" s="1115"/>
      <c r="HJQ4" s="1115"/>
      <c r="HJR4" s="1115"/>
      <c r="HJS4" s="1115"/>
      <c r="HJT4" s="1115"/>
      <c r="HJU4" s="1115"/>
      <c r="HJV4" s="1115"/>
      <c r="HJW4" s="1115"/>
      <c r="HJX4" s="1115"/>
      <c r="HJY4" s="1115"/>
      <c r="HJZ4" s="1115"/>
      <c r="HKA4" s="1115"/>
      <c r="HKB4" s="1115"/>
      <c r="HKC4" s="1115"/>
      <c r="HKD4" s="1115"/>
      <c r="HKE4" s="1115"/>
      <c r="HKF4" s="1115"/>
      <c r="HKG4" s="1115"/>
      <c r="HKH4" s="1115"/>
      <c r="HKI4" s="1115"/>
      <c r="HKJ4" s="1115"/>
      <c r="HKK4" s="1115"/>
      <c r="HKL4" s="1115"/>
      <c r="HKM4" s="1115"/>
      <c r="HKN4" s="1115"/>
      <c r="HKO4" s="1115"/>
      <c r="HKP4" s="1115"/>
      <c r="HKQ4" s="1115"/>
      <c r="HKR4" s="1115"/>
      <c r="HKS4" s="1115"/>
      <c r="HKT4" s="1115"/>
      <c r="HKU4" s="1115"/>
      <c r="HKV4" s="1115"/>
      <c r="HKW4" s="1115"/>
      <c r="HKX4" s="1115"/>
      <c r="HKY4" s="1115"/>
      <c r="HKZ4" s="1115"/>
      <c r="HLA4" s="1115"/>
      <c r="HLB4" s="1115"/>
      <c r="HLC4" s="1115"/>
      <c r="HLD4" s="1115"/>
      <c r="HLE4" s="1115"/>
      <c r="HLF4" s="1115"/>
      <c r="HLG4" s="1115"/>
      <c r="HLH4" s="1115"/>
      <c r="HLI4" s="1115"/>
      <c r="HLJ4" s="1115"/>
      <c r="HLK4" s="1115"/>
      <c r="HLL4" s="1115"/>
      <c r="HLM4" s="1115"/>
      <c r="HLN4" s="1115"/>
      <c r="HLO4" s="1115"/>
      <c r="HLP4" s="1115"/>
      <c r="HLQ4" s="1115"/>
      <c r="HLR4" s="1115"/>
      <c r="HLS4" s="1115"/>
      <c r="HLT4" s="1115"/>
      <c r="HLU4" s="1115"/>
      <c r="HLV4" s="1115"/>
      <c r="HLW4" s="1115"/>
      <c r="HLX4" s="1115"/>
      <c r="HLY4" s="1115"/>
      <c r="HLZ4" s="1115"/>
      <c r="HMA4" s="1115"/>
      <c r="HMB4" s="1115"/>
      <c r="HMC4" s="1115"/>
      <c r="HMD4" s="1115"/>
      <c r="HME4" s="1115"/>
      <c r="HMF4" s="1115"/>
      <c r="HMG4" s="1115"/>
      <c r="HMH4" s="1115"/>
      <c r="HMI4" s="1115"/>
      <c r="HMJ4" s="1115"/>
      <c r="HMK4" s="1115"/>
      <c r="HML4" s="1115"/>
      <c r="HMM4" s="1115"/>
      <c r="HMN4" s="1115"/>
      <c r="HMO4" s="1115"/>
      <c r="HMP4" s="1115"/>
      <c r="HMQ4" s="1115"/>
      <c r="HMR4" s="1115"/>
      <c r="HMS4" s="1115"/>
      <c r="HMT4" s="1115"/>
      <c r="HMU4" s="1115"/>
      <c r="HMV4" s="1115"/>
      <c r="HMW4" s="1115"/>
      <c r="HMX4" s="1115"/>
      <c r="HMY4" s="1115"/>
      <c r="HMZ4" s="1115"/>
      <c r="HNA4" s="1115"/>
      <c r="HNB4" s="1115"/>
      <c r="HNC4" s="1115"/>
      <c r="HND4" s="1115"/>
      <c r="HNE4" s="1115"/>
      <c r="HNF4" s="1115"/>
      <c r="HNG4" s="1115"/>
      <c r="HNH4" s="1115"/>
      <c r="HNI4" s="1115"/>
      <c r="HNJ4" s="1115"/>
      <c r="HNK4" s="1115"/>
      <c r="HNL4" s="1115"/>
      <c r="HNM4" s="1115"/>
      <c r="HNN4" s="1115"/>
      <c r="HNO4" s="1115"/>
      <c r="HNP4" s="1115"/>
      <c r="HNQ4" s="1115"/>
      <c r="HNR4" s="1115"/>
      <c r="HNS4" s="1115"/>
      <c r="HNT4" s="1115"/>
      <c r="HNU4" s="1115"/>
      <c r="HNV4" s="1115"/>
      <c r="HNW4" s="1115"/>
      <c r="HNX4" s="1115"/>
      <c r="HNY4" s="1115"/>
      <c r="HNZ4" s="1115"/>
      <c r="HOA4" s="1115"/>
      <c r="HOB4" s="1115"/>
      <c r="HOC4" s="1115"/>
      <c r="HOD4" s="1115"/>
      <c r="HOE4" s="1115"/>
      <c r="HOF4" s="1115"/>
      <c r="HOG4" s="1115"/>
      <c r="HOH4" s="1115"/>
      <c r="HOI4" s="1115"/>
      <c r="HOJ4" s="1115"/>
      <c r="HOK4" s="1115"/>
      <c r="HOL4" s="1115"/>
      <c r="HOM4" s="1115"/>
      <c r="HON4" s="1115"/>
      <c r="HOO4" s="1115"/>
      <c r="HOP4" s="1115"/>
      <c r="HOQ4" s="1115"/>
      <c r="HOR4" s="1115"/>
      <c r="HOS4" s="1115"/>
      <c r="HOT4" s="1115"/>
      <c r="HOU4" s="1115"/>
      <c r="HOV4" s="1115"/>
      <c r="HOW4" s="1115"/>
      <c r="HOX4" s="1115"/>
      <c r="HOY4" s="1115"/>
      <c r="HOZ4" s="1115"/>
      <c r="HPA4" s="1115"/>
      <c r="HPB4" s="1115"/>
      <c r="HPC4" s="1115"/>
      <c r="HPD4" s="1115"/>
      <c r="HPE4" s="1115"/>
      <c r="HPF4" s="1115"/>
      <c r="HPG4" s="1115"/>
      <c r="HPH4" s="1115"/>
      <c r="HPI4" s="1115"/>
      <c r="HPJ4" s="1115"/>
      <c r="HPK4" s="1115"/>
      <c r="HPL4" s="1115"/>
      <c r="HPM4" s="1115"/>
      <c r="HPN4" s="1115"/>
      <c r="HPO4" s="1115"/>
      <c r="HPP4" s="1115"/>
      <c r="HPQ4" s="1115"/>
      <c r="HPR4" s="1115"/>
      <c r="HPS4" s="1115"/>
      <c r="HPT4" s="1115"/>
      <c r="HPU4" s="1115"/>
      <c r="HPV4" s="1115"/>
      <c r="HPW4" s="1115"/>
      <c r="HPX4" s="1115"/>
      <c r="HPY4" s="1115"/>
      <c r="HPZ4" s="1115"/>
      <c r="HQA4" s="1115"/>
      <c r="HQB4" s="1115"/>
      <c r="HQC4" s="1115"/>
      <c r="HQD4" s="1115"/>
      <c r="HQE4" s="1115"/>
      <c r="HQF4" s="1115"/>
      <c r="HQG4" s="1115"/>
      <c r="HQH4" s="1115"/>
      <c r="HQI4" s="1115"/>
      <c r="HQJ4" s="1115"/>
      <c r="HQK4" s="1115"/>
      <c r="HQL4" s="1115"/>
      <c r="HQM4" s="1115"/>
      <c r="HQN4" s="1115"/>
      <c r="HQO4" s="1115"/>
      <c r="HQP4" s="1115"/>
      <c r="HQQ4" s="1115"/>
      <c r="HQR4" s="1115"/>
      <c r="HQS4" s="1115"/>
      <c r="HQT4" s="1115"/>
      <c r="HQU4" s="1115"/>
      <c r="HQV4" s="1115"/>
      <c r="HQW4" s="1115"/>
      <c r="HQX4" s="1115"/>
      <c r="HQY4" s="1115"/>
      <c r="HQZ4" s="1115"/>
      <c r="HRA4" s="1115"/>
      <c r="HRB4" s="1115"/>
      <c r="HRC4" s="1115"/>
      <c r="HRD4" s="1115"/>
      <c r="HRE4" s="1115"/>
      <c r="HRF4" s="1115"/>
      <c r="HRG4" s="1115"/>
      <c r="HRH4" s="1115"/>
      <c r="HRI4" s="1115"/>
      <c r="HRJ4" s="1115"/>
      <c r="HRK4" s="1115"/>
      <c r="HRL4" s="1115"/>
      <c r="HRM4" s="1115"/>
      <c r="HRN4" s="1115"/>
      <c r="HRO4" s="1115"/>
      <c r="HRP4" s="1115"/>
      <c r="HRQ4" s="1115"/>
      <c r="HRR4" s="1115"/>
      <c r="HRS4" s="1115"/>
      <c r="HRT4" s="1115"/>
      <c r="HRU4" s="1115"/>
      <c r="HRV4" s="1115"/>
      <c r="HRW4" s="1115"/>
      <c r="HRX4" s="1115"/>
      <c r="HRY4" s="1115"/>
      <c r="HRZ4" s="1115"/>
      <c r="HSA4" s="1115"/>
      <c r="HSB4" s="1115"/>
      <c r="HSC4" s="1115"/>
      <c r="HSD4" s="1115"/>
      <c r="HSE4" s="1115"/>
      <c r="HSF4" s="1115"/>
      <c r="HSG4" s="1115"/>
      <c r="HSH4" s="1115"/>
      <c r="HSI4" s="1115"/>
      <c r="HSJ4" s="1115"/>
      <c r="HSK4" s="1115"/>
      <c r="HSL4" s="1115"/>
      <c r="HSM4" s="1115"/>
      <c r="HSN4" s="1115"/>
      <c r="HSO4" s="1115"/>
      <c r="HSP4" s="1115"/>
      <c r="HSQ4" s="1115"/>
      <c r="HSR4" s="1115"/>
      <c r="HSS4" s="1115"/>
      <c r="HST4" s="1115"/>
      <c r="HSU4" s="1115"/>
      <c r="HSV4" s="1115"/>
      <c r="HSW4" s="1115"/>
      <c r="HSX4" s="1115"/>
      <c r="HSY4" s="1115"/>
      <c r="HSZ4" s="1115"/>
      <c r="HTA4" s="1115"/>
      <c r="HTB4" s="1115"/>
      <c r="HTC4" s="1115"/>
      <c r="HTD4" s="1115"/>
      <c r="HTE4" s="1115"/>
      <c r="HTF4" s="1115"/>
      <c r="HTG4" s="1115"/>
      <c r="HTH4" s="1115"/>
      <c r="HTI4" s="1115"/>
      <c r="HTJ4" s="1115"/>
      <c r="HTK4" s="1115"/>
      <c r="HTL4" s="1115"/>
      <c r="HTM4" s="1115"/>
      <c r="HTN4" s="1115"/>
      <c r="HTO4" s="1115"/>
      <c r="HTP4" s="1115"/>
      <c r="HTQ4" s="1115"/>
      <c r="HTR4" s="1115"/>
      <c r="HTS4" s="1115"/>
      <c r="HTT4" s="1115"/>
      <c r="HTU4" s="1115"/>
      <c r="HTV4" s="1115"/>
      <c r="HTW4" s="1115"/>
      <c r="HTX4" s="1115"/>
      <c r="HTY4" s="1115"/>
      <c r="HTZ4" s="1115"/>
      <c r="HUA4" s="1115"/>
      <c r="HUB4" s="1115"/>
      <c r="HUC4" s="1115"/>
      <c r="HUD4" s="1115"/>
      <c r="HUE4" s="1115"/>
      <c r="HUF4" s="1115"/>
      <c r="HUG4" s="1115"/>
      <c r="HUH4" s="1115"/>
      <c r="HUI4" s="1115"/>
      <c r="HUJ4" s="1115"/>
      <c r="HUK4" s="1115"/>
      <c r="HUL4" s="1115"/>
      <c r="HUM4" s="1115"/>
      <c r="HUN4" s="1115"/>
      <c r="HUO4" s="1115"/>
      <c r="HUP4" s="1115"/>
      <c r="HUQ4" s="1115"/>
      <c r="HUR4" s="1115"/>
      <c r="HUS4" s="1115"/>
      <c r="HUT4" s="1115"/>
      <c r="HUU4" s="1115"/>
      <c r="HUV4" s="1115"/>
      <c r="HUW4" s="1115"/>
      <c r="HUX4" s="1115"/>
      <c r="HUY4" s="1115"/>
      <c r="HUZ4" s="1115"/>
      <c r="HVA4" s="1115"/>
      <c r="HVB4" s="1115"/>
      <c r="HVC4" s="1115"/>
      <c r="HVD4" s="1115"/>
      <c r="HVE4" s="1115"/>
      <c r="HVF4" s="1115"/>
      <c r="HVG4" s="1115"/>
      <c r="HVH4" s="1115"/>
      <c r="HVI4" s="1115"/>
      <c r="HVJ4" s="1115"/>
      <c r="HVK4" s="1115"/>
      <c r="HVL4" s="1115"/>
      <c r="HVM4" s="1115"/>
      <c r="HVN4" s="1115"/>
      <c r="HVO4" s="1115"/>
      <c r="HVP4" s="1115"/>
      <c r="HVQ4" s="1115"/>
      <c r="HVR4" s="1115"/>
      <c r="HVS4" s="1115"/>
      <c r="HVT4" s="1115"/>
      <c r="HVU4" s="1115"/>
      <c r="HVV4" s="1115"/>
      <c r="HVW4" s="1115"/>
      <c r="HVX4" s="1115"/>
      <c r="HVY4" s="1115"/>
      <c r="HVZ4" s="1115"/>
      <c r="HWA4" s="1115"/>
      <c r="HWB4" s="1115"/>
      <c r="HWC4" s="1115"/>
      <c r="HWD4" s="1115"/>
      <c r="HWE4" s="1115"/>
      <c r="HWF4" s="1115"/>
      <c r="HWG4" s="1115"/>
      <c r="HWH4" s="1115"/>
      <c r="HWI4" s="1115"/>
      <c r="HWJ4" s="1115"/>
      <c r="HWK4" s="1115"/>
      <c r="HWL4" s="1115"/>
      <c r="HWM4" s="1115"/>
      <c r="HWN4" s="1115"/>
      <c r="HWO4" s="1115"/>
      <c r="HWP4" s="1115"/>
      <c r="HWQ4" s="1115"/>
      <c r="HWR4" s="1115"/>
      <c r="HWS4" s="1115"/>
      <c r="HWT4" s="1115"/>
      <c r="HWU4" s="1115"/>
      <c r="HWV4" s="1115"/>
      <c r="HWW4" s="1115"/>
      <c r="HWX4" s="1115"/>
      <c r="HWY4" s="1115"/>
      <c r="HWZ4" s="1115"/>
      <c r="HXA4" s="1115"/>
      <c r="HXB4" s="1115"/>
      <c r="HXC4" s="1115"/>
      <c r="HXD4" s="1115"/>
      <c r="HXE4" s="1115"/>
      <c r="HXF4" s="1115"/>
      <c r="HXG4" s="1115"/>
      <c r="HXH4" s="1115"/>
      <c r="HXI4" s="1115"/>
      <c r="HXJ4" s="1115"/>
      <c r="HXK4" s="1115"/>
      <c r="HXL4" s="1115"/>
      <c r="HXM4" s="1115"/>
      <c r="HXN4" s="1115"/>
      <c r="HXO4" s="1115"/>
      <c r="HXP4" s="1115"/>
      <c r="HXQ4" s="1115"/>
      <c r="HXR4" s="1115"/>
      <c r="HXS4" s="1115"/>
      <c r="HXT4" s="1115"/>
      <c r="HXU4" s="1115"/>
      <c r="HXV4" s="1115"/>
      <c r="HXW4" s="1115"/>
      <c r="HXX4" s="1115"/>
      <c r="HXY4" s="1115"/>
      <c r="HXZ4" s="1115"/>
      <c r="HYA4" s="1115"/>
      <c r="HYB4" s="1115"/>
      <c r="HYC4" s="1115"/>
      <c r="HYD4" s="1115"/>
      <c r="HYE4" s="1115"/>
      <c r="HYF4" s="1115"/>
      <c r="HYG4" s="1115"/>
      <c r="HYH4" s="1115"/>
      <c r="HYI4" s="1115"/>
      <c r="HYJ4" s="1115"/>
      <c r="HYK4" s="1115"/>
      <c r="HYL4" s="1115"/>
      <c r="HYM4" s="1115"/>
      <c r="HYN4" s="1115"/>
      <c r="HYO4" s="1115"/>
      <c r="HYP4" s="1115"/>
      <c r="HYQ4" s="1115"/>
      <c r="HYR4" s="1115"/>
      <c r="HYS4" s="1115"/>
      <c r="HYT4" s="1115"/>
      <c r="HYU4" s="1115"/>
      <c r="HYV4" s="1115"/>
      <c r="HYW4" s="1115"/>
      <c r="HYX4" s="1115"/>
      <c r="HYY4" s="1115"/>
      <c r="HYZ4" s="1115"/>
      <c r="HZA4" s="1115"/>
      <c r="HZB4" s="1115"/>
      <c r="HZC4" s="1115"/>
      <c r="HZD4" s="1115"/>
      <c r="HZE4" s="1115"/>
      <c r="HZF4" s="1115"/>
      <c r="HZG4" s="1115"/>
      <c r="HZH4" s="1115"/>
      <c r="HZI4" s="1115"/>
      <c r="HZJ4" s="1115"/>
      <c r="HZK4" s="1115"/>
      <c r="HZL4" s="1115"/>
      <c r="HZM4" s="1115"/>
      <c r="HZN4" s="1115"/>
      <c r="HZO4" s="1115"/>
      <c r="HZP4" s="1115"/>
      <c r="HZQ4" s="1115"/>
      <c r="HZR4" s="1115"/>
      <c r="HZS4" s="1115"/>
      <c r="HZT4" s="1115"/>
      <c r="HZU4" s="1115"/>
      <c r="HZV4" s="1115"/>
      <c r="HZW4" s="1115"/>
      <c r="HZX4" s="1115"/>
      <c r="HZY4" s="1115"/>
      <c r="HZZ4" s="1115"/>
      <c r="IAA4" s="1115"/>
      <c r="IAB4" s="1115"/>
      <c r="IAC4" s="1115"/>
      <c r="IAD4" s="1115"/>
      <c r="IAE4" s="1115"/>
      <c r="IAF4" s="1115"/>
      <c r="IAG4" s="1115"/>
      <c r="IAH4" s="1115"/>
      <c r="IAI4" s="1115"/>
      <c r="IAJ4" s="1115"/>
      <c r="IAK4" s="1115"/>
      <c r="IAL4" s="1115"/>
      <c r="IAM4" s="1115"/>
      <c r="IAN4" s="1115"/>
      <c r="IAO4" s="1115"/>
      <c r="IAP4" s="1115"/>
      <c r="IAQ4" s="1115"/>
      <c r="IAR4" s="1115"/>
      <c r="IAS4" s="1115"/>
      <c r="IAT4" s="1115"/>
      <c r="IAU4" s="1115"/>
      <c r="IAV4" s="1115"/>
      <c r="IAW4" s="1115"/>
      <c r="IAX4" s="1115"/>
      <c r="IAY4" s="1115"/>
      <c r="IAZ4" s="1115"/>
      <c r="IBA4" s="1115"/>
      <c r="IBB4" s="1115"/>
      <c r="IBC4" s="1115"/>
      <c r="IBD4" s="1115"/>
      <c r="IBE4" s="1115"/>
      <c r="IBF4" s="1115"/>
      <c r="IBG4" s="1115"/>
      <c r="IBH4" s="1115"/>
      <c r="IBI4" s="1115"/>
      <c r="IBJ4" s="1115"/>
      <c r="IBK4" s="1115"/>
      <c r="IBL4" s="1115"/>
      <c r="IBM4" s="1115"/>
      <c r="IBN4" s="1115"/>
      <c r="IBO4" s="1115"/>
      <c r="IBP4" s="1115"/>
      <c r="IBQ4" s="1115"/>
      <c r="IBR4" s="1115"/>
      <c r="IBS4" s="1115"/>
      <c r="IBT4" s="1115"/>
      <c r="IBU4" s="1115"/>
      <c r="IBV4" s="1115"/>
      <c r="IBW4" s="1115"/>
      <c r="IBX4" s="1115"/>
      <c r="IBY4" s="1115"/>
      <c r="IBZ4" s="1115"/>
      <c r="ICA4" s="1115"/>
      <c r="ICB4" s="1115"/>
      <c r="ICC4" s="1115"/>
      <c r="ICD4" s="1115"/>
      <c r="ICE4" s="1115"/>
      <c r="ICF4" s="1115"/>
      <c r="ICG4" s="1115"/>
      <c r="ICH4" s="1115"/>
      <c r="ICI4" s="1115"/>
      <c r="ICJ4" s="1115"/>
      <c r="ICK4" s="1115"/>
      <c r="ICL4" s="1115"/>
      <c r="ICM4" s="1115"/>
      <c r="ICN4" s="1115"/>
      <c r="ICO4" s="1115"/>
      <c r="ICP4" s="1115"/>
      <c r="ICQ4" s="1115"/>
      <c r="ICR4" s="1115"/>
      <c r="ICS4" s="1115"/>
      <c r="ICT4" s="1115"/>
      <c r="ICU4" s="1115"/>
      <c r="ICV4" s="1115"/>
      <c r="ICW4" s="1115"/>
      <c r="ICX4" s="1115"/>
      <c r="ICY4" s="1115"/>
      <c r="ICZ4" s="1115"/>
      <c r="IDA4" s="1115"/>
      <c r="IDB4" s="1115"/>
      <c r="IDC4" s="1115"/>
      <c r="IDD4" s="1115"/>
      <c r="IDE4" s="1115"/>
      <c r="IDF4" s="1115"/>
      <c r="IDG4" s="1115"/>
      <c r="IDH4" s="1115"/>
      <c r="IDI4" s="1115"/>
      <c r="IDJ4" s="1115"/>
      <c r="IDK4" s="1115"/>
      <c r="IDL4" s="1115"/>
      <c r="IDM4" s="1115"/>
      <c r="IDN4" s="1115"/>
      <c r="IDO4" s="1115"/>
      <c r="IDP4" s="1115"/>
      <c r="IDQ4" s="1115"/>
      <c r="IDR4" s="1115"/>
      <c r="IDS4" s="1115"/>
      <c r="IDT4" s="1115"/>
      <c r="IDU4" s="1115"/>
      <c r="IDV4" s="1115"/>
      <c r="IDW4" s="1115"/>
      <c r="IDX4" s="1115"/>
      <c r="IDY4" s="1115"/>
      <c r="IDZ4" s="1115"/>
      <c r="IEA4" s="1115"/>
      <c r="IEB4" s="1115"/>
      <c r="IEC4" s="1115"/>
      <c r="IED4" s="1115"/>
      <c r="IEE4" s="1115"/>
      <c r="IEF4" s="1115"/>
      <c r="IEG4" s="1115"/>
      <c r="IEH4" s="1115"/>
      <c r="IEI4" s="1115"/>
      <c r="IEJ4" s="1115"/>
      <c r="IEK4" s="1115"/>
      <c r="IEL4" s="1115"/>
      <c r="IEM4" s="1115"/>
      <c r="IEN4" s="1115"/>
      <c r="IEO4" s="1115"/>
      <c r="IEP4" s="1115"/>
      <c r="IEQ4" s="1115"/>
      <c r="IER4" s="1115"/>
      <c r="IES4" s="1115"/>
      <c r="IET4" s="1115"/>
      <c r="IEU4" s="1115"/>
      <c r="IEV4" s="1115"/>
      <c r="IEW4" s="1115"/>
      <c r="IEX4" s="1115"/>
      <c r="IEY4" s="1115"/>
      <c r="IEZ4" s="1115"/>
      <c r="IFA4" s="1115"/>
      <c r="IFB4" s="1115"/>
      <c r="IFC4" s="1115"/>
      <c r="IFD4" s="1115"/>
      <c r="IFE4" s="1115"/>
      <c r="IFF4" s="1115"/>
      <c r="IFG4" s="1115"/>
      <c r="IFH4" s="1115"/>
      <c r="IFI4" s="1115"/>
      <c r="IFJ4" s="1115"/>
      <c r="IFK4" s="1115"/>
      <c r="IFL4" s="1115"/>
      <c r="IFM4" s="1115"/>
      <c r="IFN4" s="1115"/>
      <c r="IFO4" s="1115"/>
      <c r="IFP4" s="1115"/>
      <c r="IFQ4" s="1115"/>
      <c r="IFR4" s="1115"/>
      <c r="IFS4" s="1115"/>
      <c r="IFT4" s="1115"/>
      <c r="IFU4" s="1115"/>
      <c r="IFV4" s="1115"/>
      <c r="IFW4" s="1115"/>
      <c r="IFX4" s="1115"/>
      <c r="IFY4" s="1115"/>
      <c r="IFZ4" s="1115"/>
      <c r="IGA4" s="1115"/>
      <c r="IGB4" s="1115"/>
      <c r="IGC4" s="1115"/>
      <c r="IGD4" s="1115"/>
      <c r="IGE4" s="1115"/>
      <c r="IGF4" s="1115"/>
      <c r="IGG4" s="1115"/>
      <c r="IGH4" s="1115"/>
      <c r="IGI4" s="1115"/>
      <c r="IGJ4" s="1115"/>
      <c r="IGK4" s="1115"/>
      <c r="IGL4" s="1115"/>
      <c r="IGM4" s="1115"/>
      <c r="IGN4" s="1115"/>
      <c r="IGO4" s="1115"/>
      <c r="IGP4" s="1115"/>
      <c r="IGQ4" s="1115"/>
      <c r="IGR4" s="1115"/>
      <c r="IGS4" s="1115"/>
      <c r="IGT4" s="1115"/>
      <c r="IGU4" s="1115"/>
      <c r="IGV4" s="1115"/>
      <c r="IGW4" s="1115"/>
      <c r="IGX4" s="1115"/>
      <c r="IGY4" s="1115"/>
      <c r="IGZ4" s="1115"/>
      <c r="IHA4" s="1115"/>
      <c r="IHB4" s="1115"/>
      <c r="IHC4" s="1115"/>
      <c r="IHD4" s="1115"/>
      <c r="IHE4" s="1115"/>
      <c r="IHF4" s="1115"/>
      <c r="IHG4" s="1115"/>
      <c r="IHH4" s="1115"/>
      <c r="IHI4" s="1115"/>
      <c r="IHJ4" s="1115"/>
      <c r="IHK4" s="1115"/>
      <c r="IHL4" s="1115"/>
      <c r="IHM4" s="1115"/>
      <c r="IHN4" s="1115"/>
      <c r="IHO4" s="1115"/>
      <c r="IHP4" s="1115"/>
      <c r="IHQ4" s="1115"/>
      <c r="IHR4" s="1115"/>
      <c r="IHS4" s="1115"/>
      <c r="IHT4" s="1115"/>
      <c r="IHU4" s="1115"/>
      <c r="IHV4" s="1115"/>
      <c r="IHW4" s="1115"/>
      <c r="IHX4" s="1115"/>
      <c r="IHY4" s="1115"/>
      <c r="IHZ4" s="1115"/>
      <c r="IIA4" s="1115"/>
      <c r="IIB4" s="1115"/>
      <c r="IIC4" s="1115"/>
      <c r="IID4" s="1115"/>
      <c r="IIE4" s="1115"/>
      <c r="IIF4" s="1115"/>
      <c r="IIG4" s="1115"/>
      <c r="IIH4" s="1115"/>
      <c r="III4" s="1115"/>
      <c r="IIJ4" s="1115"/>
      <c r="IIK4" s="1115"/>
      <c r="IIL4" s="1115"/>
      <c r="IIM4" s="1115"/>
      <c r="IIN4" s="1115"/>
      <c r="IIO4" s="1115"/>
      <c r="IIP4" s="1115"/>
      <c r="IIQ4" s="1115"/>
      <c r="IIR4" s="1115"/>
      <c r="IIS4" s="1115"/>
      <c r="IIT4" s="1115"/>
      <c r="IIU4" s="1115"/>
      <c r="IIV4" s="1115"/>
      <c r="IIW4" s="1115"/>
      <c r="IIX4" s="1115"/>
      <c r="IIY4" s="1115"/>
      <c r="IIZ4" s="1115"/>
      <c r="IJA4" s="1115"/>
      <c r="IJB4" s="1115"/>
      <c r="IJC4" s="1115"/>
      <c r="IJD4" s="1115"/>
      <c r="IJE4" s="1115"/>
      <c r="IJF4" s="1115"/>
      <c r="IJG4" s="1115"/>
      <c r="IJH4" s="1115"/>
      <c r="IJI4" s="1115"/>
      <c r="IJJ4" s="1115"/>
      <c r="IJK4" s="1115"/>
      <c r="IJL4" s="1115"/>
      <c r="IJM4" s="1115"/>
      <c r="IJN4" s="1115"/>
      <c r="IJO4" s="1115"/>
      <c r="IJP4" s="1115"/>
      <c r="IJQ4" s="1115"/>
      <c r="IJR4" s="1115"/>
      <c r="IJS4" s="1115"/>
      <c r="IJT4" s="1115"/>
      <c r="IJU4" s="1115"/>
      <c r="IJV4" s="1115"/>
      <c r="IJW4" s="1115"/>
      <c r="IJX4" s="1115"/>
      <c r="IJY4" s="1115"/>
      <c r="IJZ4" s="1115"/>
      <c r="IKA4" s="1115"/>
      <c r="IKB4" s="1115"/>
      <c r="IKC4" s="1115"/>
      <c r="IKD4" s="1115"/>
      <c r="IKE4" s="1115"/>
      <c r="IKF4" s="1115"/>
      <c r="IKG4" s="1115"/>
      <c r="IKH4" s="1115"/>
      <c r="IKI4" s="1115"/>
      <c r="IKJ4" s="1115"/>
      <c r="IKK4" s="1115"/>
      <c r="IKL4" s="1115"/>
      <c r="IKM4" s="1115"/>
      <c r="IKN4" s="1115"/>
      <c r="IKO4" s="1115"/>
      <c r="IKP4" s="1115"/>
      <c r="IKQ4" s="1115"/>
      <c r="IKR4" s="1115"/>
      <c r="IKS4" s="1115"/>
      <c r="IKT4" s="1115"/>
      <c r="IKU4" s="1115"/>
      <c r="IKV4" s="1115"/>
      <c r="IKW4" s="1115"/>
      <c r="IKX4" s="1115"/>
      <c r="IKY4" s="1115"/>
      <c r="IKZ4" s="1115"/>
      <c r="ILA4" s="1115"/>
      <c r="ILB4" s="1115"/>
      <c r="ILC4" s="1115"/>
      <c r="ILD4" s="1115"/>
      <c r="ILE4" s="1115"/>
      <c r="ILF4" s="1115"/>
      <c r="ILG4" s="1115"/>
      <c r="ILH4" s="1115"/>
      <c r="ILI4" s="1115"/>
      <c r="ILJ4" s="1115"/>
      <c r="ILK4" s="1115"/>
      <c r="ILL4" s="1115"/>
      <c r="ILM4" s="1115"/>
      <c r="ILN4" s="1115"/>
      <c r="ILO4" s="1115"/>
      <c r="ILP4" s="1115"/>
      <c r="ILQ4" s="1115"/>
      <c r="ILR4" s="1115"/>
      <c r="ILS4" s="1115"/>
      <c r="ILT4" s="1115"/>
      <c r="ILU4" s="1115"/>
      <c r="ILV4" s="1115"/>
      <c r="ILW4" s="1115"/>
      <c r="ILX4" s="1115"/>
      <c r="ILY4" s="1115"/>
      <c r="ILZ4" s="1115"/>
      <c r="IMA4" s="1115"/>
      <c r="IMB4" s="1115"/>
      <c r="IMC4" s="1115"/>
      <c r="IMD4" s="1115"/>
      <c r="IME4" s="1115"/>
      <c r="IMF4" s="1115"/>
      <c r="IMG4" s="1115"/>
      <c r="IMH4" s="1115"/>
      <c r="IMI4" s="1115"/>
      <c r="IMJ4" s="1115"/>
      <c r="IMK4" s="1115"/>
      <c r="IML4" s="1115"/>
      <c r="IMM4" s="1115"/>
      <c r="IMN4" s="1115"/>
      <c r="IMO4" s="1115"/>
      <c r="IMP4" s="1115"/>
      <c r="IMQ4" s="1115"/>
      <c r="IMR4" s="1115"/>
      <c r="IMS4" s="1115"/>
      <c r="IMT4" s="1115"/>
      <c r="IMU4" s="1115"/>
      <c r="IMV4" s="1115"/>
      <c r="IMW4" s="1115"/>
      <c r="IMX4" s="1115"/>
      <c r="IMY4" s="1115"/>
      <c r="IMZ4" s="1115"/>
      <c r="INA4" s="1115"/>
      <c r="INB4" s="1115"/>
      <c r="INC4" s="1115"/>
      <c r="IND4" s="1115"/>
      <c r="INE4" s="1115"/>
      <c r="INF4" s="1115"/>
      <c r="ING4" s="1115"/>
      <c r="INH4" s="1115"/>
      <c r="INI4" s="1115"/>
      <c r="INJ4" s="1115"/>
      <c r="INK4" s="1115"/>
      <c r="INL4" s="1115"/>
      <c r="INM4" s="1115"/>
      <c r="INN4" s="1115"/>
      <c r="INO4" s="1115"/>
      <c r="INP4" s="1115"/>
      <c r="INQ4" s="1115"/>
      <c r="INR4" s="1115"/>
      <c r="INS4" s="1115"/>
      <c r="INT4" s="1115"/>
      <c r="INU4" s="1115"/>
      <c r="INV4" s="1115"/>
      <c r="INW4" s="1115"/>
      <c r="INX4" s="1115"/>
      <c r="INY4" s="1115"/>
      <c r="INZ4" s="1115"/>
      <c r="IOA4" s="1115"/>
      <c r="IOB4" s="1115"/>
      <c r="IOC4" s="1115"/>
      <c r="IOD4" s="1115"/>
      <c r="IOE4" s="1115"/>
      <c r="IOF4" s="1115"/>
      <c r="IOG4" s="1115"/>
      <c r="IOH4" s="1115"/>
      <c r="IOI4" s="1115"/>
      <c r="IOJ4" s="1115"/>
      <c r="IOK4" s="1115"/>
      <c r="IOL4" s="1115"/>
      <c r="IOM4" s="1115"/>
      <c r="ION4" s="1115"/>
      <c r="IOO4" s="1115"/>
      <c r="IOP4" s="1115"/>
      <c r="IOQ4" s="1115"/>
      <c r="IOR4" s="1115"/>
      <c r="IOS4" s="1115"/>
      <c r="IOT4" s="1115"/>
      <c r="IOU4" s="1115"/>
      <c r="IOV4" s="1115"/>
      <c r="IOW4" s="1115"/>
      <c r="IOX4" s="1115"/>
      <c r="IOY4" s="1115"/>
      <c r="IOZ4" s="1115"/>
      <c r="IPA4" s="1115"/>
      <c r="IPB4" s="1115"/>
      <c r="IPC4" s="1115"/>
      <c r="IPD4" s="1115"/>
      <c r="IPE4" s="1115"/>
      <c r="IPF4" s="1115"/>
      <c r="IPG4" s="1115"/>
      <c r="IPH4" s="1115"/>
      <c r="IPI4" s="1115"/>
      <c r="IPJ4" s="1115"/>
      <c r="IPK4" s="1115"/>
      <c r="IPL4" s="1115"/>
      <c r="IPM4" s="1115"/>
      <c r="IPN4" s="1115"/>
      <c r="IPO4" s="1115"/>
      <c r="IPP4" s="1115"/>
      <c r="IPQ4" s="1115"/>
      <c r="IPR4" s="1115"/>
      <c r="IPS4" s="1115"/>
      <c r="IPT4" s="1115"/>
      <c r="IPU4" s="1115"/>
      <c r="IPV4" s="1115"/>
      <c r="IPW4" s="1115"/>
      <c r="IPX4" s="1115"/>
      <c r="IPY4" s="1115"/>
      <c r="IPZ4" s="1115"/>
      <c r="IQA4" s="1115"/>
      <c r="IQB4" s="1115"/>
      <c r="IQC4" s="1115"/>
      <c r="IQD4" s="1115"/>
      <c r="IQE4" s="1115"/>
      <c r="IQF4" s="1115"/>
      <c r="IQG4" s="1115"/>
      <c r="IQH4" s="1115"/>
      <c r="IQI4" s="1115"/>
      <c r="IQJ4" s="1115"/>
      <c r="IQK4" s="1115"/>
      <c r="IQL4" s="1115"/>
      <c r="IQM4" s="1115"/>
      <c r="IQN4" s="1115"/>
      <c r="IQO4" s="1115"/>
      <c r="IQP4" s="1115"/>
      <c r="IQQ4" s="1115"/>
      <c r="IQR4" s="1115"/>
      <c r="IQS4" s="1115"/>
      <c r="IQT4" s="1115"/>
      <c r="IQU4" s="1115"/>
      <c r="IQV4" s="1115"/>
      <c r="IQW4" s="1115"/>
      <c r="IQX4" s="1115"/>
      <c r="IQY4" s="1115"/>
      <c r="IQZ4" s="1115"/>
      <c r="IRA4" s="1115"/>
      <c r="IRB4" s="1115"/>
      <c r="IRC4" s="1115"/>
      <c r="IRD4" s="1115"/>
      <c r="IRE4" s="1115"/>
      <c r="IRF4" s="1115"/>
      <c r="IRG4" s="1115"/>
      <c r="IRH4" s="1115"/>
      <c r="IRI4" s="1115"/>
      <c r="IRJ4" s="1115"/>
      <c r="IRK4" s="1115"/>
      <c r="IRL4" s="1115"/>
      <c r="IRM4" s="1115"/>
      <c r="IRN4" s="1115"/>
      <c r="IRO4" s="1115"/>
      <c r="IRP4" s="1115"/>
      <c r="IRQ4" s="1115"/>
      <c r="IRR4" s="1115"/>
      <c r="IRS4" s="1115"/>
      <c r="IRT4" s="1115"/>
      <c r="IRU4" s="1115"/>
      <c r="IRV4" s="1115"/>
      <c r="IRW4" s="1115"/>
      <c r="IRX4" s="1115"/>
      <c r="IRY4" s="1115"/>
      <c r="IRZ4" s="1115"/>
      <c r="ISA4" s="1115"/>
      <c r="ISB4" s="1115"/>
      <c r="ISC4" s="1115"/>
      <c r="ISD4" s="1115"/>
      <c r="ISE4" s="1115"/>
      <c r="ISF4" s="1115"/>
      <c r="ISG4" s="1115"/>
      <c r="ISH4" s="1115"/>
      <c r="ISI4" s="1115"/>
      <c r="ISJ4" s="1115"/>
      <c r="ISK4" s="1115"/>
      <c r="ISL4" s="1115"/>
      <c r="ISM4" s="1115"/>
      <c r="ISN4" s="1115"/>
      <c r="ISO4" s="1115"/>
      <c r="ISP4" s="1115"/>
      <c r="ISQ4" s="1115"/>
      <c r="ISR4" s="1115"/>
      <c r="ISS4" s="1115"/>
      <c r="IST4" s="1115"/>
      <c r="ISU4" s="1115"/>
      <c r="ISV4" s="1115"/>
      <c r="ISW4" s="1115"/>
      <c r="ISX4" s="1115"/>
      <c r="ISY4" s="1115"/>
      <c r="ISZ4" s="1115"/>
      <c r="ITA4" s="1115"/>
      <c r="ITB4" s="1115"/>
      <c r="ITC4" s="1115"/>
      <c r="ITD4" s="1115"/>
      <c r="ITE4" s="1115"/>
      <c r="ITF4" s="1115"/>
      <c r="ITG4" s="1115"/>
      <c r="ITH4" s="1115"/>
      <c r="ITI4" s="1115"/>
      <c r="ITJ4" s="1115"/>
      <c r="ITK4" s="1115"/>
      <c r="ITL4" s="1115"/>
      <c r="ITM4" s="1115"/>
      <c r="ITN4" s="1115"/>
      <c r="ITO4" s="1115"/>
      <c r="ITP4" s="1115"/>
      <c r="ITQ4" s="1115"/>
      <c r="ITR4" s="1115"/>
      <c r="ITS4" s="1115"/>
      <c r="ITT4" s="1115"/>
      <c r="ITU4" s="1115"/>
      <c r="ITV4" s="1115"/>
      <c r="ITW4" s="1115"/>
      <c r="ITX4" s="1115"/>
      <c r="ITY4" s="1115"/>
      <c r="ITZ4" s="1115"/>
      <c r="IUA4" s="1115"/>
      <c r="IUB4" s="1115"/>
      <c r="IUC4" s="1115"/>
      <c r="IUD4" s="1115"/>
      <c r="IUE4" s="1115"/>
      <c r="IUF4" s="1115"/>
      <c r="IUG4" s="1115"/>
      <c r="IUH4" s="1115"/>
      <c r="IUI4" s="1115"/>
      <c r="IUJ4" s="1115"/>
      <c r="IUK4" s="1115"/>
      <c r="IUL4" s="1115"/>
      <c r="IUM4" s="1115"/>
      <c r="IUN4" s="1115"/>
      <c r="IUO4" s="1115"/>
      <c r="IUP4" s="1115"/>
      <c r="IUQ4" s="1115"/>
      <c r="IUR4" s="1115"/>
      <c r="IUS4" s="1115"/>
      <c r="IUT4" s="1115"/>
      <c r="IUU4" s="1115"/>
      <c r="IUV4" s="1115"/>
      <c r="IUW4" s="1115"/>
      <c r="IUX4" s="1115"/>
      <c r="IUY4" s="1115"/>
      <c r="IUZ4" s="1115"/>
      <c r="IVA4" s="1115"/>
      <c r="IVB4" s="1115"/>
      <c r="IVC4" s="1115"/>
      <c r="IVD4" s="1115"/>
      <c r="IVE4" s="1115"/>
      <c r="IVF4" s="1115"/>
      <c r="IVG4" s="1115"/>
      <c r="IVH4" s="1115"/>
      <c r="IVI4" s="1115"/>
      <c r="IVJ4" s="1115"/>
      <c r="IVK4" s="1115"/>
      <c r="IVL4" s="1115"/>
      <c r="IVM4" s="1115"/>
      <c r="IVN4" s="1115"/>
      <c r="IVO4" s="1115"/>
      <c r="IVP4" s="1115"/>
      <c r="IVQ4" s="1115"/>
      <c r="IVR4" s="1115"/>
      <c r="IVS4" s="1115"/>
      <c r="IVT4" s="1115"/>
      <c r="IVU4" s="1115"/>
      <c r="IVV4" s="1115"/>
      <c r="IVW4" s="1115"/>
      <c r="IVX4" s="1115"/>
      <c r="IVY4" s="1115"/>
      <c r="IVZ4" s="1115"/>
      <c r="IWA4" s="1115"/>
      <c r="IWB4" s="1115"/>
      <c r="IWC4" s="1115"/>
      <c r="IWD4" s="1115"/>
      <c r="IWE4" s="1115"/>
      <c r="IWF4" s="1115"/>
      <c r="IWG4" s="1115"/>
      <c r="IWH4" s="1115"/>
      <c r="IWI4" s="1115"/>
      <c r="IWJ4" s="1115"/>
      <c r="IWK4" s="1115"/>
      <c r="IWL4" s="1115"/>
      <c r="IWM4" s="1115"/>
      <c r="IWN4" s="1115"/>
      <c r="IWO4" s="1115"/>
      <c r="IWP4" s="1115"/>
      <c r="IWQ4" s="1115"/>
      <c r="IWR4" s="1115"/>
      <c r="IWS4" s="1115"/>
      <c r="IWT4" s="1115"/>
      <c r="IWU4" s="1115"/>
      <c r="IWV4" s="1115"/>
      <c r="IWW4" s="1115"/>
      <c r="IWX4" s="1115"/>
      <c r="IWY4" s="1115"/>
      <c r="IWZ4" s="1115"/>
      <c r="IXA4" s="1115"/>
      <c r="IXB4" s="1115"/>
      <c r="IXC4" s="1115"/>
      <c r="IXD4" s="1115"/>
      <c r="IXE4" s="1115"/>
      <c r="IXF4" s="1115"/>
      <c r="IXG4" s="1115"/>
      <c r="IXH4" s="1115"/>
      <c r="IXI4" s="1115"/>
      <c r="IXJ4" s="1115"/>
      <c r="IXK4" s="1115"/>
      <c r="IXL4" s="1115"/>
      <c r="IXM4" s="1115"/>
      <c r="IXN4" s="1115"/>
      <c r="IXO4" s="1115"/>
      <c r="IXP4" s="1115"/>
      <c r="IXQ4" s="1115"/>
      <c r="IXR4" s="1115"/>
      <c r="IXS4" s="1115"/>
      <c r="IXT4" s="1115"/>
      <c r="IXU4" s="1115"/>
      <c r="IXV4" s="1115"/>
      <c r="IXW4" s="1115"/>
      <c r="IXX4" s="1115"/>
      <c r="IXY4" s="1115"/>
      <c r="IXZ4" s="1115"/>
      <c r="IYA4" s="1115"/>
      <c r="IYB4" s="1115"/>
      <c r="IYC4" s="1115"/>
      <c r="IYD4" s="1115"/>
      <c r="IYE4" s="1115"/>
      <c r="IYF4" s="1115"/>
      <c r="IYG4" s="1115"/>
      <c r="IYH4" s="1115"/>
      <c r="IYI4" s="1115"/>
      <c r="IYJ4" s="1115"/>
      <c r="IYK4" s="1115"/>
      <c r="IYL4" s="1115"/>
      <c r="IYM4" s="1115"/>
      <c r="IYN4" s="1115"/>
      <c r="IYO4" s="1115"/>
      <c r="IYP4" s="1115"/>
      <c r="IYQ4" s="1115"/>
      <c r="IYR4" s="1115"/>
      <c r="IYS4" s="1115"/>
      <c r="IYT4" s="1115"/>
      <c r="IYU4" s="1115"/>
      <c r="IYV4" s="1115"/>
      <c r="IYW4" s="1115"/>
      <c r="IYX4" s="1115"/>
      <c r="IYY4" s="1115"/>
      <c r="IYZ4" s="1115"/>
      <c r="IZA4" s="1115"/>
      <c r="IZB4" s="1115"/>
      <c r="IZC4" s="1115"/>
      <c r="IZD4" s="1115"/>
      <c r="IZE4" s="1115"/>
      <c r="IZF4" s="1115"/>
      <c r="IZG4" s="1115"/>
      <c r="IZH4" s="1115"/>
      <c r="IZI4" s="1115"/>
      <c r="IZJ4" s="1115"/>
      <c r="IZK4" s="1115"/>
      <c r="IZL4" s="1115"/>
      <c r="IZM4" s="1115"/>
      <c r="IZN4" s="1115"/>
      <c r="IZO4" s="1115"/>
      <c r="IZP4" s="1115"/>
      <c r="IZQ4" s="1115"/>
      <c r="IZR4" s="1115"/>
      <c r="IZS4" s="1115"/>
      <c r="IZT4" s="1115"/>
      <c r="IZU4" s="1115"/>
      <c r="IZV4" s="1115"/>
      <c r="IZW4" s="1115"/>
      <c r="IZX4" s="1115"/>
      <c r="IZY4" s="1115"/>
      <c r="IZZ4" s="1115"/>
      <c r="JAA4" s="1115"/>
      <c r="JAB4" s="1115"/>
      <c r="JAC4" s="1115"/>
      <c r="JAD4" s="1115"/>
      <c r="JAE4" s="1115"/>
      <c r="JAF4" s="1115"/>
      <c r="JAG4" s="1115"/>
      <c r="JAH4" s="1115"/>
      <c r="JAI4" s="1115"/>
      <c r="JAJ4" s="1115"/>
      <c r="JAK4" s="1115"/>
      <c r="JAL4" s="1115"/>
      <c r="JAM4" s="1115"/>
      <c r="JAN4" s="1115"/>
      <c r="JAO4" s="1115"/>
      <c r="JAP4" s="1115"/>
      <c r="JAQ4" s="1115"/>
      <c r="JAR4" s="1115"/>
      <c r="JAS4" s="1115"/>
      <c r="JAT4" s="1115"/>
      <c r="JAU4" s="1115"/>
      <c r="JAV4" s="1115"/>
      <c r="JAW4" s="1115"/>
      <c r="JAX4" s="1115"/>
      <c r="JAY4" s="1115"/>
      <c r="JAZ4" s="1115"/>
      <c r="JBA4" s="1115"/>
      <c r="JBB4" s="1115"/>
      <c r="JBC4" s="1115"/>
      <c r="JBD4" s="1115"/>
      <c r="JBE4" s="1115"/>
      <c r="JBF4" s="1115"/>
      <c r="JBG4" s="1115"/>
      <c r="JBH4" s="1115"/>
      <c r="JBI4" s="1115"/>
      <c r="JBJ4" s="1115"/>
      <c r="JBK4" s="1115"/>
      <c r="JBL4" s="1115"/>
      <c r="JBM4" s="1115"/>
      <c r="JBN4" s="1115"/>
      <c r="JBO4" s="1115"/>
      <c r="JBP4" s="1115"/>
      <c r="JBQ4" s="1115"/>
      <c r="JBR4" s="1115"/>
      <c r="JBS4" s="1115"/>
      <c r="JBT4" s="1115"/>
      <c r="JBU4" s="1115"/>
      <c r="JBV4" s="1115"/>
      <c r="JBW4" s="1115"/>
      <c r="JBX4" s="1115"/>
      <c r="JBY4" s="1115"/>
      <c r="JBZ4" s="1115"/>
      <c r="JCA4" s="1115"/>
      <c r="JCB4" s="1115"/>
      <c r="JCC4" s="1115"/>
      <c r="JCD4" s="1115"/>
      <c r="JCE4" s="1115"/>
      <c r="JCF4" s="1115"/>
      <c r="JCG4" s="1115"/>
      <c r="JCH4" s="1115"/>
      <c r="JCI4" s="1115"/>
      <c r="JCJ4" s="1115"/>
      <c r="JCK4" s="1115"/>
      <c r="JCL4" s="1115"/>
      <c r="JCM4" s="1115"/>
      <c r="JCN4" s="1115"/>
      <c r="JCO4" s="1115"/>
      <c r="JCP4" s="1115"/>
      <c r="JCQ4" s="1115"/>
      <c r="JCR4" s="1115"/>
      <c r="JCS4" s="1115"/>
      <c r="JCT4" s="1115"/>
      <c r="JCU4" s="1115"/>
      <c r="JCV4" s="1115"/>
      <c r="JCW4" s="1115"/>
      <c r="JCX4" s="1115"/>
      <c r="JCY4" s="1115"/>
      <c r="JCZ4" s="1115"/>
      <c r="JDA4" s="1115"/>
      <c r="JDB4" s="1115"/>
      <c r="JDC4" s="1115"/>
      <c r="JDD4" s="1115"/>
      <c r="JDE4" s="1115"/>
      <c r="JDF4" s="1115"/>
      <c r="JDG4" s="1115"/>
      <c r="JDH4" s="1115"/>
      <c r="JDI4" s="1115"/>
      <c r="JDJ4" s="1115"/>
      <c r="JDK4" s="1115"/>
      <c r="JDL4" s="1115"/>
      <c r="JDM4" s="1115"/>
      <c r="JDN4" s="1115"/>
      <c r="JDO4" s="1115"/>
      <c r="JDP4" s="1115"/>
      <c r="JDQ4" s="1115"/>
      <c r="JDR4" s="1115"/>
      <c r="JDS4" s="1115"/>
      <c r="JDT4" s="1115"/>
      <c r="JDU4" s="1115"/>
      <c r="JDV4" s="1115"/>
      <c r="JDW4" s="1115"/>
      <c r="JDX4" s="1115"/>
      <c r="JDY4" s="1115"/>
      <c r="JDZ4" s="1115"/>
      <c r="JEA4" s="1115"/>
      <c r="JEB4" s="1115"/>
      <c r="JEC4" s="1115"/>
      <c r="JED4" s="1115"/>
      <c r="JEE4" s="1115"/>
      <c r="JEF4" s="1115"/>
      <c r="JEG4" s="1115"/>
      <c r="JEH4" s="1115"/>
      <c r="JEI4" s="1115"/>
      <c r="JEJ4" s="1115"/>
      <c r="JEK4" s="1115"/>
      <c r="JEL4" s="1115"/>
      <c r="JEM4" s="1115"/>
      <c r="JEN4" s="1115"/>
      <c r="JEO4" s="1115"/>
      <c r="JEP4" s="1115"/>
      <c r="JEQ4" s="1115"/>
      <c r="JER4" s="1115"/>
      <c r="JES4" s="1115"/>
      <c r="JET4" s="1115"/>
      <c r="JEU4" s="1115"/>
      <c r="JEV4" s="1115"/>
      <c r="JEW4" s="1115"/>
      <c r="JEX4" s="1115"/>
      <c r="JEY4" s="1115"/>
      <c r="JEZ4" s="1115"/>
      <c r="JFA4" s="1115"/>
      <c r="JFB4" s="1115"/>
      <c r="JFC4" s="1115"/>
      <c r="JFD4" s="1115"/>
      <c r="JFE4" s="1115"/>
      <c r="JFF4" s="1115"/>
      <c r="JFG4" s="1115"/>
      <c r="JFH4" s="1115"/>
      <c r="JFI4" s="1115"/>
      <c r="JFJ4" s="1115"/>
      <c r="JFK4" s="1115"/>
      <c r="JFL4" s="1115"/>
      <c r="JFM4" s="1115"/>
      <c r="JFN4" s="1115"/>
      <c r="JFO4" s="1115"/>
      <c r="JFP4" s="1115"/>
      <c r="JFQ4" s="1115"/>
      <c r="JFR4" s="1115"/>
      <c r="JFS4" s="1115"/>
      <c r="JFT4" s="1115"/>
      <c r="JFU4" s="1115"/>
      <c r="JFV4" s="1115"/>
      <c r="JFW4" s="1115"/>
      <c r="JFX4" s="1115"/>
      <c r="JFY4" s="1115"/>
      <c r="JFZ4" s="1115"/>
      <c r="JGA4" s="1115"/>
      <c r="JGB4" s="1115"/>
      <c r="JGC4" s="1115"/>
      <c r="JGD4" s="1115"/>
      <c r="JGE4" s="1115"/>
      <c r="JGF4" s="1115"/>
      <c r="JGG4" s="1115"/>
      <c r="JGH4" s="1115"/>
      <c r="JGI4" s="1115"/>
      <c r="JGJ4" s="1115"/>
      <c r="JGK4" s="1115"/>
      <c r="JGL4" s="1115"/>
      <c r="JGM4" s="1115"/>
      <c r="JGN4" s="1115"/>
      <c r="JGO4" s="1115"/>
      <c r="JGP4" s="1115"/>
      <c r="JGQ4" s="1115"/>
      <c r="JGR4" s="1115"/>
      <c r="JGS4" s="1115"/>
      <c r="JGT4" s="1115"/>
      <c r="JGU4" s="1115"/>
      <c r="JGV4" s="1115"/>
      <c r="JGW4" s="1115"/>
      <c r="JGX4" s="1115"/>
      <c r="JGY4" s="1115"/>
      <c r="JGZ4" s="1115"/>
      <c r="JHA4" s="1115"/>
      <c r="JHB4" s="1115"/>
      <c r="JHC4" s="1115"/>
      <c r="JHD4" s="1115"/>
      <c r="JHE4" s="1115"/>
      <c r="JHF4" s="1115"/>
      <c r="JHG4" s="1115"/>
      <c r="JHH4" s="1115"/>
      <c r="JHI4" s="1115"/>
      <c r="JHJ4" s="1115"/>
      <c r="JHK4" s="1115"/>
      <c r="JHL4" s="1115"/>
      <c r="JHM4" s="1115"/>
      <c r="JHN4" s="1115"/>
      <c r="JHO4" s="1115"/>
      <c r="JHP4" s="1115"/>
      <c r="JHQ4" s="1115"/>
      <c r="JHR4" s="1115"/>
      <c r="JHS4" s="1115"/>
      <c r="JHT4" s="1115"/>
      <c r="JHU4" s="1115"/>
      <c r="JHV4" s="1115"/>
      <c r="JHW4" s="1115"/>
      <c r="JHX4" s="1115"/>
      <c r="JHY4" s="1115"/>
      <c r="JHZ4" s="1115"/>
      <c r="JIA4" s="1115"/>
      <c r="JIB4" s="1115"/>
      <c r="JIC4" s="1115"/>
      <c r="JID4" s="1115"/>
      <c r="JIE4" s="1115"/>
      <c r="JIF4" s="1115"/>
      <c r="JIG4" s="1115"/>
      <c r="JIH4" s="1115"/>
      <c r="JII4" s="1115"/>
      <c r="JIJ4" s="1115"/>
      <c r="JIK4" s="1115"/>
      <c r="JIL4" s="1115"/>
      <c r="JIM4" s="1115"/>
      <c r="JIN4" s="1115"/>
      <c r="JIO4" s="1115"/>
      <c r="JIP4" s="1115"/>
      <c r="JIQ4" s="1115"/>
      <c r="JIR4" s="1115"/>
      <c r="JIS4" s="1115"/>
      <c r="JIT4" s="1115"/>
      <c r="JIU4" s="1115"/>
      <c r="JIV4" s="1115"/>
      <c r="JIW4" s="1115"/>
      <c r="JIX4" s="1115"/>
      <c r="JIY4" s="1115"/>
      <c r="JIZ4" s="1115"/>
      <c r="JJA4" s="1115"/>
      <c r="JJB4" s="1115"/>
      <c r="JJC4" s="1115"/>
      <c r="JJD4" s="1115"/>
      <c r="JJE4" s="1115"/>
      <c r="JJF4" s="1115"/>
      <c r="JJG4" s="1115"/>
      <c r="JJH4" s="1115"/>
      <c r="JJI4" s="1115"/>
      <c r="JJJ4" s="1115"/>
      <c r="JJK4" s="1115"/>
      <c r="JJL4" s="1115"/>
      <c r="JJM4" s="1115"/>
      <c r="JJN4" s="1115"/>
      <c r="JJO4" s="1115"/>
      <c r="JJP4" s="1115"/>
      <c r="JJQ4" s="1115"/>
      <c r="JJR4" s="1115"/>
      <c r="JJS4" s="1115"/>
      <c r="JJT4" s="1115"/>
      <c r="JJU4" s="1115"/>
      <c r="JJV4" s="1115"/>
      <c r="JJW4" s="1115"/>
      <c r="JJX4" s="1115"/>
      <c r="JJY4" s="1115"/>
      <c r="JJZ4" s="1115"/>
      <c r="JKA4" s="1115"/>
      <c r="JKB4" s="1115"/>
      <c r="JKC4" s="1115"/>
      <c r="JKD4" s="1115"/>
      <c r="JKE4" s="1115"/>
      <c r="JKF4" s="1115"/>
      <c r="JKG4" s="1115"/>
      <c r="JKH4" s="1115"/>
      <c r="JKI4" s="1115"/>
      <c r="JKJ4" s="1115"/>
      <c r="JKK4" s="1115"/>
      <c r="JKL4" s="1115"/>
      <c r="JKM4" s="1115"/>
      <c r="JKN4" s="1115"/>
      <c r="JKO4" s="1115"/>
      <c r="JKP4" s="1115"/>
      <c r="JKQ4" s="1115"/>
      <c r="JKR4" s="1115"/>
      <c r="JKS4" s="1115"/>
      <c r="JKT4" s="1115"/>
      <c r="JKU4" s="1115"/>
      <c r="JKV4" s="1115"/>
      <c r="JKW4" s="1115"/>
      <c r="JKX4" s="1115"/>
      <c r="JKY4" s="1115"/>
      <c r="JKZ4" s="1115"/>
      <c r="JLA4" s="1115"/>
      <c r="JLB4" s="1115"/>
      <c r="JLC4" s="1115"/>
      <c r="JLD4" s="1115"/>
      <c r="JLE4" s="1115"/>
      <c r="JLF4" s="1115"/>
      <c r="JLG4" s="1115"/>
      <c r="JLH4" s="1115"/>
      <c r="JLI4" s="1115"/>
      <c r="JLJ4" s="1115"/>
      <c r="JLK4" s="1115"/>
      <c r="JLL4" s="1115"/>
      <c r="JLM4" s="1115"/>
      <c r="JLN4" s="1115"/>
      <c r="JLO4" s="1115"/>
      <c r="JLP4" s="1115"/>
      <c r="JLQ4" s="1115"/>
      <c r="JLR4" s="1115"/>
      <c r="JLS4" s="1115"/>
      <c r="JLT4" s="1115"/>
      <c r="JLU4" s="1115"/>
      <c r="JLV4" s="1115"/>
      <c r="JLW4" s="1115"/>
      <c r="JLX4" s="1115"/>
      <c r="JLY4" s="1115"/>
      <c r="JLZ4" s="1115"/>
      <c r="JMA4" s="1115"/>
      <c r="JMB4" s="1115"/>
      <c r="JMC4" s="1115"/>
      <c r="JMD4" s="1115"/>
      <c r="JME4" s="1115"/>
      <c r="JMF4" s="1115"/>
      <c r="JMG4" s="1115"/>
      <c r="JMH4" s="1115"/>
      <c r="JMI4" s="1115"/>
      <c r="JMJ4" s="1115"/>
      <c r="JMK4" s="1115"/>
      <c r="JML4" s="1115"/>
      <c r="JMM4" s="1115"/>
      <c r="JMN4" s="1115"/>
      <c r="JMO4" s="1115"/>
      <c r="JMP4" s="1115"/>
      <c r="JMQ4" s="1115"/>
      <c r="JMR4" s="1115"/>
      <c r="JMS4" s="1115"/>
      <c r="JMT4" s="1115"/>
      <c r="JMU4" s="1115"/>
      <c r="JMV4" s="1115"/>
      <c r="JMW4" s="1115"/>
      <c r="JMX4" s="1115"/>
      <c r="JMY4" s="1115"/>
      <c r="JMZ4" s="1115"/>
      <c r="JNA4" s="1115"/>
      <c r="JNB4" s="1115"/>
      <c r="JNC4" s="1115"/>
      <c r="JND4" s="1115"/>
      <c r="JNE4" s="1115"/>
      <c r="JNF4" s="1115"/>
      <c r="JNG4" s="1115"/>
      <c r="JNH4" s="1115"/>
      <c r="JNI4" s="1115"/>
      <c r="JNJ4" s="1115"/>
      <c r="JNK4" s="1115"/>
      <c r="JNL4" s="1115"/>
      <c r="JNM4" s="1115"/>
      <c r="JNN4" s="1115"/>
      <c r="JNO4" s="1115"/>
      <c r="JNP4" s="1115"/>
      <c r="JNQ4" s="1115"/>
      <c r="JNR4" s="1115"/>
      <c r="JNS4" s="1115"/>
      <c r="JNT4" s="1115"/>
      <c r="JNU4" s="1115"/>
      <c r="JNV4" s="1115"/>
      <c r="JNW4" s="1115"/>
      <c r="JNX4" s="1115"/>
      <c r="JNY4" s="1115"/>
      <c r="JNZ4" s="1115"/>
      <c r="JOA4" s="1115"/>
      <c r="JOB4" s="1115"/>
      <c r="JOC4" s="1115"/>
      <c r="JOD4" s="1115"/>
      <c r="JOE4" s="1115"/>
      <c r="JOF4" s="1115"/>
      <c r="JOG4" s="1115"/>
      <c r="JOH4" s="1115"/>
      <c r="JOI4" s="1115"/>
      <c r="JOJ4" s="1115"/>
      <c r="JOK4" s="1115"/>
      <c r="JOL4" s="1115"/>
      <c r="JOM4" s="1115"/>
      <c r="JON4" s="1115"/>
      <c r="JOO4" s="1115"/>
      <c r="JOP4" s="1115"/>
      <c r="JOQ4" s="1115"/>
      <c r="JOR4" s="1115"/>
      <c r="JOS4" s="1115"/>
      <c r="JOT4" s="1115"/>
      <c r="JOU4" s="1115"/>
      <c r="JOV4" s="1115"/>
      <c r="JOW4" s="1115"/>
      <c r="JOX4" s="1115"/>
      <c r="JOY4" s="1115"/>
      <c r="JOZ4" s="1115"/>
      <c r="JPA4" s="1115"/>
      <c r="JPB4" s="1115"/>
      <c r="JPC4" s="1115"/>
      <c r="JPD4" s="1115"/>
      <c r="JPE4" s="1115"/>
      <c r="JPF4" s="1115"/>
      <c r="JPG4" s="1115"/>
      <c r="JPH4" s="1115"/>
      <c r="JPI4" s="1115"/>
      <c r="JPJ4" s="1115"/>
      <c r="JPK4" s="1115"/>
      <c r="JPL4" s="1115"/>
      <c r="JPM4" s="1115"/>
      <c r="JPN4" s="1115"/>
      <c r="JPO4" s="1115"/>
      <c r="JPP4" s="1115"/>
      <c r="JPQ4" s="1115"/>
      <c r="JPR4" s="1115"/>
      <c r="JPS4" s="1115"/>
      <c r="JPT4" s="1115"/>
      <c r="JPU4" s="1115"/>
      <c r="JPV4" s="1115"/>
      <c r="JPW4" s="1115"/>
      <c r="JPX4" s="1115"/>
      <c r="JPY4" s="1115"/>
      <c r="JPZ4" s="1115"/>
      <c r="JQA4" s="1115"/>
      <c r="JQB4" s="1115"/>
      <c r="JQC4" s="1115"/>
      <c r="JQD4" s="1115"/>
      <c r="JQE4" s="1115"/>
      <c r="JQF4" s="1115"/>
      <c r="JQG4" s="1115"/>
      <c r="JQH4" s="1115"/>
      <c r="JQI4" s="1115"/>
      <c r="JQJ4" s="1115"/>
      <c r="JQK4" s="1115"/>
      <c r="JQL4" s="1115"/>
      <c r="JQM4" s="1115"/>
      <c r="JQN4" s="1115"/>
      <c r="JQO4" s="1115"/>
      <c r="JQP4" s="1115"/>
      <c r="JQQ4" s="1115"/>
      <c r="JQR4" s="1115"/>
      <c r="JQS4" s="1115"/>
      <c r="JQT4" s="1115"/>
      <c r="JQU4" s="1115"/>
      <c r="JQV4" s="1115"/>
      <c r="JQW4" s="1115"/>
      <c r="JQX4" s="1115"/>
      <c r="JQY4" s="1115"/>
      <c r="JQZ4" s="1115"/>
      <c r="JRA4" s="1115"/>
      <c r="JRB4" s="1115"/>
      <c r="JRC4" s="1115"/>
      <c r="JRD4" s="1115"/>
      <c r="JRE4" s="1115"/>
      <c r="JRF4" s="1115"/>
      <c r="JRG4" s="1115"/>
      <c r="JRH4" s="1115"/>
      <c r="JRI4" s="1115"/>
      <c r="JRJ4" s="1115"/>
      <c r="JRK4" s="1115"/>
      <c r="JRL4" s="1115"/>
      <c r="JRM4" s="1115"/>
      <c r="JRN4" s="1115"/>
      <c r="JRO4" s="1115"/>
      <c r="JRP4" s="1115"/>
      <c r="JRQ4" s="1115"/>
      <c r="JRR4" s="1115"/>
      <c r="JRS4" s="1115"/>
      <c r="JRT4" s="1115"/>
      <c r="JRU4" s="1115"/>
      <c r="JRV4" s="1115"/>
      <c r="JRW4" s="1115"/>
      <c r="JRX4" s="1115"/>
      <c r="JRY4" s="1115"/>
      <c r="JRZ4" s="1115"/>
      <c r="JSA4" s="1115"/>
      <c r="JSB4" s="1115"/>
      <c r="JSC4" s="1115"/>
      <c r="JSD4" s="1115"/>
      <c r="JSE4" s="1115"/>
      <c r="JSF4" s="1115"/>
      <c r="JSG4" s="1115"/>
      <c r="JSH4" s="1115"/>
      <c r="JSI4" s="1115"/>
      <c r="JSJ4" s="1115"/>
      <c r="JSK4" s="1115"/>
      <c r="JSL4" s="1115"/>
      <c r="JSM4" s="1115"/>
      <c r="JSN4" s="1115"/>
      <c r="JSO4" s="1115"/>
      <c r="JSP4" s="1115"/>
      <c r="JSQ4" s="1115"/>
      <c r="JSR4" s="1115"/>
      <c r="JSS4" s="1115"/>
      <c r="JST4" s="1115"/>
      <c r="JSU4" s="1115"/>
      <c r="JSV4" s="1115"/>
      <c r="JSW4" s="1115"/>
      <c r="JSX4" s="1115"/>
      <c r="JSY4" s="1115"/>
      <c r="JSZ4" s="1115"/>
      <c r="JTA4" s="1115"/>
      <c r="JTB4" s="1115"/>
      <c r="JTC4" s="1115"/>
      <c r="JTD4" s="1115"/>
      <c r="JTE4" s="1115"/>
      <c r="JTF4" s="1115"/>
      <c r="JTG4" s="1115"/>
      <c r="JTH4" s="1115"/>
      <c r="JTI4" s="1115"/>
      <c r="JTJ4" s="1115"/>
      <c r="JTK4" s="1115"/>
      <c r="JTL4" s="1115"/>
      <c r="JTM4" s="1115"/>
      <c r="JTN4" s="1115"/>
      <c r="JTO4" s="1115"/>
      <c r="JTP4" s="1115"/>
      <c r="JTQ4" s="1115"/>
      <c r="JTR4" s="1115"/>
      <c r="JTS4" s="1115"/>
      <c r="JTT4" s="1115"/>
      <c r="JTU4" s="1115"/>
      <c r="JTV4" s="1115"/>
      <c r="JTW4" s="1115"/>
      <c r="JTX4" s="1115"/>
      <c r="JTY4" s="1115"/>
      <c r="JTZ4" s="1115"/>
      <c r="JUA4" s="1115"/>
      <c r="JUB4" s="1115"/>
      <c r="JUC4" s="1115"/>
      <c r="JUD4" s="1115"/>
      <c r="JUE4" s="1115"/>
      <c r="JUF4" s="1115"/>
      <c r="JUG4" s="1115"/>
      <c r="JUH4" s="1115"/>
      <c r="JUI4" s="1115"/>
      <c r="JUJ4" s="1115"/>
      <c r="JUK4" s="1115"/>
      <c r="JUL4" s="1115"/>
      <c r="JUM4" s="1115"/>
      <c r="JUN4" s="1115"/>
      <c r="JUO4" s="1115"/>
      <c r="JUP4" s="1115"/>
      <c r="JUQ4" s="1115"/>
      <c r="JUR4" s="1115"/>
      <c r="JUS4" s="1115"/>
      <c r="JUT4" s="1115"/>
      <c r="JUU4" s="1115"/>
      <c r="JUV4" s="1115"/>
      <c r="JUW4" s="1115"/>
      <c r="JUX4" s="1115"/>
      <c r="JUY4" s="1115"/>
      <c r="JUZ4" s="1115"/>
      <c r="JVA4" s="1115"/>
      <c r="JVB4" s="1115"/>
      <c r="JVC4" s="1115"/>
      <c r="JVD4" s="1115"/>
      <c r="JVE4" s="1115"/>
      <c r="JVF4" s="1115"/>
      <c r="JVG4" s="1115"/>
      <c r="JVH4" s="1115"/>
      <c r="JVI4" s="1115"/>
      <c r="JVJ4" s="1115"/>
      <c r="JVK4" s="1115"/>
      <c r="JVL4" s="1115"/>
      <c r="JVM4" s="1115"/>
      <c r="JVN4" s="1115"/>
      <c r="JVO4" s="1115"/>
      <c r="JVP4" s="1115"/>
      <c r="JVQ4" s="1115"/>
      <c r="JVR4" s="1115"/>
      <c r="JVS4" s="1115"/>
      <c r="JVT4" s="1115"/>
      <c r="JVU4" s="1115"/>
      <c r="JVV4" s="1115"/>
      <c r="JVW4" s="1115"/>
      <c r="JVX4" s="1115"/>
      <c r="JVY4" s="1115"/>
      <c r="JVZ4" s="1115"/>
      <c r="JWA4" s="1115"/>
      <c r="JWB4" s="1115"/>
      <c r="JWC4" s="1115"/>
      <c r="JWD4" s="1115"/>
      <c r="JWE4" s="1115"/>
      <c r="JWF4" s="1115"/>
      <c r="JWG4" s="1115"/>
      <c r="JWH4" s="1115"/>
      <c r="JWI4" s="1115"/>
      <c r="JWJ4" s="1115"/>
      <c r="JWK4" s="1115"/>
      <c r="JWL4" s="1115"/>
      <c r="JWM4" s="1115"/>
      <c r="JWN4" s="1115"/>
      <c r="JWO4" s="1115"/>
      <c r="JWP4" s="1115"/>
      <c r="JWQ4" s="1115"/>
      <c r="JWR4" s="1115"/>
      <c r="JWS4" s="1115"/>
      <c r="JWT4" s="1115"/>
      <c r="JWU4" s="1115"/>
      <c r="JWV4" s="1115"/>
      <c r="JWW4" s="1115"/>
      <c r="JWX4" s="1115"/>
      <c r="JWY4" s="1115"/>
      <c r="JWZ4" s="1115"/>
      <c r="JXA4" s="1115"/>
      <c r="JXB4" s="1115"/>
      <c r="JXC4" s="1115"/>
      <c r="JXD4" s="1115"/>
      <c r="JXE4" s="1115"/>
      <c r="JXF4" s="1115"/>
      <c r="JXG4" s="1115"/>
      <c r="JXH4" s="1115"/>
      <c r="JXI4" s="1115"/>
      <c r="JXJ4" s="1115"/>
      <c r="JXK4" s="1115"/>
      <c r="JXL4" s="1115"/>
      <c r="JXM4" s="1115"/>
      <c r="JXN4" s="1115"/>
      <c r="JXO4" s="1115"/>
      <c r="JXP4" s="1115"/>
      <c r="JXQ4" s="1115"/>
      <c r="JXR4" s="1115"/>
      <c r="JXS4" s="1115"/>
      <c r="JXT4" s="1115"/>
      <c r="JXU4" s="1115"/>
      <c r="JXV4" s="1115"/>
      <c r="JXW4" s="1115"/>
      <c r="JXX4" s="1115"/>
      <c r="JXY4" s="1115"/>
      <c r="JXZ4" s="1115"/>
      <c r="JYA4" s="1115"/>
      <c r="JYB4" s="1115"/>
      <c r="JYC4" s="1115"/>
      <c r="JYD4" s="1115"/>
      <c r="JYE4" s="1115"/>
      <c r="JYF4" s="1115"/>
      <c r="JYG4" s="1115"/>
      <c r="JYH4" s="1115"/>
      <c r="JYI4" s="1115"/>
      <c r="JYJ4" s="1115"/>
      <c r="JYK4" s="1115"/>
      <c r="JYL4" s="1115"/>
      <c r="JYM4" s="1115"/>
      <c r="JYN4" s="1115"/>
      <c r="JYO4" s="1115"/>
      <c r="JYP4" s="1115"/>
      <c r="JYQ4" s="1115"/>
      <c r="JYR4" s="1115"/>
      <c r="JYS4" s="1115"/>
      <c r="JYT4" s="1115"/>
      <c r="JYU4" s="1115"/>
      <c r="JYV4" s="1115"/>
      <c r="JYW4" s="1115"/>
      <c r="JYX4" s="1115"/>
      <c r="JYY4" s="1115"/>
      <c r="JYZ4" s="1115"/>
      <c r="JZA4" s="1115"/>
      <c r="JZB4" s="1115"/>
      <c r="JZC4" s="1115"/>
      <c r="JZD4" s="1115"/>
      <c r="JZE4" s="1115"/>
      <c r="JZF4" s="1115"/>
      <c r="JZG4" s="1115"/>
      <c r="JZH4" s="1115"/>
      <c r="JZI4" s="1115"/>
      <c r="JZJ4" s="1115"/>
      <c r="JZK4" s="1115"/>
      <c r="JZL4" s="1115"/>
      <c r="JZM4" s="1115"/>
      <c r="JZN4" s="1115"/>
      <c r="JZO4" s="1115"/>
      <c r="JZP4" s="1115"/>
      <c r="JZQ4" s="1115"/>
      <c r="JZR4" s="1115"/>
      <c r="JZS4" s="1115"/>
      <c r="JZT4" s="1115"/>
      <c r="JZU4" s="1115"/>
      <c r="JZV4" s="1115"/>
      <c r="JZW4" s="1115"/>
      <c r="JZX4" s="1115"/>
      <c r="JZY4" s="1115"/>
      <c r="JZZ4" s="1115"/>
      <c r="KAA4" s="1115"/>
      <c r="KAB4" s="1115"/>
      <c r="KAC4" s="1115"/>
      <c r="KAD4" s="1115"/>
      <c r="KAE4" s="1115"/>
      <c r="KAF4" s="1115"/>
      <c r="KAG4" s="1115"/>
      <c r="KAH4" s="1115"/>
      <c r="KAI4" s="1115"/>
      <c r="KAJ4" s="1115"/>
      <c r="KAK4" s="1115"/>
      <c r="KAL4" s="1115"/>
      <c r="KAM4" s="1115"/>
      <c r="KAN4" s="1115"/>
      <c r="KAO4" s="1115"/>
      <c r="KAP4" s="1115"/>
      <c r="KAQ4" s="1115"/>
      <c r="KAR4" s="1115"/>
      <c r="KAS4" s="1115"/>
      <c r="KAT4" s="1115"/>
      <c r="KAU4" s="1115"/>
      <c r="KAV4" s="1115"/>
      <c r="KAW4" s="1115"/>
      <c r="KAX4" s="1115"/>
      <c r="KAY4" s="1115"/>
      <c r="KAZ4" s="1115"/>
      <c r="KBA4" s="1115"/>
      <c r="KBB4" s="1115"/>
      <c r="KBC4" s="1115"/>
      <c r="KBD4" s="1115"/>
      <c r="KBE4" s="1115"/>
      <c r="KBF4" s="1115"/>
      <c r="KBG4" s="1115"/>
      <c r="KBH4" s="1115"/>
      <c r="KBI4" s="1115"/>
      <c r="KBJ4" s="1115"/>
      <c r="KBK4" s="1115"/>
      <c r="KBL4" s="1115"/>
      <c r="KBM4" s="1115"/>
      <c r="KBN4" s="1115"/>
      <c r="KBO4" s="1115"/>
      <c r="KBP4" s="1115"/>
      <c r="KBQ4" s="1115"/>
      <c r="KBR4" s="1115"/>
      <c r="KBS4" s="1115"/>
      <c r="KBT4" s="1115"/>
      <c r="KBU4" s="1115"/>
      <c r="KBV4" s="1115"/>
      <c r="KBW4" s="1115"/>
      <c r="KBX4" s="1115"/>
      <c r="KBY4" s="1115"/>
      <c r="KBZ4" s="1115"/>
      <c r="KCA4" s="1115"/>
      <c r="KCB4" s="1115"/>
      <c r="KCC4" s="1115"/>
      <c r="KCD4" s="1115"/>
      <c r="KCE4" s="1115"/>
      <c r="KCF4" s="1115"/>
      <c r="KCG4" s="1115"/>
      <c r="KCH4" s="1115"/>
      <c r="KCI4" s="1115"/>
      <c r="KCJ4" s="1115"/>
      <c r="KCK4" s="1115"/>
      <c r="KCL4" s="1115"/>
      <c r="KCM4" s="1115"/>
      <c r="KCN4" s="1115"/>
      <c r="KCO4" s="1115"/>
      <c r="KCP4" s="1115"/>
      <c r="KCQ4" s="1115"/>
      <c r="KCR4" s="1115"/>
      <c r="KCS4" s="1115"/>
      <c r="KCT4" s="1115"/>
      <c r="KCU4" s="1115"/>
      <c r="KCV4" s="1115"/>
      <c r="KCW4" s="1115"/>
      <c r="KCX4" s="1115"/>
      <c r="KCY4" s="1115"/>
      <c r="KCZ4" s="1115"/>
      <c r="KDA4" s="1115"/>
      <c r="KDB4" s="1115"/>
      <c r="KDC4" s="1115"/>
      <c r="KDD4" s="1115"/>
      <c r="KDE4" s="1115"/>
      <c r="KDF4" s="1115"/>
      <c r="KDG4" s="1115"/>
      <c r="KDH4" s="1115"/>
      <c r="KDI4" s="1115"/>
      <c r="KDJ4" s="1115"/>
      <c r="KDK4" s="1115"/>
      <c r="KDL4" s="1115"/>
      <c r="KDM4" s="1115"/>
      <c r="KDN4" s="1115"/>
      <c r="KDO4" s="1115"/>
      <c r="KDP4" s="1115"/>
      <c r="KDQ4" s="1115"/>
      <c r="KDR4" s="1115"/>
      <c r="KDS4" s="1115"/>
      <c r="KDT4" s="1115"/>
      <c r="KDU4" s="1115"/>
      <c r="KDV4" s="1115"/>
      <c r="KDW4" s="1115"/>
      <c r="KDX4" s="1115"/>
      <c r="KDY4" s="1115"/>
      <c r="KDZ4" s="1115"/>
      <c r="KEA4" s="1115"/>
      <c r="KEB4" s="1115"/>
      <c r="KEC4" s="1115"/>
      <c r="KED4" s="1115"/>
      <c r="KEE4" s="1115"/>
      <c r="KEF4" s="1115"/>
      <c r="KEG4" s="1115"/>
      <c r="KEH4" s="1115"/>
      <c r="KEI4" s="1115"/>
      <c r="KEJ4" s="1115"/>
      <c r="KEK4" s="1115"/>
      <c r="KEL4" s="1115"/>
      <c r="KEM4" s="1115"/>
      <c r="KEN4" s="1115"/>
      <c r="KEO4" s="1115"/>
      <c r="KEP4" s="1115"/>
      <c r="KEQ4" s="1115"/>
      <c r="KER4" s="1115"/>
      <c r="KES4" s="1115"/>
      <c r="KET4" s="1115"/>
      <c r="KEU4" s="1115"/>
      <c r="KEV4" s="1115"/>
      <c r="KEW4" s="1115"/>
      <c r="KEX4" s="1115"/>
      <c r="KEY4" s="1115"/>
      <c r="KEZ4" s="1115"/>
      <c r="KFA4" s="1115"/>
      <c r="KFB4" s="1115"/>
      <c r="KFC4" s="1115"/>
      <c r="KFD4" s="1115"/>
      <c r="KFE4" s="1115"/>
      <c r="KFF4" s="1115"/>
      <c r="KFG4" s="1115"/>
      <c r="KFH4" s="1115"/>
      <c r="KFI4" s="1115"/>
      <c r="KFJ4" s="1115"/>
      <c r="KFK4" s="1115"/>
      <c r="KFL4" s="1115"/>
      <c r="KFM4" s="1115"/>
      <c r="KFN4" s="1115"/>
      <c r="KFO4" s="1115"/>
      <c r="KFP4" s="1115"/>
      <c r="KFQ4" s="1115"/>
      <c r="KFR4" s="1115"/>
      <c r="KFS4" s="1115"/>
      <c r="KFT4" s="1115"/>
      <c r="KFU4" s="1115"/>
      <c r="KFV4" s="1115"/>
      <c r="KFW4" s="1115"/>
      <c r="KFX4" s="1115"/>
      <c r="KFY4" s="1115"/>
      <c r="KFZ4" s="1115"/>
      <c r="KGA4" s="1115"/>
      <c r="KGB4" s="1115"/>
      <c r="KGC4" s="1115"/>
      <c r="KGD4" s="1115"/>
      <c r="KGE4" s="1115"/>
      <c r="KGF4" s="1115"/>
      <c r="KGG4" s="1115"/>
      <c r="KGH4" s="1115"/>
      <c r="KGI4" s="1115"/>
      <c r="KGJ4" s="1115"/>
      <c r="KGK4" s="1115"/>
      <c r="KGL4" s="1115"/>
      <c r="KGM4" s="1115"/>
      <c r="KGN4" s="1115"/>
      <c r="KGO4" s="1115"/>
      <c r="KGP4" s="1115"/>
      <c r="KGQ4" s="1115"/>
      <c r="KGR4" s="1115"/>
      <c r="KGS4" s="1115"/>
      <c r="KGT4" s="1115"/>
      <c r="KGU4" s="1115"/>
      <c r="KGV4" s="1115"/>
      <c r="KGW4" s="1115"/>
      <c r="KGX4" s="1115"/>
      <c r="KGY4" s="1115"/>
      <c r="KGZ4" s="1115"/>
      <c r="KHA4" s="1115"/>
      <c r="KHB4" s="1115"/>
      <c r="KHC4" s="1115"/>
      <c r="KHD4" s="1115"/>
      <c r="KHE4" s="1115"/>
      <c r="KHF4" s="1115"/>
      <c r="KHG4" s="1115"/>
      <c r="KHH4" s="1115"/>
      <c r="KHI4" s="1115"/>
      <c r="KHJ4" s="1115"/>
      <c r="KHK4" s="1115"/>
      <c r="KHL4" s="1115"/>
      <c r="KHM4" s="1115"/>
      <c r="KHN4" s="1115"/>
      <c r="KHO4" s="1115"/>
      <c r="KHP4" s="1115"/>
      <c r="KHQ4" s="1115"/>
      <c r="KHR4" s="1115"/>
      <c r="KHS4" s="1115"/>
      <c r="KHT4" s="1115"/>
      <c r="KHU4" s="1115"/>
      <c r="KHV4" s="1115"/>
      <c r="KHW4" s="1115"/>
      <c r="KHX4" s="1115"/>
      <c r="KHY4" s="1115"/>
      <c r="KHZ4" s="1115"/>
      <c r="KIA4" s="1115"/>
      <c r="KIB4" s="1115"/>
      <c r="KIC4" s="1115"/>
      <c r="KID4" s="1115"/>
      <c r="KIE4" s="1115"/>
      <c r="KIF4" s="1115"/>
      <c r="KIG4" s="1115"/>
      <c r="KIH4" s="1115"/>
      <c r="KII4" s="1115"/>
      <c r="KIJ4" s="1115"/>
      <c r="KIK4" s="1115"/>
      <c r="KIL4" s="1115"/>
      <c r="KIM4" s="1115"/>
      <c r="KIN4" s="1115"/>
      <c r="KIO4" s="1115"/>
      <c r="KIP4" s="1115"/>
      <c r="KIQ4" s="1115"/>
      <c r="KIR4" s="1115"/>
      <c r="KIS4" s="1115"/>
      <c r="KIT4" s="1115"/>
      <c r="KIU4" s="1115"/>
      <c r="KIV4" s="1115"/>
      <c r="KIW4" s="1115"/>
      <c r="KIX4" s="1115"/>
      <c r="KIY4" s="1115"/>
      <c r="KIZ4" s="1115"/>
      <c r="KJA4" s="1115"/>
      <c r="KJB4" s="1115"/>
      <c r="KJC4" s="1115"/>
      <c r="KJD4" s="1115"/>
      <c r="KJE4" s="1115"/>
      <c r="KJF4" s="1115"/>
      <c r="KJG4" s="1115"/>
      <c r="KJH4" s="1115"/>
      <c r="KJI4" s="1115"/>
      <c r="KJJ4" s="1115"/>
      <c r="KJK4" s="1115"/>
      <c r="KJL4" s="1115"/>
      <c r="KJM4" s="1115"/>
      <c r="KJN4" s="1115"/>
      <c r="KJO4" s="1115"/>
      <c r="KJP4" s="1115"/>
      <c r="KJQ4" s="1115"/>
      <c r="KJR4" s="1115"/>
      <c r="KJS4" s="1115"/>
      <c r="KJT4" s="1115"/>
      <c r="KJU4" s="1115"/>
      <c r="KJV4" s="1115"/>
      <c r="KJW4" s="1115"/>
      <c r="KJX4" s="1115"/>
      <c r="KJY4" s="1115"/>
      <c r="KJZ4" s="1115"/>
      <c r="KKA4" s="1115"/>
      <c r="KKB4" s="1115"/>
      <c r="KKC4" s="1115"/>
      <c r="KKD4" s="1115"/>
      <c r="KKE4" s="1115"/>
      <c r="KKF4" s="1115"/>
      <c r="KKG4" s="1115"/>
      <c r="KKH4" s="1115"/>
      <c r="KKI4" s="1115"/>
      <c r="KKJ4" s="1115"/>
      <c r="KKK4" s="1115"/>
      <c r="KKL4" s="1115"/>
      <c r="KKM4" s="1115"/>
      <c r="KKN4" s="1115"/>
      <c r="KKO4" s="1115"/>
      <c r="KKP4" s="1115"/>
      <c r="KKQ4" s="1115"/>
      <c r="KKR4" s="1115"/>
      <c r="KKS4" s="1115"/>
      <c r="KKT4" s="1115"/>
      <c r="KKU4" s="1115"/>
      <c r="KKV4" s="1115"/>
      <c r="KKW4" s="1115"/>
      <c r="KKX4" s="1115"/>
      <c r="KKY4" s="1115"/>
      <c r="KKZ4" s="1115"/>
      <c r="KLA4" s="1115"/>
      <c r="KLB4" s="1115"/>
      <c r="KLC4" s="1115"/>
      <c r="KLD4" s="1115"/>
      <c r="KLE4" s="1115"/>
      <c r="KLF4" s="1115"/>
      <c r="KLG4" s="1115"/>
      <c r="KLH4" s="1115"/>
      <c r="KLI4" s="1115"/>
      <c r="KLJ4" s="1115"/>
      <c r="KLK4" s="1115"/>
      <c r="KLL4" s="1115"/>
      <c r="KLM4" s="1115"/>
      <c r="KLN4" s="1115"/>
      <c r="KLO4" s="1115"/>
      <c r="KLP4" s="1115"/>
      <c r="KLQ4" s="1115"/>
      <c r="KLR4" s="1115"/>
      <c r="KLS4" s="1115"/>
      <c r="KLT4" s="1115"/>
      <c r="KLU4" s="1115"/>
      <c r="KLV4" s="1115"/>
      <c r="KLW4" s="1115"/>
      <c r="KLX4" s="1115"/>
      <c r="KLY4" s="1115"/>
      <c r="KLZ4" s="1115"/>
      <c r="KMA4" s="1115"/>
      <c r="KMB4" s="1115"/>
      <c r="KMC4" s="1115"/>
      <c r="KMD4" s="1115"/>
      <c r="KME4" s="1115"/>
      <c r="KMF4" s="1115"/>
      <c r="KMG4" s="1115"/>
      <c r="KMH4" s="1115"/>
      <c r="KMI4" s="1115"/>
      <c r="KMJ4" s="1115"/>
      <c r="KMK4" s="1115"/>
      <c r="KML4" s="1115"/>
      <c r="KMM4" s="1115"/>
      <c r="KMN4" s="1115"/>
      <c r="KMO4" s="1115"/>
      <c r="KMP4" s="1115"/>
      <c r="KMQ4" s="1115"/>
      <c r="KMR4" s="1115"/>
      <c r="KMS4" s="1115"/>
      <c r="KMT4" s="1115"/>
      <c r="KMU4" s="1115"/>
      <c r="KMV4" s="1115"/>
      <c r="KMW4" s="1115"/>
      <c r="KMX4" s="1115"/>
      <c r="KMY4" s="1115"/>
      <c r="KMZ4" s="1115"/>
      <c r="KNA4" s="1115"/>
      <c r="KNB4" s="1115"/>
      <c r="KNC4" s="1115"/>
      <c r="KND4" s="1115"/>
      <c r="KNE4" s="1115"/>
      <c r="KNF4" s="1115"/>
      <c r="KNG4" s="1115"/>
      <c r="KNH4" s="1115"/>
      <c r="KNI4" s="1115"/>
      <c r="KNJ4" s="1115"/>
      <c r="KNK4" s="1115"/>
      <c r="KNL4" s="1115"/>
      <c r="KNM4" s="1115"/>
      <c r="KNN4" s="1115"/>
      <c r="KNO4" s="1115"/>
      <c r="KNP4" s="1115"/>
      <c r="KNQ4" s="1115"/>
      <c r="KNR4" s="1115"/>
      <c r="KNS4" s="1115"/>
      <c r="KNT4" s="1115"/>
      <c r="KNU4" s="1115"/>
      <c r="KNV4" s="1115"/>
      <c r="KNW4" s="1115"/>
      <c r="KNX4" s="1115"/>
      <c r="KNY4" s="1115"/>
      <c r="KNZ4" s="1115"/>
      <c r="KOA4" s="1115"/>
      <c r="KOB4" s="1115"/>
      <c r="KOC4" s="1115"/>
      <c r="KOD4" s="1115"/>
      <c r="KOE4" s="1115"/>
      <c r="KOF4" s="1115"/>
      <c r="KOG4" s="1115"/>
      <c r="KOH4" s="1115"/>
      <c r="KOI4" s="1115"/>
      <c r="KOJ4" s="1115"/>
      <c r="KOK4" s="1115"/>
      <c r="KOL4" s="1115"/>
      <c r="KOM4" s="1115"/>
      <c r="KON4" s="1115"/>
      <c r="KOO4" s="1115"/>
      <c r="KOP4" s="1115"/>
      <c r="KOQ4" s="1115"/>
      <c r="KOR4" s="1115"/>
      <c r="KOS4" s="1115"/>
      <c r="KOT4" s="1115"/>
      <c r="KOU4" s="1115"/>
      <c r="KOV4" s="1115"/>
      <c r="KOW4" s="1115"/>
      <c r="KOX4" s="1115"/>
      <c r="KOY4" s="1115"/>
      <c r="KOZ4" s="1115"/>
      <c r="KPA4" s="1115"/>
      <c r="KPB4" s="1115"/>
      <c r="KPC4" s="1115"/>
      <c r="KPD4" s="1115"/>
      <c r="KPE4" s="1115"/>
      <c r="KPF4" s="1115"/>
      <c r="KPG4" s="1115"/>
      <c r="KPH4" s="1115"/>
      <c r="KPI4" s="1115"/>
      <c r="KPJ4" s="1115"/>
      <c r="KPK4" s="1115"/>
      <c r="KPL4" s="1115"/>
      <c r="KPM4" s="1115"/>
      <c r="KPN4" s="1115"/>
      <c r="KPO4" s="1115"/>
      <c r="KPP4" s="1115"/>
      <c r="KPQ4" s="1115"/>
      <c r="KPR4" s="1115"/>
      <c r="KPS4" s="1115"/>
      <c r="KPT4" s="1115"/>
      <c r="KPU4" s="1115"/>
      <c r="KPV4" s="1115"/>
      <c r="KPW4" s="1115"/>
      <c r="KPX4" s="1115"/>
      <c r="KPY4" s="1115"/>
      <c r="KPZ4" s="1115"/>
      <c r="KQA4" s="1115"/>
      <c r="KQB4" s="1115"/>
      <c r="KQC4" s="1115"/>
      <c r="KQD4" s="1115"/>
      <c r="KQE4" s="1115"/>
      <c r="KQF4" s="1115"/>
      <c r="KQG4" s="1115"/>
      <c r="KQH4" s="1115"/>
      <c r="KQI4" s="1115"/>
      <c r="KQJ4" s="1115"/>
      <c r="KQK4" s="1115"/>
      <c r="KQL4" s="1115"/>
      <c r="KQM4" s="1115"/>
      <c r="KQN4" s="1115"/>
      <c r="KQO4" s="1115"/>
      <c r="KQP4" s="1115"/>
      <c r="KQQ4" s="1115"/>
      <c r="KQR4" s="1115"/>
      <c r="KQS4" s="1115"/>
      <c r="KQT4" s="1115"/>
      <c r="KQU4" s="1115"/>
      <c r="KQV4" s="1115"/>
      <c r="KQW4" s="1115"/>
      <c r="KQX4" s="1115"/>
      <c r="KQY4" s="1115"/>
      <c r="KQZ4" s="1115"/>
      <c r="KRA4" s="1115"/>
      <c r="KRB4" s="1115"/>
      <c r="KRC4" s="1115"/>
      <c r="KRD4" s="1115"/>
      <c r="KRE4" s="1115"/>
      <c r="KRF4" s="1115"/>
      <c r="KRG4" s="1115"/>
      <c r="KRH4" s="1115"/>
      <c r="KRI4" s="1115"/>
      <c r="KRJ4" s="1115"/>
      <c r="KRK4" s="1115"/>
      <c r="KRL4" s="1115"/>
      <c r="KRM4" s="1115"/>
      <c r="KRN4" s="1115"/>
      <c r="KRO4" s="1115"/>
      <c r="KRP4" s="1115"/>
      <c r="KRQ4" s="1115"/>
      <c r="KRR4" s="1115"/>
      <c r="KRS4" s="1115"/>
      <c r="KRT4" s="1115"/>
      <c r="KRU4" s="1115"/>
      <c r="KRV4" s="1115"/>
      <c r="KRW4" s="1115"/>
      <c r="KRX4" s="1115"/>
      <c r="KRY4" s="1115"/>
      <c r="KRZ4" s="1115"/>
      <c r="KSA4" s="1115"/>
      <c r="KSB4" s="1115"/>
      <c r="KSC4" s="1115"/>
      <c r="KSD4" s="1115"/>
      <c r="KSE4" s="1115"/>
      <c r="KSF4" s="1115"/>
      <c r="KSG4" s="1115"/>
      <c r="KSH4" s="1115"/>
      <c r="KSI4" s="1115"/>
      <c r="KSJ4" s="1115"/>
      <c r="KSK4" s="1115"/>
      <c r="KSL4" s="1115"/>
      <c r="KSM4" s="1115"/>
      <c r="KSN4" s="1115"/>
      <c r="KSO4" s="1115"/>
      <c r="KSP4" s="1115"/>
      <c r="KSQ4" s="1115"/>
      <c r="KSR4" s="1115"/>
      <c r="KSS4" s="1115"/>
      <c r="KST4" s="1115"/>
      <c r="KSU4" s="1115"/>
      <c r="KSV4" s="1115"/>
      <c r="KSW4" s="1115"/>
      <c r="KSX4" s="1115"/>
      <c r="KSY4" s="1115"/>
      <c r="KSZ4" s="1115"/>
      <c r="KTA4" s="1115"/>
      <c r="KTB4" s="1115"/>
      <c r="KTC4" s="1115"/>
      <c r="KTD4" s="1115"/>
      <c r="KTE4" s="1115"/>
      <c r="KTF4" s="1115"/>
      <c r="KTG4" s="1115"/>
      <c r="KTH4" s="1115"/>
      <c r="KTI4" s="1115"/>
      <c r="KTJ4" s="1115"/>
      <c r="KTK4" s="1115"/>
      <c r="KTL4" s="1115"/>
      <c r="KTM4" s="1115"/>
      <c r="KTN4" s="1115"/>
      <c r="KTO4" s="1115"/>
      <c r="KTP4" s="1115"/>
      <c r="KTQ4" s="1115"/>
      <c r="KTR4" s="1115"/>
      <c r="KTS4" s="1115"/>
      <c r="KTT4" s="1115"/>
      <c r="KTU4" s="1115"/>
      <c r="KTV4" s="1115"/>
      <c r="KTW4" s="1115"/>
      <c r="KTX4" s="1115"/>
      <c r="KTY4" s="1115"/>
      <c r="KTZ4" s="1115"/>
      <c r="KUA4" s="1115"/>
      <c r="KUB4" s="1115"/>
      <c r="KUC4" s="1115"/>
      <c r="KUD4" s="1115"/>
      <c r="KUE4" s="1115"/>
      <c r="KUF4" s="1115"/>
      <c r="KUG4" s="1115"/>
      <c r="KUH4" s="1115"/>
      <c r="KUI4" s="1115"/>
      <c r="KUJ4" s="1115"/>
      <c r="KUK4" s="1115"/>
      <c r="KUL4" s="1115"/>
      <c r="KUM4" s="1115"/>
      <c r="KUN4" s="1115"/>
      <c r="KUO4" s="1115"/>
      <c r="KUP4" s="1115"/>
      <c r="KUQ4" s="1115"/>
      <c r="KUR4" s="1115"/>
      <c r="KUS4" s="1115"/>
      <c r="KUT4" s="1115"/>
      <c r="KUU4" s="1115"/>
      <c r="KUV4" s="1115"/>
      <c r="KUW4" s="1115"/>
      <c r="KUX4" s="1115"/>
      <c r="KUY4" s="1115"/>
      <c r="KUZ4" s="1115"/>
      <c r="KVA4" s="1115"/>
      <c r="KVB4" s="1115"/>
      <c r="KVC4" s="1115"/>
      <c r="KVD4" s="1115"/>
      <c r="KVE4" s="1115"/>
      <c r="KVF4" s="1115"/>
      <c r="KVG4" s="1115"/>
      <c r="KVH4" s="1115"/>
      <c r="KVI4" s="1115"/>
      <c r="KVJ4" s="1115"/>
      <c r="KVK4" s="1115"/>
      <c r="KVL4" s="1115"/>
      <c r="KVM4" s="1115"/>
      <c r="KVN4" s="1115"/>
      <c r="KVO4" s="1115"/>
      <c r="KVP4" s="1115"/>
      <c r="KVQ4" s="1115"/>
      <c r="KVR4" s="1115"/>
      <c r="KVS4" s="1115"/>
      <c r="KVT4" s="1115"/>
      <c r="KVU4" s="1115"/>
      <c r="KVV4" s="1115"/>
      <c r="KVW4" s="1115"/>
      <c r="KVX4" s="1115"/>
      <c r="KVY4" s="1115"/>
      <c r="KVZ4" s="1115"/>
      <c r="KWA4" s="1115"/>
      <c r="KWB4" s="1115"/>
      <c r="KWC4" s="1115"/>
      <c r="KWD4" s="1115"/>
      <c r="KWE4" s="1115"/>
      <c r="KWF4" s="1115"/>
      <c r="KWG4" s="1115"/>
      <c r="KWH4" s="1115"/>
      <c r="KWI4" s="1115"/>
      <c r="KWJ4" s="1115"/>
      <c r="KWK4" s="1115"/>
      <c r="KWL4" s="1115"/>
      <c r="KWM4" s="1115"/>
      <c r="KWN4" s="1115"/>
      <c r="KWO4" s="1115"/>
      <c r="KWP4" s="1115"/>
      <c r="KWQ4" s="1115"/>
      <c r="KWR4" s="1115"/>
      <c r="KWS4" s="1115"/>
      <c r="KWT4" s="1115"/>
      <c r="KWU4" s="1115"/>
      <c r="KWV4" s="1115"/>
      <c r="KWW4" s="1115"/>
      <c r="KWX4" s="1115"/>
      <c r="KWY4" s="1115"/>
      <c r="KWZ4" s="1115"/>
      <c r="KXA4" s="1115"/>
      <c r="KXB4" s="1115"/>
      <c r="KXC4" s="1115"/>
      <c r="KXD4" s="1115"/>
      <c r="KXE4" s="1115"/>
      <c r="KXF4" s="1115"/>
      <c r="KXG4" s="1115"/>
      <c r="KXH4" s="1115"/>
      <c r="KXI4" s="1115"/>
      <c r="KXJ4" s="1115"/>
      <c r="KXK4" s="1115"/>
      <c r="KXL4" s="1115"/>
      <c r="KXM4" s="1115"/>
      <c r="KXN4" s="1115"/>
      <c r="KXO4" s="1115"/>
      <c r="KXP4" s="1115"/>
      <c r="KXQ4" s="1115"/>
      <c r="KXR4" s="1115"/>
      <c r="KXS4" s="1115"/>
      <c r="KXT4" s="1115"/>
      <c r="KXU4" s="1115"/>
      <c r="KXV4" s="1115"/>
      <c r="KXW4" s="1115"/>
      <c r="KXX4" s="1115"/>
      <c r="KXY4" s="1115"/>
      <c r="KXZ4" s="1115"/>
      <c r="KYA4" s="1115"/>
      <c r="KYB4" s="1115"/>
      <c r="KYC4" s="1115"/>
      <c r="KYD4" s="1115"/>
      <c r="KYE4" s="1115"/>
      <c r="KYF4" s="1115"/>
      <c r="KYG4" s="1115"/>
      <c r="KYH4" s="1115"/>
      <c r="KYI4" s="1115"/>
      <c r="KYJ4" s="1115"/>
      <c r="KYK4" s="1115"/>
      <c r="KYL4" s="1115"/>
      <c r="KYM4" s="1115"/>
      <c r="KYN4" s="1115"/>
      <c r="KYO4" s="1115"/>
      <c r="KYP4" s="1115"/>
      <c r="KYQ4" s="1115"/>
      <c r="KYR4" s="1115"/>
      <c r="KYS4" s="1115"/>
      <c r="KYT4" s="1115"/>
      <c r="KYU4" s="1115"/>
      <c r="KYV4" s="1115"/>
      <c r="KYW4" s="1115"/>
      <c r="KYX4" s="1115"/>
      <c r="KYY4" s="1115"/>
      <c r="KYZ4" s="1115"/>
      <c r="KZA4" s="1115"/>
      <c r="KZB4" s="1115"/>
      <c r="KZC4" s="1115"/>
      <c r="KZD4" s="1115"/>
      <c r="KZE4" s="1115"/>
      <c r="KZF4" s="1115"/>
      <c r="KZG4" s="1115"/>
      <c r="KZH4" s="1115"/>
      <c r="KZI4" s="1115"/>
      <c r="KZJ4" s="1115"/>
      <c r="KZK4" s="1115"/>
      <c r="KZL4" s="1115"/>
      <c r="KZM4" s="1115"/>
      <c r="KZN4" s="1115"/>
      <c r="KZO4" s="1115"/>
      <c r="KZP4" s="1115"/>
      <c r="KZQ4" s="1115"/>
      <c r="KZR4" s="1115"/>
      <c r="KZS4" s="1115"/>
      <c r="KZT4" s="1115"/>
      <c r="KZU4" s="1115"/>
      <c r="KZV4" s="1115"/>
      <c r="KZW4" s="1115"/>
      <c r="KZX4" s="1115"/>
      <c r="KZY4" s="1115"/>
      <c r="KZZ4" s="1115"/>
      <c r="LAA4" s="1115"/>
      <c r="LAB4" s="1115"/>
      <c r="LAC4" s="1115"/>
      <c r="LAD4" s="1115"/>
      <c r="LAE4" s="1115"/>
      <c r="LAF4" s="1115"/>
      <c r="LAG4" s="1115"/>
      <c r="LAH4" s="1115"/>
      <c r="LAI4" s="1115"/>
      <c r="LAJ4" s="1115"/>
      <c r="LAK4" s="1115"/>
      <c r="LAL4" s="1115"/>
      <c r="LAM4" s="1115"/>
      <c r="LAN4" s="1115"/>
      <c r="LAO4" s="1115"/>
      <c r="LAP4" s="1115"/>
      <c r="LAQ4" s="1115"/>
      <c r="LAR4" s="1115"/>
      <c r="LAS4" s="1115"/>
      <c r="LAT4" s="1115"/>
      <c r="LAU4" s="1115"/>
      <c r="LAV4" s="1115"/>
      <c r="LAW4" s="1115"/>
      <c r="LAX4" s="1115"/>
      <c r="LAY4" s="1115"/>
      <c r="LAZ4" s="1115"/>
      <c r="LBA4" s="1115"/>
      <c r="LBB4" s="1115"/>
      <c r="LBC4" s="1115"/>
      <c r="LBD4" s="1115"/>
      <c r="LBE4" s="1115"/>
      <c r="LBF4" s="1115"/>
      <c r="LBG4" s="1115"/>
      <c r="LBH4" s="1115"/>
      <c r="LBI4" s="1115"/>
      <c r="LBJ4" s="1115"/>
      <c r="LBK4" s="1115"/>
      <c r="LBL4" s="1115"/>
      <c r="LBM4" s="1115"/>
      <c r="LBN4" s="1115"/>
      <c r="LBO4" s="1115"/>
      <c r="LBP4" s="1115"/>
      <c r="LBQ4" s="1115"/>
      <c r="LBR4" s="1115"/>
      <c r="LBS4" s="1115"/>
      <c r="LBT4" s="1115"/>
      <c r="LBU4" s="1115"/>
      <c r="LBV4" s="1115"/>
      <c r="LBW4" s="1115"/>
      <c r="LBX4" s="1115"/>
      <c r="LBY4" s="1115"/>
      <c r="LBZ4" s="1115"/>
      <c r="LCA4" s="1115"/>
      <c r="LCB4" s="1115"/>
      <c r="LCC4" s="1115"/>
      <c r="LCD4" s="1115"/>
      <c r="LCE4" s="1115"/>
      <c r="LCF4" s="1115"/>
      <c r="LCG4" s="1115"/>
      <c r="LCH4" s="1115"/>
      <c r="LCI4" s="1115"/>
      <c r="LCJ4" s="1115"/>
      <c r="LCK4" s="1115"/>
      <c r="LCL4" s="1115"/>
      <c r="LCM4" s="1115"/>
      <c r="LCN4" s="1115"/>
      <c r="LCO4" s="1115"/>
      <c r="LCP4" s="1115"/>
      <c r="LCQ4" s="1115"/>
      <c r="LCR4" s="1115"/>
      <c r="LCS4" s="1115"/>
      <c r="LCT4" s="1115"/>
      <c r="LCU4" s="1115"/>
      <c r="LCV4" s="1115"/>
      <c r="LCW4" s="1115"/>
      <c r="LCX4" s="1115"/>
      <c r="LCY4" s="1115"/>
      <c r="LCZ4" s="1115"/>
      <c r="LDA4" s="1115"/>
      <c r="LDB4" s="1115"/>
      <c r="LDC4" s="1115"/>
      <c r="LDD4" s="1115"/>
      <c r="LDE4" s="1115"/>
      <c r="LDF4" s="1115"/>
      <c r="LDG4" s="1115"/>
      <c r="LDH4" s="1115"/>
      <c r="LDI4" s="1115"/>
      <c r="LDJ4" s="1115"/>
      <c r="LDK4" s="1115"/>
      <c r="LDL4" s="1115"/>
      <c r="LDM4" s="1115"/>
      <c r="LDN4" s="1115"/>
      <c r="LDO4" s="1115"/>
      <c r="LDP4" s="1115"/>
      <c r="LDQ4" s="1115"/>
      <c r="LDR4" s="1115"/>
      <c r="LDS4" s="1115"/>
      <c r="LDT4" s="1115"/>
      <c r="LDU4" s="1115"/>
      <c r="LDV4" s="1115"/>
      <c r="LDW4" s="1115"/>
      <c r="LDX4" s="1115"/>
      <c r="LDY4" s="1115"/>
      <c r="LDZ4" s="1115"/>
      <c r="LEA4" s="1115"/>
      <c r="LEB4" s="1115"/>
      <c r="LEC4" s="1115"/>
      <c r="LED4" s="1115"/>
      <c r="LEE4" s="1115"/>
      <c r="LEF4" s="1115"/>
      <c r="LEG4" s="1115"/>
      <c r="LEH4" s="1115"/>
      <c r="LEI4" s="1115"/>
      <c r="LEJ4" s="1115"/>
      <c r="LEK4" s="1115"/>
      <c r="LEL4" s="1115"/>
      <c r="LEM4" s="1115"/>
      <c r="LEN4" s="1115"/>
      <c r="LEO4" s="1115"/>
      <c r="LEP4" s="1115"/>
      <c r="LEQ4" s="1115"/>
      <c r="LER4" s="1115"/>
      <c r="LES4" s="1115"/>
      <c r="LET4" s="1115"/>
      <c r="LEU4" s="1115"/>
      <c r="LEV4" s="1115"/>
      <c r="LEW4" s="1115"/>
      <c r="LEX4" s="1115"/>
      <c r="LEY4" s="1115"/>
      <c r="LEZ4" s="1115"/>
      <c r="LFA4" s="1115"/>
      <c r="LFB4" s="1115"/>
      <c r="LFC4" s="1115"/>
      <c r="LFD4" s="1115"/>
      <c r="LFE4" s="1115"/>
      <c r="LFF4" s="1115"/>
      <c r="LFG4" s="1115"/>
      <c r="LFH4" s="1115"/>
      <c r="LFI4" s="1115"/>
      <c r="LFJ4" s="1115"/>
      <c r="LFK4" s="1115"/>
      <c r="LFL4" s="1115"/>
      <c r="LFM4" s="1115"/>
      <c r="LFN4" s="1115"/>
      <c r="LFO4" s="1115"/>
      <c r="LFP4" s="1115"/>
      <c r="LFQ4" s="1115"/>
      <c r="LFR4" s="1115"/>
      <c r="LFS4" s="1115"/>
      <c r="LFT4" s="1115"/>
      <c r="LFU4" s="1115"/>
      <c r="LFV4" s="1115"/>
      <c r="LFW4" s="1115"/>
      <c r="LFX4" s="1115"/>
      <c r="LFY4" s="1115"/>
      <c r="LFZ4" s="1115"/>
      <c r="LGA4" s="1115"/>
      <c r="LGB4" s="1115"/>
      <c r="LGC4" s="1115"/>
      <c r="LGD4" s="1115"/>
      <c r="LGE4" s="1115"/>
      <c r="LGF4" s="1115"/>
      <c r="LGG4" s="1115"/>
      <c r="LGH4" s="1115"/>
      <c r="LGI4" s="1115"/>
      <c r="LGJ4" s="1115"/>
      <c r="LGK4" s="1115"/>
      <c r="LGL4" s="1115"/>
      <c r="LGM4" s="1115"/>
      <c r="LGN4" s="1115"/>
      <c r="LGO4" s="1115"/>
      <c r="LGP4" s="1115"/>
      <c r="LGQ4" s="1115"/>
      <c r="LGR4" s="1115"/>
      <c r="LGS4" s="1115"/>
      <c r="LGT4" s="1115"/>
      <c r="LGU4" s="1115"/>
      <c r="LGV4" s="1115"/>
      <c r="LGW4" s="1115"/>
      <c r="LGX4" s="1115"/>
      <c r="LGY4" s="1115"/>
      <c r="LGZ4" s="1115"/>
      <c r="LHA4" s="1115"/>
      <c r="LHB4" s="1115"/>
      <c r="LHC4" s="1115"/>
      <c r="LHD4" s="1115"/>
      <c r="LHE4" s="1115"/>
      <c r="LHF4" s="1115"/>
      <c r="LHG4" s="1115"/>
      <c r="LHH4" s="1115"/>
      <c r="LHI4" s="1115"/>
      <c r="LHJ4" s="1115"/>
      <c r="LHK4" s="1115"/>
      <c r="LHL4" s="1115"/>
      <c r="LHM4" s="1115"/>
      <c r="LHN4" s="1115"/>
      <c r="LHO4" s="1115"/>
      <c r="LHP4" s="1115"/>
      <c r="LHQ4" s="1115"/>
      <c r="LHR4" s="1115"/>
      <c r="LHS4" s="1115"/>
      <c r="LHT4" s="1115"/>
      <c r="LHU4" s="1115"/>
      <c r="LHV4" s="1115"/>
      <c r="LHW4" s="1115"/>
      <c r="LHX4" s="1115"/>
      <c r="LHY4" s="1115"/>
      <c r="LHZ4" s="1115"/>
      <c r="LIA4" s="1115"/>
      <c r="LIB4" s="1115"/>
      <c r="LIC4" s="1115"/>
      <c r="LID4" s="1115"/>
      <c r="LIE4" s="1115"/>
      <c r="LIF4" s="1115"/>
      <c r="LIG4" s="1115"/>
      <c r="LIH4" s="1115"/>
      <c r="LII4" s="1115"/>
      <c r="LIJ4" s="1115"/>
      <c r="LIK4" s="1115"/>
      <c r="LIL4" s="1115"/>
      <c r="LIM4" s="1115"/>
      <c r="LIN4" s="1115"/>
      <c r="LIO4" s="1115"/>
      <c r="LIP4" s="1115"/>
      <c r="LIQ4" s="1115"/>
      <c r="LIR4" s="1115"/>
      <c r="LIS4" s="1115"/>
      <c r="LIT4" s="1115"/>
      <c r="LIU4" s="1115"/>
      <c r="LIV4" s="1115"/>
      <c r="LIW4" s="1115"/>
      <c r="LIX4" s="1115"/>
      <c r="LIY4" s="1115"/>
      <c r="LIZ4" s="1115"/>
      <c r="LJA4" s="1115"/>
      <c r="LJB4" s="1115"/>
      <c r="LJC4" s="1115"/>
      <c r="LJD4" s="1115"/>
      <c r="LJE4" s="1115"/>
      <c r="LJF4" s="1115"/>
      <c r="LJG4" s="1115"/>
      <c r="LJH4" s="1115"/>
      <c r="LJI4" s="1115"/>
      <c r="LJJ4" s="1115"/>
      <c r="LJK4" s="1115"/>
      <c r="LJL4" s="1115"/>
      <c r="LJM4" s="1115"/>
      <c r="LJN4" s="1115"/>
      <c r="LJO4" s="1115"/>
      <c r="LJP4" s="1115"/>
      <c r="LJQ4" s="1115"/>
      <c r="LJR4" s="1115"/>
      <c r="LJS4" s="1115"/>
      <c r="LJT4" s="1115"/>
      <c r="LJU4" s="1115"/>
      <c r="LJV4" s="1115"/>
      <c r="LJW4" s="1115"/>
      <c r="LJX4" s="1115"/>
      <c r="LJY4" s="1115"/>
      <c r="LJZ4" s="1115"/>
      <c r="LKA4" s="1115"/>
      <c r="LKB4" s="1115"/>
      <c r="LKC4" s="1115"/>
      <c r="LKD4" s="1115"/>
      <c r="LKE4" s="1115"/>
      <c r="LKF4" s="1115"/>
      <c r="LKG4" s="1115"/>
      <c r="LKH4" s="1115"/>
      <c r="LKI4" s="1115"/>
      <c r="LKJ4" s="1115"/>
      <c r="LKK4" s="1115"/>
      <c r="LKL4" s="1115"/>
      <c r="LKM4" s="1115"/>
      <c r="LKN4" s="1115"/>
      <c r="LKO4" s="1115"/>
      <c r="LKP4" s="1115"/>
      <c r="LKQ4" s="1115"/>
      <c r="LKR4" s="1115"/>
      <c r="LKS4" s="1115"/>
      <c r="LKT4" s="1115"/>
      <c r="LKU4" s="1115"/>
      <c r="LKV4" s="1115"/>
      <c r="LKW4" s="1115"/>
      <c r="LKX4" s="1115"/>
      <c r="LKY4" s="1115"/>
      <c r="LKZ4" s="1115"/>
      <c r="LLA4" s="1115"/>
      <c r="LLB4" s="1115"/>
      <c r="LLC4" s="1115"/>
      <c r="LLD4" s="1115"/>
      <c r="LLE4" s="1115"/>
      <c r="LLF4" s="1115"/>
      <c r="LLG4" s="1115"/>
      <c r="LLH4" s="1115"/>
      <c r="LLI4" s="1115"/>
      <c r="LLJ4" s="1115"/>
      <c r="LLK4" s="1115"/>
      <c r="LLL4" s="1115"/>
      <c r="LLM4" s="1115"/>
      <c r="LLN4" s="1115"/>
      <c r="LLO4" s="1115"/>
      <c r="LLP4" s="1115"/>
      <c r="LLQ4" s="1115"/>
      <c r="LLR4" s="1115"/>
      <c r="LLS4" s="1115"/>
      <c r="LLT4" s="1115"/>
      <c r="LLU4" s="1115"/>
      <c r="LLV4" s="1115"/>
      <c r="LLW4" s="1115"/>
      <c r="LLX4" s="1115"/>
      <c r="LLY4" s="1115"/>
      <c r="LLZ4" s="1115"/>
      <c r="LMA4" s="1115"/>
      <c r="LMB4" s="1115"/>
      <c r="LMC4" s="1115"/>
      <c r="LMD4" s="1115"/>
      <c r="LME4" s="1115"/>
      <c r="LMF4" s="1115"/>
      <c r="LMG4" s="1115"/>
      <c r="LMH4" s="1115"/>
      <c r="LMI4" s="1115"/>
      <c r="LMJ4" s="1115"/>
      <c r="LMK4" s="1115"/>
      <c r="LML4" s="1115"/>
      <c r="LMM4" s="1115"/>
      <c r="LMN4" s="1115"/>
      <c r="LMO4" s="1115"/>
      <c r="LMP4" s="1115"/>
      <c r="LMQ4" s="1115"/>
      <c r="LMR4" s="1115"/>
      <c r="LMS4" s="1115"/>
      <c r="LMT4" s="1115"/>
      <c r="LMU4" s="1115"/>
      <c r="LMV4" s="1115"/>
      <c r="LMW4" s="1115"/>
      <c r="LMX4" s="1115"/>
      <c r="LMY4" s="1115"/>
      <c r="LMZ4" s="1115"/>
      <c r="LNA4" s="1115"/>
      <c r="LNB4" s="1115"/>
      <c r="LNC4" s="1115"/>
      <c r="LND4" s="1115"/>
      <c r="LNE4" s="1115"/>
      <c r="LNF4" s="1115"/>
      <c r="LNG4" s="1115"/>
      <c r="LNH4" s="1115"/>
      <c r="LNI4" s="1115"/>
      <c r="LNJ4" s="1115"/>
      <c r="LNK4" s="1115"/>
      <c r="LNL4" s="1115"/>
      <c r="LNM4" s="1115"/>
      <c r="LNN4" s="1115"/>
      <c r="LNO4" s="1115"/>
      <c r="LNP4" s="1115"/>
      <c r="LNQ4" s="1115"/>
      <c r="LNR4" s="1115"/>
      <c r="LNS4" s="1115"/>
      <c r="LNT4" s="1115"/>
      <c r="LNU4" s="1115"/>
      <c r="LNV4" s="1115"/>
      <c r="LNW4" s="1115"/>
      <c r="LNX4" s="1115"/>
      <c r="LNY4" s="1115"/>
      <c r="LNZ4" s="1115"/>
      <c r="LOA4" s="1115"/>
      <c r="LOB4" s="1115"/>
      <c r="LOC4" s="1115"/>
      <c r="LOD4" s="1115"/>
      <c r="LOE4" s="1115"/>
      <c r="LOF4" s="1115"/>
      <c r="LOG4" s="1115"/>
      <c r="LOH4" s="1115"/>
      <c r="LOI4" s="1115"/>
      <c r="LOJ4" s="1115"/>
      <c r="LOK4" s="1115"/>
      <c r="LOL4" s="1115"/>
      <c r="LOM4" s="1115"/>
      <c r="LON4" s="1115"/>
      <c r="LOO4" s="1115"/>
      <c r="LOP4" s="1115"/>
      <c r="LOQ4" s="1115"/>
      <c r="LOR4" s="1115"/>
      <c r="LOS4" s="1115"/>
      <c r="LOT4" s="1115"/>
      <c r="LOU4" s="1115"/>
      <c r="LOV4" s="1115"/>
      <c r="LOW4" s="1115"/>
      <c r="LOX4" s="1115"/>
      <c r="LOY4" s="1115"/>
      <c r="LOZ4" s="1115"/>
      <c r="LPA4" s="1115"/>
      <c r="LPB4" s="1115"/>
      <c r="LPC4" s="1115"/>
      <c r="LPD4" s="1115"/>
      <c r="LPE4" s="1115"/>
      <c r="LPF4" s="1115"/>
      <c r="LPG4" s="1115"/>
      <c r="LPH4" s="1115"/>
      <c r="LPI4" s="1115"/>
      <c r="LPJ4" s="1115"/>
      <c r="LPK4" s="1115"/>
      <c r="LPL4" s="1115"/>
      <c r="LPM4" s="1115"/>
      <c r="LPN4" s="1115"/>
      <c r="LPO4" s="1115"/>
      <c r="LPP4" s="1115"/>
      <c r="LPQ4" s="1115"/>
      <c r="LPR4" s="1115"/>
      <c r="LPS4" s="1115"/>
      <c r="LPT4" s="1115"/>
      <c r="LPU4" s="1115"/>
      <c r="LPV4" s="1115"/>
      <c r="LPW4" s="1115"/>
      <c r="LPX4" s="1115"/>
      <c r="LPY4" s="1115"/>
      <c r="LPZ4" s="1115"/>
      <c r="LQA4" s="1115"/>
      <c r="LQB4" s="1115"/>
      <c r="LQC4" s="1115"/>
      <c r="LQD4" s="1115"/>
      <c r="LQE4" s="1115"/>
      <c r="LQF4" s="1115"/>
      <c r="LQG4" s="1115"/>
      <c r="LQH4" s="1115"/>
      <c r="LQI4" s="1115"/>
      <c r="LQJ4" s="1115"/>
      <c r="LQK4" s="1115"/>
      <c r="LQL4" s="1115"/>
      <c r="LQM4" s="1115"/>
      <c r="LQN4" s="1115"/>
      <c r="LQO4" s="1115"/>
      <c r="LQP4" s="1115"/>
      <c r="LQQ4" s="1115"/>
      <c r="LQR4" s="1115"/>
      <c r="LQS4" s="1115"/>
      <c r="LQT4" s="1115"/>
      <c r="LQU4" s="1115"/>
      <c r="LQV4" s="1115"/>
      <c r="LQW4" s="1115"/>
      <c r="LQX4" s="1115"/>
      <c r="LQY4" s="1115"/>
      <c r="LQZ4" s="1115"/>
      <c r="LRA4" s="1115"/>
      <c r="LRB4" s="1115"/>
      <c r="LRC4" s="1115"/>
      <c r="LRD4" s="1115"/>
      <c r="LRE4" s="1115"/>
      <c r="LRF4" s="1115"/>
      <c r="LRG4" s="1115"/>
      <c r="LRH4" s="1115"/>
      <c r="LRI4" s="1115"/>
      <c r="LRJ4" s="1115"/>
      <c r="LRK4" s="1115"/>
      <c r="LRL4" s="1115"/>
      <c r="LRM4" s="1115"/>
      <c r="LRN4" s="1115"/>
      <c r="LRO4" s="1115"/>
      <c r="LRP4" s="1115"/>
      <c r="LRQ4" s="1115"/>
      <c r="LRR4" s="1115"/>
      <c r="LRS4" s="1115"/>
      <c r="LRT4" s="1115"/>
      <c r="LRU4" s="1115"/>
      <c r="LRV4" s="1115"/>
      <c r="LRW4" s="1115"/>
      <c r="LRX4" s="1115"/>
      <c r="LRY4" s="1115"/>
      <c r="LRZ4" s="1115"/>
      <c r="LSA4" s="1115"/>
      <c r="LSB4" s="1115"/>
      <c r="LSC4" s="1115"/>
      <c r="LSD4" s="1115"/>
      <c r="LSE4" s="1115"/>
      <c r="LSF4" s="1115"/>
      <c r="LSG4" s="1115"/>
      <c r="LSH4" s="1115"/>
      <c r="LSI4" s="1115"/>
      <c r="LSJ4" s="1115"/>
      <c r="LSK4" s="1115"/>
      <c r="LSL4" s="1115"/>
      <c r="LSM4" s="1115"/>
      <c r="LSN4" s="1115"/>
      <c r="LSO4" s="1115"/>
      <c r="LSP4" s="1115"/>
      <c r="LSQ4" s="1115"/>
      <c r="LSR4" s="1115"/>
      <c r="LSS4" s="1115"/>
      <c r="LST4" s="1115"/>
      <c r="LSU4" s="1115"/>
      <c r="LSV4" s="1115"/>
      <c r="LSW4" s="1115"/>
      <c r="LSX4" s="1115"/>
      <c r="LSY4" s="1115"/>
      <c r="LSZ4" s="1115"/>
      <c r="LTA4" s="1115"/>
      <c r="LTB4" s="1115"/>
      <c r="LTC4" s="1115"/>
      <c r="LTD4" s="1115"/>
      <c r="LTE4" s="1115"/>
      <c r="LTF4" s="1115"/>
      <c r="LTG4" s="1115"/>
      <c r="LTH4" s="1115"/>
      <c r="LTI4" s="1115"/>
      <c r="LTJ4" s="1115"/>
      <c r="LTK4" s="1115"/>
      <c r="LTL4" s="1115"/>
      <c r="LTM4" s="1115"/>
      <c r="LTN4" s="1115"/>
      <c r="LTO4" s="1115"/>
      <c r="LTP4" s="1115"/>
      <c r="LTQ4" s="1115"/>
      <c r="LTR4" s="1115"/>
      <c r="LTS4" s="1115"/>
      <c r="LTT4" s="1115"/>
      <c r="LTU4" s="1115"/>
      <c r="LTV4" s="1115"/>
      <c r="LTW4" s="1115"/>
      <c r="LTX4" s="1115"/>
      <c r="LTY4" s="1115"/>
      <c r="LTZ4" s="1115"/>
      <c r="LUA4" s="1115"/>
      <c r="LUB4" s="1115"/>
      <c r="LUC4" s="1115"/>
      <c r="LUD4" s="1115"/>
      <c r="LUE4" s="1115"/>
      <c r="LUF4" s="1115"/>
      <c r="LUG4" s="1115"/>
      <c r="LUH4" s="1115"/>
      <c r="LUI4" s="1115"/>
      <c r="LUJ4" s="1115"/>
      <c r="LUK4" s="1115"/>
      <c r="LUL4" s="1115"/>
      <c r="LUM4" s="1115"/>
      <c r="LUN4" s="1115"/>
      <c r="LUO4" s="1115"/>
      <c r="LUP4" s="1115"/>
      <c r="LUQ4" s="1115"/>
      <c r="LUR4" s="1115"/>
      <c r="LUS4" s="1115"/>
      <c r="LUT4" s="1115"/>
      <c r="LUU4" s="1115"/>
      <c r="LUV4" s="1115"/>
      <c r="LUW4" s="1115"/>
      <c r="LUX4" s="1115"/>
      <c r="LUY4" s="1115"/>
      <c r="LUZ4" s="1115"/>
      <c r="LVA4" s="1115"/>
      <c r="LVB4" s="1115"/>
      <c r="LVC4" s="1115"/>
      <c r="LVD4" s="1115"/>
      <c r="LVE4" s="1115"/>
      <c r="LVF4" s="1115"/>
      <c r="LVG4" s="1115"/>
      <c r="LVH4" s="1115"/>
      <c r="LVI4" s="1115"/>
      <c r="LVJ4" s="1115"/>
      <c r="LVK4" s="1115"/>
      <c r="LVL4" s="1115"/>
      <c r="LVM4" s="1115"/>
      <c r="LVN4" s="1115"/>
      <c r="LVO4" s="1115"/>
      <c r="LVP4" s="1115"/>
      <c r="LVQ4" s="1115"/>
      <c r="LVR4" s="1115"/>
      <c r="LVS4" s="1115"/>
      <c r="LVT4" s="1115"/>
      <c r="LVU4" s="1115"/>
      <c r="LVV4" s="1115"/>
      <c r="LVW4" s="1115"/>
      <c r="LVX4" s="1115"/>
      <c r="LVY4" s="1115"/>
      <c r="LVZ4" s="1115"/>
      <c r="LWA4" s="1115"/>
      <c r="LWB4" s="1115"/>
      <c r="LWC4" s="1115"/>
      <c r="LWD4" s="1115"/>
      <c r="LWE4" s="1115"/>
      <c r="LWF4" s="1115"/>
      <c r="LWG4" s="1115"/>
      <c r="LWH4" s="1115"/>
      <c r="LWI4" s="1115"/>
      <c r="LWJ4" s="1115"/>
      <c r="LWK4" s="1115"/>
      <c r="LWL4" s="1115"/>
      <c r="LWM4" s="1115"/>
      <c r="LWN4" s="1115"/>
      <c r="LWO4" s="1115"/>
      <c r="LWP4" s="1115"/>
      <c r="LWQ4" s="1115"/>
      <c r="LWR4" s="1115"/>
      <c r="LWS4" s="1115"/>
      <c r="LWT4" s="1115"/>
      <c r="LWU4" s="1115"/>
      <c r="LWV4" s="1115"/>
      <c r="LWW4" s="1115"/>
      <c r="LWX4" s="1115"/>
      <c r="LWY4" s="1115"/>
      <c r="LWZ4" s="1115"/>
      <c r="LXA4" s="1115"/>
      <c r="LXB4" s="1115"/>
      <c r="LXC4" s="1115"/>
      <c r="LXD4" s="1115"/>
      <c r="LXE4" s="1115"/>
      <c r="LXF4" s="1115"/>
      <c r="LXG4" s="1115"/>
      <c r="LXH4" s="1115"/>
      <c r="LXI4" s="1115"/>
      <c r="LXJ4" s="1115"/>
      <c r="LXK4" s="1115"/>
      <c r="LXL4" s="1115"/>
      <c r="LXM4" s="1115"/>
      <c r="LXN4" s="1115"/>
      <c r="LXO4" s="1115"/>
      <c r="LXP4" s="1115"/>
      <c r="LXQ4" s="1115"/>
      <c r="LXR4" s="1115"/>
      <c r="LXS4" s="1115"/>
      <c r="LXT4" s="1115"/>
      <c r="LXU4" s="1115"/>
      <c r="LXV4" s="1115"/>
      <c r="LXW4" s="1115"/>
      <c r="LXX4" s="1115"/>
      <c r="LXY4" s="1115"/>
      <c r="LXZ4" s="1115"/>
      <c r="LYA4" s="1115"/>
      <c r="LYB4" s="1115"/>
      <c r="LYC4" s="1115"/>
      <c r="LYD4" s="1115"/>
      <c r="LYE4" s="1115"/>
      <c r="LYF4" s="1115"/>
      <c r="LYG4" s="1115"/>
      <c r="LYH4" s="1115"/>
      <c r="LYI4" s="1115"/>
      <c r="LYJ4" s="1115"/>
      <c r="LYK4" s="1115"/>
      <c r="LYL4" s="1115"/>
      <c r="LYM4" s="1115"/>
      <c r="LYN4" s="1115"/>
      <c r="LYO4" s="1115"/>
      <c r="LYP4" s="1115"/>
      <c r="LYQ4" s="1115"/>
      <c r="LYR4" s="1115"/>
      <c r="LYS4" s="1115"/>
      <c r="LYT4" s="1115"/>
      <c r="LYU4" s="1115"/>
      <c r="LYV4" s="1115"/>
      <c r="LYW4" s="1115"/>
      <c r="LYX4" s="1115"/>
      <c r="LYY4" s="1115"/>
      <c r="LYZ4" s="1115"/>
      <c r="LZA4" s="1115"/>
      <c r="LZB4" s="1115"/>
      <c r="LZC4" s="1115"/>
      <c r="LZD4" s="1115"/>
      <c r="LZE4" s="1115"/>
      <c r="LZF4" s="1115"/>
      <c r="LZG4" s="1115"/>
      <c r="LZH4" s="1115"/>
      <c r="LZI4" s="1115"/>
      <c r="LZJ4" s="1115"/>
      <c r="LZK4" s="1115"/>
      <c r="LZL4" s="1115"/>
      <c r="LZM4" s="1115"/>
      <c r="LZN4" s="1115"/>
      <c r="LZO4" s="1115"/>
      <c r="LZP4" s="1115"/>
      <c r="LZQ4" s="1115"/>
      <c r="LZR4" s="1115"/>
      <c r="LZS4" s="1115"/>
      <c r="LZT4" s="1115"/>
      <c r="LZU4" s="1115"/>
      <c r="LZV4" s="1115"/>
      <c r="LZW4" s="1115"/>
      <c r="LZX4" s="1115"/>
      <c r="LZY4" s="1115"/>
      <c r="LZZ4" s="1115"/>
      <c r="MAA4" s="1115"/>
      <c r="MAB4" s="1115"/>
      <c r="MAC4" s="1115"/>
      <c r="MAD4" s="1115"/>
      <c r="MAE4" s="1115"/>
      <c r="MAF4" s="1115"/>
      <c r="MAG4" s="1115"/>
      <c r="MAH4" s="1115"/>
      <c r="MAI4" s="1115"/>
      <c r="MAJ4" s="1115"/>
      <c r="MAK4" s="1115"/>
      <c r="MAL4" s="1115"/>
      <c r="MAM4" s="1115"/>
      <c r="MAN4" s="1115"/>
      <c r="MAO4" s="1115"/>
      <c r="MAP4" s="1115"/>
      <c r="MAQ4" s="1115"/>
      <c r="MAR4" s="1115"/>
      <c r="MAS4" s="1115"/>
      <c r="MAT4" s="1115"/>
      <c r="MAU4" s="1115"/>
      <c r="MAV4" s="1115"/>
      <c r="MAW4" s="1115"/>
      <c r="MAX4" s="1115"/>
      <c r="MAY4" s="1115"/>
      <c r="MAZ4" s="1115"/>
      <c r="MBA4" s="1115"/>
      <c r="MBB4" s="1115"/>
      <c r="MBC4" s="1115"/>
      <c r="MBD4" s="1115"/>
      <c r="MBE4" s="1115"/>
      <c r="MBF4" s="1115"/>
      <c r="MBG4" s="1115"/>
      <c r="MBH4" s="1115"/>
      <c r="MBI4" s="1115"/>
      <c r="MBJ4" s="1115"/>
      <c r="MBK4" s="1115"/>
      <c r="MBL4" s="1115"/>
      <c r="MBM4" s="1115"/>
      <c r="MBN4" s="1115"/>
      <c r="MBO4" s="1115"/>
      <c r="MBP4" s="1115"/>
      <c r="MBQ4" s="1115"/>
      <c r="MBR4" s="1115"/>
      <c r="MBS4" s="1115"/>
      <c r="MBT4" s="1115"/>
      <c r="MBU4" s="1115"/>
      <c r="MBV4" s="1115"/>
      <c r="MBW4" s="1115"/>
      <c r="MBX4" s="1115"/>
      <c r="MBY4" s="1115"/>
      <c r="MBZ4" s="1115"/>
      <c r="MCA4" s="1115"/>
      <c r="MCB4" s="1115"/>
      <c r="MCC4" s="1115"/>
      <c r="MCD4" s="1115"/>
      <c r="MCE4" s="1115"/>
      <c r="MCF4" s="1115"/>
      <c r="MCG4" s="1115"/>
      <c r="MCH4" s="1115"/>
      <c r="MCI4" s="1115"/>
      <c r="MCJ4" s="1115"/>
      <c r="MCK4" s="1115"/>
      <c r="MCL4" s="1115"/>
      <c r="MCM4" s="1115"/>
      <c r="MCN4" s="1115"/>
      <c r="MCO4" s="1115"/>
      <c r="MCP4" s="1115"/>
      <c r="MCQ4" s="1115"/>
      <c r="MCR4" s="1115"/>
      <c r="MCS4" s="1115"/>
      <c r="MCT4" s="1115"/>
      <c r="MCU4" s="1115"/>
      <c r="MCV4" s="1115"/>
      <c r="MCW4" s="1115"/>
      <c r="MCX4" s="1115"/>
      <c r="MCY4" s="1115"/>
      <c r="MCZ4" s="1115"/>
      <c r="MDA4" s="1115"/>
      <c r="MDB4" s="1115"/>
      <c r="MDC4" s="1115"/>
      <c r="MDD4" s="1115"/>
      <c r="MDE4" s="1115"/>
      <c r="MDF4" s="1115"/>
      <c r="MDG4" s="1115"/>
      <c r="MDH4" s="1115"/>
      <c r="MDI4" s="1115"/>
      <c r="MDJ4" s="1115"/>
      <c r="MDK4" s="1115"/>
      <c r="MDL4" s="1115"/>
      <c r="MDM4" s="1115"/>
      <c r="MDN4" s="1115"/>
      <c r="MDO4" s="1115"/>
      <c r="MDP4" s="1115"/>
      <c r="MDQ4" s="1115"/>
      <c r="MDR4" s="1115"/>
      <c r="MDS4" s="1115"/>
      <c r="MDT4" s="1115"/>
      <c r="MDU4" s="1115"/>
      <c r="MDV4" s="1115"/>
      <c r="MDW4" s="1115"/>
      <c r="MDX4" s="1115"/>
      <c r="MDY4" s="1115"/>
      <c r="MDZ4" s="1115"/>
      <c r="MEA4" s="1115"/>
      <c r="MEB4" s="1115"/>
      <c r="MEC4" s="1115"/>
      <c r="MED4" s="1115"/>
      <c r="MEE4" s="1115"/>
      <c r="MEF4" s="1115"/>
      <c r="MEG4" s="1115"/>
      <c r="MEH4" s="1115"/>
      <c r="MEI4" s="1115"/>
      <c r="MEJ4" s="1115"/>
      <c r="MEK4" s="1115"/>
      <c r="MEL4" s="1115"/>
      <c r="MEM4" s="1115"/>
      <c r="MEN4" s="1115"/>
      <c r="MEO4" s="1115"/>
      <c r="MEP4" s="1115"/>
      <c r="MEQ4" s="1115"/>
      <c r="MER4" s="1115"/>
      <c r="MES4" s="1115"/>
      <c r="MET4" s="1115"/>
      <c r="MEU4" s="1115"/>
      <c r="MEV4" s="1115"/>
      <c r="MEW4" s="1115"/>
      <c r="MEX4" s="1115"/>
      <c r="MEY4" s="1115"/>
      <c r="MEZ4" s="1115"/>
      <c r="MFA4" s="1115"/>
      <c r="MFB4" s="1115"/>
      <c r="MFC4" s="1115"/>
      <c r="MFD4" s="1115"/>
      <c r="MFE4" s="1115"/>
      <c r="MFF4" s="1115"/>
      <c r="MFG4" s="1115"/>
      <c r="MFH4" s="1115"/>
      <c r="MFI4" s="1115"/>
      <c r="MFJ4" s="1115"/>
      <c r="MFK4" s="1115"/>
      <c r="MFL4" s="1115"/>
      <c r="MFM4" s="1115"/>
      <c r="MFN4" s="1115"/>
      <c r="MFO4" s="1115"/>
      <c r="MFP4" s="1115"/>
      <c r="MFQ4" s="1115"/>
      <c r="MFR4" s="1115"/>
      <c r="MFS4" s="1115"/>
      <c r="MFT4" s="1115"/>
      <c r="MFU4" s="1115"/>
      <c r="MFV4" s="1115"/>
      <c r="MFW4" s="1115"/>
      <c r="MFX4" s="1115"/>
      <c r="MFY4" s="1115"/>
      <c r="MFZ4" s="1115"/>
      <c r="MGA4" s="1115"/>
      <c r="MGB4" s="1115"/>
      <c r="MGC4" s="1115"/>
      <c r="MGD4" s="1115"/>
      <c r="MGE4" s="1115"/>
      <c r="MGF4" s="1115"/>
      <c r="MGG4" s="1115"/>
      <c r="MGH4" s="1115"/>
      <c r="MGI4" s="1115"/>
      <c r="MGJ4" s="1115"/>
      <c r="MGK4" s="1115"/>
      <c r="MGL4" s="1115"/>
      <c r="MGM4" s="1115"/>
      <c r="MGN4" s="1115"/>
      <c r="MGO4" s="1115"/>
      <c r="MGP4" s="1115"/>
      <c r="MGQ4" s="1115"/>
      <c r="MGR4" s="1115"/>
      <c r="MGS4" s="1115"/>
      <c r="MGT4" s="1115"/>
      <c r="MGU4" s="1115"/>
      <c r="MGV4" s="1115"/>
      <c r="MGW4" s="1115"/>
      <c r="MGX4" s="1115"/>
      <c r="MGY4" s="1115"/>
      <c r="MGZ4" s="1115"/>
      <c r="MHA4" s="1115"/>
      <c r="MHB4" s="1115"/>
      <c r="MHC4" s="1115"/>
      <c r="MHD4" s="1115"/>
      <c r="MHE4" s="1115"/>
      <c r="MHF4" s="1115"/>
      <c r="MHG4" s="1115"/>
      <c r="MHH4" s="1115"/>
      <c r="MHI4" s="1115"/>
      <c r="MHJ4" s="1115"/>
      <c r="MHK4" s="1115"/>
      <c r="MHL4" s="1115"/>
      <c r="MHM4" s="1115"/>
      <c r="MHN4" s="1115"/>
      <c r="MHO4" s="1115"/>
      <c r="MHP4" s="1115"/>
      <c r="MHQ4" s="1115"/>
      <c r="MHR4" s="1115"/>
      <c r="MHS4" s="1115"/>
      <c r="MHT4" s="1115"/>
      <c r="MHU4" s="1115"/>
      <c r="MHV4" s="1115"/>
      <c r="MHW4" s="1115"/>
      <c r="MHX4" s="1115"/>
      <c r="MHY4" s="1115"/>
      <c r="MHZ4" s="1115"/>
      <c r="MIA4" s="1115"/>
      <c r="MIB4" s="1115"/>
      <c r="MIC4" s="1115"/>
      <c r="MID4" s="1115"/>
      <c r="MIE4" s="1115"/>
      <c r="MIF4" s="1115"/>
      <c r="MIG4" s="1115"/>
      <c r="MIH4" s="1115"/>
      <c r="MII4" s="1115"/>
      <c r="MIJ4" s="1115"/>
      <c r="MIK4" s="1115"/>
      <c r="MIL4" s="1115"/>
      <c r="MIM4" s="1115"/>
      <c r="MIN4" s="1115"/>
      <c r="MIO4" s="1115"/>
      <c r="MIP4" s="1115"/>
      <c r="MIQ4" s="1115"/>
      <c r="MIR4" s="1115"/>
      <c r="MIS4" s="1115"/>
      <c r="MIT4" s="1115"/>
      <c r="MIU4" s="1115"/>
      <c r="MIV4" s="1115"/>
      <c r="MIW4" s="1115"/>
      <c r="MIX4" s="1115"/>
      <c r="MIY4" s="1115"/>
      <c r="MIZ4" s="1115"/>
      <c r="MJA4" s="1115"/>
      <c r="MJB4" s="1115"/>
      <c r="MJC4" s="1115"/>
      <c r="MJD4" s="1115"/>
      <c r="MJE4" s="1115"/>
      <c r="MJF4" s="1115"/>
      <c r="MJG4" s="1115"/>
      <c r="MJH4" s="1115"/>
      <c r="MJI4" s="1115"/>
      <c r="MJJ4" s="1115"/>
      <c r="MJK4" s="1115"/>
      <c r="MJL4" s="1115"/>
      <c r="MJM4" s="1115"/>
      <c r="MJN4" s="1115"/>
      <c r="MJO4" s="1115"/>
      <c r="MJP4" s="1115"/>
      <c r="MJQ4" s="1115"/>
      <c r="MJR4" s="1115"/>
      <c r="MJS4" s="1115"/>
      <c r="MJT4" s="1115"/>
      <c r="MJU4" s="1115"/>
      <c r="MJV4" s="1115"/>
      <c r="MJW4" s="1115"/>
      <c r="MJX4" s="1115"/>
      <c r="MJY4" s="1115"/>
      <c r="MJZ4" s="1115"/>
      <c r="MKA4" s="1115"/>
      <c r="MKB4" s="1115"/>
      <c r="MKC4" s="1115"/>
      <c r="MKD4" s="1115"/>
      <c r="MKE4" s="1115"/>
      <c r="MKF4" s="1115"/>
      <c r="MKG4" s="1115"/>
      <c r="MKH4" s="1115"/>
      <c r="MKI4" s="1115"/>
      <c r="MKJ4" s="1115"/>
      <c r="MKK4" s="1115"/>
      <c r="MKL4" s="1115"/>
      <c r="MKM4" s="1115"/>
      <c r="MKN4" s="1115"/>
      <c r="MKO4" s="1115"/>
      <c r="MKP4" s="1115"/>
      <c r="MKQ4" s="1115"/>
      <c r="MKR4" s="1115"/>
      <c r="MKS4" s="1115"/>
      <c r="MKT4" s="1115"/>
      <c r="MKU4" s="1115"/>
      <c r="MKV4" s="1115"/>
      <c r="MKW4" s="1115"/>
      <c r="MKX4" s="1115"/>
      <c r="MKY4" s="1115"/>
      <c r="MKZ4" s="1115"/>
      <c r="MLA4" s="1115"/>
      <c r="MLB4" s="1115"/>
      <c r="MLC4" s="1115"/>
      <c r="MLD4" s="1115"/>
      <c r="MLE4" s="1115"/>
      <c r="MLF4" s="1115"/>
      <c r="MLG4" s="1115"/>
      <c r="MLH4" s="1115"/>
      <c r="MLI4" s="1115"/>
      <c r="MLJ4" s="1115"/>
      <c r="MLK4" s="1115"/>
      <c r="MLL4" s="1115"/>
      <c r="MLM4" s="1115"/>
      <c r="MLN4" s="1115"/>
      <c r="MLO4" s="1115"/>
      <c r="MLP4" s="1115"/>
      <c r="MLQ4" s="1115"/>
      <c r="MLR4" s="1115"/>
      <c r="MLS4" s="1115"/>
      <c r="MLT4" s="1115"/>
      <c r="MLU4" s="1115"/>
      <c r="MLV4" s="1115"/>
      <c r="MLW4" s="1115"/>
      <c r="MLX4" s="1115"/>
      <c r="MLY4" s="1115"/>
      <c r="MLZ4" s="1115"/>
      <c r="MMA4" s="1115"/>
      <c r="MMB4" s="1115"/>
      <c r="MMC4" s="1115"/>
      <c r="MMD4" s="1115"/>
      <c r="MME4" s="1115"/>
      <c r="MMF4" s="1115"/>
      <c r="MMG4" s="1115"/>
      <c r="MMH4" s="1115"/>
      <c r="MMI4" s="1115"/>
      <c r="MMJ4" s="1115"/>
      <c r="MMK4" s="1115"/>
      <c r="MML4" s="1115"/>
      <c r="MMM4" s="1115"/>
      <c r="MMN4" s="1115"/>
      <c r="MMO4" s="1115"/>
      <c r="MMP4" s="1115"/>
      <c r="MMQ4" s="1115"/>
      <c r="MMR4" s="1115"/>
      <c r="MMS4" s="1115"/>
      <c r="MMT4" s="1115"/>
      <c r="MMU4" s="1115"/>
      <c r="MMV4" s="1115"/>
      <c r="MMW4" s="1115"/>
      <c r="MMX4" s="1115"/>
      <c r="MMY4" s="1115"/>
      <c r="MMZ4" s="1115"/>
      <c r="MNA4" s="1115"/>
      <c r="MNB4" s="1115"/>
      <c r="MNC4" s="1115"/>
      <c r="MND4" s="1115"/>
      <c r="MNE4" s="1115"/>
      <c r="MNF4" s="1115"/>
      <c r="MNG4" s="1115"/>
      <c r="MNH4" s="1115"/>
      <c r="MNI4" s="1115"/>
      <c r="MNJ4" s="1115"/>
      <c r="MNK4" s="1115"/>
      <c r="MNL4" s="1115"/>
      <c r="MNM4" s="1115"/>
      <c r="MNN4" s="1115"/>
      <c r="MNO4" s="1115"/>
      <c r="MNP4" s="1115"/>
      <c r="MNQ4" s="1115"/>
      <c r="MNR4" s="1115"/>
      <c r="MNS4" s="1115"/>
      <c r="MNT4" s="1115"/>
      <c r="MNU4" s="1115"/>
      <c r="MNV4" s="1115"/>
      <c r="MNW4" s="1115"/>
      <c r="MNX4" s="1115"/>
      <c r="MNY4" s="1115"/>
      <c r="MNZ4" s="1115"/>
      <c r="MOA4" s="1115"/>
      <c r="MOB4" s="1115"/>
      <c r="MOC4" s="1115"/>
      <c r="MOD4" s="1115"/>
      <c r="MOE4" s="1115"/>
      <c r="MOF4" s="1115"/>
      <c r="MOG4" s="1115"/>
      <c r="MOH4" s="1115"/>
      <c r="MOI4" s="1115"/>
      <c r="MOJ4" s="1115"/>
      <c r="MOK4" s="1115"/>
      <c r="MOL4" s="1115"/>
      <c r="MOM4" s="1115"/>
      <c r="MON4" s="1115"/>
      <c r="MOO4" s="1115"/>
      <c r="MOP4" s="1115"/>
      <c r="MOQ4" s="1115"/>
      <c r="MOR4" s="1115"/>
      <c r="MOS4" s="1115"/>
      <c r="MOT4" s="1115"/>
      <c r="MOU4" s="1115"/>
      <c r="MOV4" s="1115"/>
      <c r="MOW4" s="1115"/>
      <c r="MOX4" s="1115"/>
      <c r="MOY4" s="1115"/>
      <c r="MOZ4" s="1115"/>
      <c r="MPA4" s="1115"/>
      <c r="MPB4" s="1115"/>
      <c r="MPC4" s="1115"/>
      <c r="MPD4" s="1115"/>
      <c r="MPE4" s="1115"/>
      <c r="MPF4" s="1115"/>
      <c r="MPG4" s="1115"/>
      <c r="MPH4" s="1115"/>
      <c r="MPI4" s="1115"/>
      <c r="MPJ4" s="1115"/>
      <c r="MPK4" s="1115"/>
      <c r="MPL4" s="1115"/>
      <c r="MPM4" s="1115"/>
      <c r="MPN4" s="1115"/>
      <c r="MPO4" s="1115"/>
      <c r="MPP4" s="1115"/>
      <c r="MPQ4" s="1115"/>
      <c r="MPR4" s="1115"/>
      <c r="MPS4" s="1115"/>
      <c r="MPT4" s="1115"/>
      <c r="MPU4" s="1115"/>
      <c r="MPV4" s="1115"/>
      <c r="MPW4" s="1115"/>
      <c r="MPX4" s="1115"/>
      <c r="MPY4" s="1115"/>
      <c r="MPZ4" s="1115"/>
      <c r="MQA4" s="1115"/>
      <c r="MQB4" s="1115"/>
      <c r="MQC4" s="1115"/>
      <c r="MQD4" s="1115"/>
      <c r="MQE4" s="1115"/>
      <c r="MQF4" s="1115"/>
      <c r="MQG4" s="1115"/>
      <c r="MQH4" s="1115"/>
      <c r="MQI4" s="1115"/>
      <c r="MQJ4" s="1115"/>
      <c r="MQK4" s="1115"/>
      <c r="MQL4" s="1115"/>
      <c r="MQM4" s="1115"/>
      <c r="MQN4" s="1115"/>
      <c r="MQO4" s="1115"/>
      <c r="MQP4" s="1115"/>
      <c r="MQQ4" s="1115"/>
      <c r="MQR4" s="1115"/>
      <c r="MQS4" s="1115"/>
      <c r="MQT4" s="1115"/>
      <c r="MQU4" s="1115"/>
      <c r="MQV4" s="1115"/>
      <c r="MQW4" s="1115"/>
      <c r="MQX4" s="1115"/>
      <c r="MQY4" s="1115"/>
      <c r="MQZ4" s="1115"/>
      <c r="MRA4" s="1115"/>
      <c r="MRB4" s="1115"/>
      <c r="MRC4" s="1115"/>
      <c r="MRD4" s="1115"/>
      <c r="MRE4" s="1115"/>
      <c r="MRF4" s="1115"/>
      <c r="MRG4" s="1115"/>
      <c r="MRH4" s="1115"/>
      <c r="MRI4" s="1115"/>
      <c r="MRJ4" s="1115"/>
      <c r="MRK4" s="1115"/>
      <c r="MRL4" s="1115"/>
      <c r="MRM4" s="1115"/>
      <c r="MRN4" s="1115"/>
      <c r="MRO4" s="1115"/>
      <c r="MRP4" s="1115"/>
      <c r="MRQ4" s="1115"/>
      <c r="MRR4" s="1115"/>
      <c r="MRS4" s="1115"/>
      <c r="MRT4" s="1115"/>
      <c r="MRU4" s="1115"/>
      <c r="MRV4" s="1115"/>
      <c r="MRW4" s="1115"/>
      <c r="MRX4" s="1115"/>
      <c r="MRY4" s="1115"/>
      <c r="MRZ4" s="1115"/>
      <c r="MSA4" s="1115"/>
      <c r="MSB4" s="1115"/>
      <c r="MSC4" s="1115"/>
      <c r="MSD4" s="1115"/>
      <c r="MSE4" s="1115"/>
      <c r="MSF4" s="1115"/>
      <c r="MSG4" s="1115"/>
      <c r="MSH4" s="1115"/>
      <c r="MSI4" s="1115"/>
      <c r="MSJ4" s="1115"/>
      <c r="MSK4" s="1115"/>
      <c r="MSL4" s="1115"/>
      <c r="MSM4" s="1115"/>
      <c r="MSN4" s="1115"/>
      <c r="MSO4" s="1115"/>
      <c r="MSP4" s="1115"/>
      <c r="MSQ4" s="1115"/>
      <c r="MSR4" s="1115"/>
      <c r="MSS4" s="1115"/>
      <c r="MST4" s="1115"/>
      <c r="MSU4" s="1115"/>
      <c r="MSV4" s="1115"/>
      <c r="MSW4" s="1115"/>
      <c r="MSX4" s="1115"/>
      <c r="MSY4" s="1115"/>
      <c r="MSZ4" s="1115"/>
      <c r="MTA4" s="1115"/>
      <c r="MTB4" s="1115"/>
      <c r="MTC4" s="1115"/>
      <c r="MTD4" s="1115"/>
      <c r="MTE4" s="1115"/>
      <c r="MTF4" s="1115"/>
      <c r="MTG4" s="1115"/>
      <c r="MTH4" s="1115"/>
      <c r="MTI4" s="1115"/>
      <c r="MTJ4" s="1115"/>
      <c r="MTK4" s="1115"/>
      <c r="MTL4" s="1115"/>
      <c r="MTM4" s="1115"/>
      <c r="MTN4" s="1115"/>
      <c r="MTO4" s="1115"/>
      <c r="MTP4" s="1115"/>
      <c r="MTQ4" s="1115"/>
      <c r="MTR4" s="1115"/>
      <c r="MTS4" s="1115"/>
      <c r="MTT4" s="1115"/>
      <c r="MTU4" s="1115"/>
      <c r="MTV4" s="1115"/>
      <c r="MTW4" s="1115"/>
      <c r="MTX4" s="1115"/>
      <c r="MTY4" s="1115"/>
      <c r="MTZ4" s="1115"/>
      <c r="MUA4" s="1115"/>
      <c r="MUB4" s="1115"/>
      <c r="MUC4" s="1115"/>
      <c r="MUD4" s="1115"/>
      <c r="MUE4" s="1115"/>
      <c r="MUF4" s="1115"/>
      <c r="MUG4" s="1115"/>
      <c r="MUH4" s="1115"/>
      <c r="MUI4" s="1115"/>
      <c r="MUJ4" s="1115"/>
      <c r="MUK4" s="1115"/>
      <c r="MUL4" s="1115"/>
      <c r="MUM4" s="1115"/>
      <c r="MUN4" s="1115"/>
      <c r="MUO4" s="1115"/>
      <c r="MUP4" s="1115"/>
      <c r="MUQ4" s="1115"/>
      <c r="MUR4" s="1115"/>
      <c r="MUS4" s="1115"/>
      <c r="MUT4" s="1115"/>
      <c r="MUU4" s="1115"/>
      <c r="MUV4" s="1115"/>
      <c r="MUW4" s="1115"/>
      <c r="MUX4" s="1115"/>
      <c r="MUY4" s="1115"/>
      <c r="MUZ4" s="1115"/>
      <c r="MVA4" s="1115"/>
      <c r="MVB4" s="1115"/>
      <c r="MVC4" s="1115"/>
      <c r="MVD4" s="1115"/>
      <c r="MVE4" s="1115"/>
      <c r="MVF4" s="1115"/>
      <c r="MVG4" s="1115"/>
      <c r="MVH4" s="1115"/>
      <c r="MVI4" s="1115"/>
      <c r="MVJ4" s="1115"/>
      <c r="MVK4" s="1115"/>
      <c r="MVL4" s="1115"/>
      <c r="MVM4" s="1115"/>
      <c r="MVN4" s="1115"/>
      <c r="MVO4" s="1115"/>
      <c r="MVP4" s="1115"/>
      <c r="MVQ4" s="1115"/>
      <c r="MVR4" s="1115"/>
      <c r="MVS4" s="1115"/>
      <c r="MVT4" s="1115"/>
      <c r="MVU4" s="1115"/>
      <c r="MVV4" s="1115"/>
      <c r="MVW4" s="1115"/>
      <c r="MVX4" s="1115"/>
      <c r="MVY4" s="1115"/>
      <c r="MVZ4" s="1115"/>
      <c r="MWA4" s="1115"/>
      <c r="MWB4" s="1115"/>
      <c r="MWC4" s="1115"/>
      <c r="MWD4" s="1115"/>
      <c r="MWE4" s="1115"/>
      <c r="MWF4" s="1115"/>
      <c r="MWG4" s="1115"/>
      <c r="MWH4" s="1115"/>
      <c r="MWI4" s="1115"/>
      <c r="MWJ4" s="1115"/>
      <c r="MWK4" s="1115"/>
      <c r="MWL4" s="1115"/>
      <c r="MWM4" s="1115"/>
      <c r="MWN4" s="1115"/>
      <c r="MWO4" s="1115"/>
      <c r="MWP4" s="1115"/>
      <c r="MWQ4" s="1115"/>
      <c r="MWR4" s="1115"/>
      <c r="MWS4" s="1115"/>
      <c r="MWT4" s="1115"/>
      <c r="MWU4" s="1115"/>
      <c r="MWV4" s="1115"/>
      <c r="MWW4" s="1115"/>
      <c r="MWX4" s="1115"/>
      <c r="MWY4" s="1115"/>
      <c r="MWZ4" s="1115"/>
      <c r="MXA4" s="1115"/>
      <c r="MXB4" s="1115"/>
      <c r="MXC4" s="1115"/>
      <c r="MXD4" s="1115"/>
      <c r="MXE4" s="1115"/>
      <c r="MXF4" s="1115"/>
      <c r="MXG4" s="1115"/>
      <c r="MXH4" s="1115"/>
      <c r="MXI4" s="1115"/>
      <c r="MXJ4" s="1115"/>
      <c r="MXK4" s="1115"/>
      <c r="MXL4" s="1115"/>
      <c r="MXM4" s="1115"/>
      <c r="MXN4" s="1115"/>
      <c r="MXO4" s="1115"/>
      <c r="MXP4" s="1115"/>
      <c r="MXQ4" s="1115"/>
      <c r="MXR4" s="1115"/>
      <c r="MXS4" s="1115"/>
      <c r="MXT4" s="1115"/>
      <c r="MXU4" s="1115"/>
      <c r="MXV4" s="1115"/>
      <c r="MXW4" s="1115"/>
      <c r="MXX4" s="1115"/>
      <c r="MXY4" s="1115"/>
      <c r="MXZ4" s="1115"/>
      <c r="MYA4" s="1115"/>
      <c r="MYB4" s="1115"/>
      <c r="MYC4" s="1115"/>
      <c r="MYD4" s="1115"/>
      <c r="MYE4" s="1115"/>
      <c r="MYF4" s="1115"/>
      <c r="MYG4" s="1115"/>
      <c r="MYH4" s="1115"/>
      <c r="MYI4" s="1115"/>
      <c r="MYJ4" s="1115"/>
      <c r="MYK4" s="1115"/>
      <c r="MYL4" s="1115"/>
      <c r="MYM4" s="1115"/>
      <c r="MYN4" s="1115"/>
      <c r="MYO4" s="1115"/>
      <c r="MYP4" s="1115"/>
      <c r="MYQ4" s="1115"/>
      <c r="MYR4" s="1115"/>
      <c r="MYS4" s="1115"/>
      <c r="MYT4" s="1115"/>
      <c r="MYU4" s="1115"/>
      <c r="MYV4" s="1115"/>
      <c r="MYW4" s="1115"/>
      <c r="MYX4" s="1115"/>
      <c r="MYY4" s="1115"/>
      <c r="MYZ4" s="1115"/>
      <c r="MZA4" s="1115"/>
      <c r="MZB4" s="1115"/>
      <c r="MZC4" s="1115"/>
      <c r="MZD4" s="1115"/>
      <c r="MZE4" s="1115"/>
      <c r="MZF4" s="1115"/>
      <c r="MZG4" s="1115"/>
      <c r="MZH4" s="1115"/>
      <c r="MZI4" s="1115"/>
      <c r="MZJ4" s="1115"/>
      <c r="MZK4" s="1115"/>
      <c r="MZL4" s="1115"/>
      <c r="MZM4" s="1115"/>
      <c r="MZN4" s="1115"/>
      <c r="MZO4" s="1115"/>
      <c r="MZP4" s="1115"/>
      <c r="MZQ4" s="1115"/>
      <c r="MZR4" s="1115"/>
      <c r="MZS4" s="1115"/>
      <c r="MZT4" s="1115"/>
      <c r="MZU4" s="1115"/>
      <c r="MZV4" s="1115"/>
      <c r="MZW4" s="1115"/>
      <c r="MZX4" s="1115"/>
      <c r="MZY4" s="1115"/>
      <c r="MZZ4" s="1115"/>
      <c r="NAA4" s="1115"/>
      <c r="NAB4" s="1115"/>
      <c r="NAC4" s="1115"/>
      <c r="NAD4" s="1115"/>
      <c r="NAE4" s="1115"/>
      <c r="NAF4" s="1115"/>
      <c r="NAG4" s="1115"/>
      <c r="NAH4" s="1115"/>
      <c r="NAI4" s="1115"/>
      <c r="NAJ4" s="1115"/>
      <c r="NAK4" s="1115"/>
      <c r="NAL4" s="1115"/>
      <c r="NAM4" s="1115"/>
      <c r="NAN4" s="1115"/>
      <c r="NAO4" s="1115"/>
      <c r="NAP4" s="1115"/>
      <c r="NAQ4" s="1115"/>
      <c r="NAR4" s="1115"/>
      <c r="NAS4" s="1115"/>
      <c r="NAT4" s="1115"/>
      <c r="NAU4" s="1115"/>
      <c r="NAV4" s="1115"/>
      <c r="NAW4" s="1115"/>
      <c r="NAX4" s="1115"/>
      <c r="NAY4" s="1115"/>
      <c r="NAZ4" s="1115"/>
      <c r="NBA4" s="1115"/>
      <c r="NBB4" s="1115"/>
      <c r="NBC4" s="1115"/>
      <c r="NBD4" s="1115"/>
      <c r="NBE4" s="1115"/>
      <c r="NBF4" s="1115"/>
      <c r="NBG4" s="1115"/>
      <c r="NBH4" s="1115"/>
      <c r="NBI4" s="1115"/>
      <c r="NBJ4" s="1115"/>
      <c r="NBK4" s="1115"/>
      <c r="NBL4" s="1115"/>
      <c r="NBM4" s="1115"/>
      <c r="NBN4" s="1115"/>
      <c r="NBO4" s="1115"/>
      <c r="NBP4" s="1115"/>
      <c r="NBQ4" s="1115"/>
      <c r="NBR4" s="1115"/>
      <c r="NBS4" s="1115"/>
      <c r="NBT4" s="1115"/>
      <c r="NBU4" s="1115"/>
      <c r="NBV4" s="1115"/>
      <c r="NBW4" s="1115"/>
      <c r="NBX4" s="1115"/>
      <c r="NBY4" s="1115"/>
      <c r="NBZ4" s="1115"/>
      <c r="NCA4" s="1115"/>
      <c r="NCB4" s="1115"/>
      <c r="NCC4" s="1115"/>
      <c r="NCD4" s="1115"/>
      <c r="NCE4" s="1115"/>
      <c r="NCF4" s="1115"/>
      <c r="NCG4" s="1115"/>
      <c r="NCH4" s="1115"/>
      <c r="NCI4" s="1115"/>
      <c r="NCJ4" s="1115"/>
      <c r="NCK4" s="1115"/>
      <c r="NCL4" s="1115"/>
      <c r="NCM4" s="1115"/>
      <c r="NCN4" s="1115"/>
      <c r="NCO4" s="1115"/>
      <c r="NCP4" s="1115"/>
      <c r="NCQ4" s="1115"/>
      <c r="NCR4" s="1115"/>
      <c r="NCS4" s="1115"/>
      <c r="NCT4" s="1115"/>
      <c r="NCU4" s="1115"/>
      <c r="NCV4" s="1115"/>
      <c r="NCW4" s="1115"/>
      <c r="NCX4" s="1115"/>
      <c r="NCY4" s="1115"/>
      <c r="NCZ4" s="1115"/>
      <c r="NDA4" s="1115"/>
      <c r="NDB4" s="1115"/>
      <c r="NDC4" s="1115"/>
      <c r="NDD4" s="1115"/>
      <c r="NDE4" s="1115"/>
      <c r="NDF4" s="1115"/>
      <c r="NDG4" s="1115"/>
      <c r="NDH4" s="1115"/>
      <c r="NDI4" s="1115"/>
      <c r="NDJ4" s="1115"/>
      <c r="NDK4" s="1115"/>
      <c r="NDL4" s="1115"/>
      <c r="NDM4" s="1115"/>
      <c r="NDN4" s="1115"/>
      <c r="NDO4" s="1115"/>
      <c r="NDP4" s="1115"/>
      <c r="NDQ4" s="1115"/>
      <c r="NDR4" s="1115"/>
      <c r="NDS4" s="1115"/>
      <c r="NDT4" s="1115"/>
      <c r="NDU4" s="1115"/>
      <c r="NDV4" s="1115"/>
      <c r="NDW4" s="1115"/>
      <c r="NDX4" s="1115"/>
      <c r="NDY4" s="1115"/>
      <c r="NDZ4" s="1115"/>
      <c r="NEA4" s="1115"/>
      <c r="NEB4" s="1115"/>
      <c r="NEC4" s="1115"/>
      <c r="NED4" s="1115"/>
      <c r="NEE4" s="1115"/>
      <c r="NEF4" s="1115"/>
      <c r="NEG4" s="1115"/>
      <c r="NEH4" s="1115"/>
      <c r="NEI4" s="1115"/>
      <c r="NEJ4" s="1115"/>
      <c r="NEK4" s="1115"/>
      <c r="NEL4" s="1115"/>
      <c r="NEM4" s="1115"/>
      <c r="NEN4" s="1115"/>
      <c r="NEO4" s="1115"/>
      <c r="NEP4" s="1115"/>
      <c r="NEQ4" s="1115"/>
      <c r="NER4" s="1115"/>
      <c r="NES4" s="1115"/>
      <c r="NET4" s="1115"/>
      <c r="NEU4" s="1115"/>
      <c r="NEV4" s="1115"/>
      <c r="NEW4" s="1115"/>
      <c r="NEX4" s="1115"/>
      <c r="NEY4" s="1115"/>
      <c r="NEZ4" s="1115"/>
      <c r="NFA4" s="1115"/>
      <c r="NFB4" s="1115"/>
      <c r="NFC4" s="1115"/>
      <c r="NFD4" s="1115"/>
      <c r="NFE4" s="1115"/>
      <c r="NFF4" s="1115"/>
      <c r="NFG4" s="1115"/>
      <c r="NFH4" s="1115"/>
      <c r="NFI4" s="1115"/>
      <c r="NFJ4" s="1115"/>
      <c r="NFK4" s="1115"/>
      <c r="NFL4" s="1115"/>
      <c r="NFM4" s="1115"/>
      <c r="NFN4" s="1115"/>
      <c r="NFO4" s="1115"/>
      <c r="NFP4" s="1115"/>
      <c r="NFQ4" s="1115"/>
      <c r="NFR4" s="1115"/>
      <c r="NFS4" s="1115"/>
      <c r="NFT4" s="1115"/>
      <c r="NFU4" s="1115"/>
      <c r="NFV4" s="1115"/>
      <c r="NFW4" s="1115"/>
      <c r="NFX4" s="1115"/>
      <c r="NFY4" s="1115"/>
      <c r="NFZ4" s="1115"/>
      <c r="NGA4" s="1115"/>
      <c r="NGB4" s="1115"/>
      <c r="NGC4" s="1115"/>
      <c r="NGD4" s="1115"/>
      <c r="NGE4" s="1115"/>
      <c r="NGF4" s="1115"/>
      <c r="NGG4" s="1115"/>
      <c r="NGH4" s="1115"/>
      <c r="NGI4" s="1115"/>
      <c r="NGJ4" s="1115"/>
      <c r="NGK4" s="1115"/>
      <c r="NGL4" s="1115"/>
      <c r="NGM4" s="1115"/>
      <c r="NGN4" s="1115"/>
      <c r="NGO4" s="1115"/>
      <c r="NGP4" s="1115"/>
      <c r="NGQ4" s="1115"/>
      <c r="NGR4" s="1115"/>
      <c r="NGS4" s="1115"/>
      <c r="NGT4" s="1115"/>
      <c r="NGU4" s="1115"/>
      <c r="NGV4" s="1115"/>
      <c r="NGW4" s="1115"/>
      <c r="NGX4" s="1115"/>
      <c r="NGY4" s="1115"/>
      <c r="NGZ4" s="1115"/>
      <c r="NHA4" s="1115"/>
      <c r="NHB4" s="1115"/>
      <c r="NHC4" s="1115"/>
      <c r="NHD4" s="1115"/>
      <c r="NHE4" s="1115"/>
      <c r="NHF4" s="1115"/>
      <c r="NHG4" s="1115"/>
      <c r="NHH4" s="1115"/>
      <c r="NHI4" s="1115"/>
      <c r="NHJ4" s="1115"/>
      <c r="NHK4" s="1115"/>
      <c r="NHL4" s="1115"/>
      <c r="NHM4" s="1115"/>
      <c r="NHN4" s="1115"/>
      <c r="NHO4" s="1115"/>
      <c r="NHP4" s="1115"/>
      <c r="NHQ4" s="1115"/>
      <c r="NHR4" s="1115"/>
      <c r="NHS4" s="1115"/>
      <c r="NHT4" s="1115"/>
      <c r="NHU4" s="1115"/>
      <c r="NHV4" s="1115"/>
      <c r="NHW4" s="1115"/>
      <c r="NHX4" s="1115"/>
      <c r="NHY4" s="1115"/>
      <c r="NHZ4" s="1115"/>
      <c r="NIA4" s="1115"/>
      <c r="NIB4" s="1115"/>
      <c r="NIC4" s="1115"/>
      <c r="NID4" s="1115"/>
      <c r="NIE4" s="1115"/>
      <c r="NIF4" s="1115"/>
      <c r="NIG4" s="1115"/>
      <c r="NIH4" s="1115"/>
      <c r="NII4" s="1115"/>
      <c r="NIJ4" s="1115"/>
      <c r="NIK4" s="1115"/>
      <c r="NIL4" s="1115"/>
      <c r="NIM4" s="1115"/>
      <c r="NIN4" s="1115"/>
      <c r="NIO4" s="1115"/>
      <c r="NIP4" s="1115"/>
      <c r="NIQ4" s="1115"/>
      <c r="NIR4" s="1115"/>
      <c r="NIS4" s="1115"/>
      <c r="NIT4" s="1115"/>
      <c r="NIU4" s="1115"/>
      <c r="NIV4" s="1115"/>
      <c r="NIW4" s="1115"/>
      <c r="NIX4" s="1115"/>
      <c r="NIY4" s="1115"/>
      <c r="NIZ4" s="1115"/>
      <c r="NJA4" s="1115"/>
      <c r="NJB4" s="1115"/>
      <c r="NJC4" s="1115"/>
      <c r="NJD4" s="1115"/>
      <c r="NJE4" s="1115"/>
      <c r="NJF4" s="1115"/>
      <c r="NJG4" s="1115"/>
      <c r="NJH4" s="1115"/>
      <c r="NJI4" s="1115"/>
      <c r="NJJ4" s="1115"/>
      <c r="NJK4" s="1115"/>
      <c r="NJL4" s="1115"/>
      <c r="NJM4" s="1115"/>
      <c r="NJN4" s="1115"/>
      <c r="NJO4" s="1115"/>
      <c r="NJP4" s="1115"/>
      <c r="NJQ4" s="1115"/>
      <c r="NJR4" s="1115"/>
      <c r="NJS4" s="1115"/>
      <c r="NJT4" s="1115"/>
      <c r="NJU4" s="1115"/>
      <c r="NJV4" s="1115"/>
      <c r="NJW4" s="1115"/>
      <c r="NJX4" s="1115"/>
      <c r="NJY4" s="1115"/>
      <c r="NJZ4" s="1115"/>
      <c r="NKA4" s="1115"/>
      <c r="NKB4" s="1115"/>
      <c r="NKC4" s="1115"/>
      <c r="NKD4" s="1115"/>
      <c r="NKE4" s="1115"/>
      <c r="NKF4" s="1115"/>
      <c r="NKG4" s="1115"/>
      <c r="NKH4" s="1115"/>
      <c r="NKI4" s="1115"/>
      <c r="NKJ4" s="1115"/>
      <c r="NKK4" s="1115"/>
      <c r="NKL4" s="1115"/>
      <c r="NKM4" s="1115"/>
      <c r="NKN4" s="1115"/>
      <c r="NKO4" s="1115"/>
      <c r="NKP4" s="1115"/>
      <c r="NKQ4" s="1115"/>
      <c r="NKR4" s="1115"/>
      <c r="NKS4" s="1115"/>
      <c r="NKT4" s="1115"/>
      <c r="NKU4" s="1115"/>
      <c r="NKV4" s="1115"/>
      <c r="NKW4" s="1115"/>
      <c r="NKX4" s="1115"/>
      <c r="NKY4" s="1115"/>
      <c r="NKZ4" s="1115"/>
      <c r="NLA4" s="1115"/>
      <c r="NLB4" s="1115"/>
      <c r="NLC4" s="1115"/>
      <c r="NLD4" s="1115"/>
      <c r="NLE4" s="1115"/>
      <c r="NLF4" s="1115"/>
      <c r="NLG4" s="1115"/>
      <c r="NLH4" s="1115"/>
      <c r="NLI4" s="1115"/>
      <c r="NLJ4" s="1115"/>
      <c r="NLK4" s="1115"/>
      <c r="NLL4" s="1115"/>
      <c r="NLM4" s="1115"/>
      <c r="NLN4" s="1115"/>
      <c r="NLO4" s="1115"/>
      <c r="NLP4" s="1115"/>
      <c r="NLQ4" s="1115"/>
      <c r="NLR4" s="1115"/>
      <c r="NLS4" s="1115"/>
      <c r="NLT4" s="1115"/>
      <c r="NLU4" s="1115"/>
      <c r="NLV4" s="1115"/>
      <c r="NLW4" s="1115"/>
      <c r="NLX4" s="1115"/>
      <c r="NLY4" s="1115"/>
      <c r="NLZ4" s="1115"/>
      <c r="NMA4" s="1115"/>
      <c r="NMB4" s="1115"/>
      <c r="NMC4" s="1115"/>
      <c r="NMD4" s="1115"/>
      <c r="NME4" s="1115"/>
      <c r="NMF4" s="1115"/>
      <c r="NMG4" s="1115"/>
      <c r="NMH4" s="1115"/>
      <c r="NMI4" s="1115"/>
      <c r="NMJ4" s="1115"/>
      <c r="NMK4" s="1115"/>
      <c r="NML4" s="1115"/>
      <c r="NMM4" s="1115"/>
      <c r="NMN4" s="1115"/>
      <c r="NMO4" s="1115"/>
      <c r="NMP4" s="1115"/>
      <c r="NMQ4" s="1115"/>
      <c r="NMR4" s="1115"/>
      <c r="NMS4" s="1115"/>
      <c r="NMT4" s="1115"/>
      <c r="NMU4" s="1115"/>
      <c r="NMV4" s="1115"/>
      <c r="NMW4" s="1115"/>
      <c r="NMX4" s="1115"/>
      <c r="NMY4" s="1115"/>
      <c r="NMZ4" s="1115"/>
      <c r="NNA4" s="1115"/>
      <c r="NNB4" s="1115"/>
      <c r="NNC4" s="1115"/>
      <c r="NND4" s="1115"/>
      <c r="NNE4" s="1115"/>
      <c r="NNF4" s="1115"/>
      <c r="NNG4" s="1115"/>
      <c r="NNH4" s="1115"/>
      <c r="NNI4" s="1115"/>
      <c r="NNJ4" s="1115"/>
      <c r="NNK4" s="1115"/>
      <c r="NNL4" s="1115"/>
      <c r="NNM4" s="1115"/>
      <c r="NNN4" s="1115"/>
      <c r="NNO4" s="1115"/>
      <c r="NNP4" s="1115"/>
      <c r="NNQ4" s="1115"/>
      <c r="NNR4" s="1115"/>
      <c r="NNS4" s="1115"/>
      <c r="NNT4" s="1115"/>
      <c r="NNU4" s="1115"/>
      <c r="NNV4" s="1115"/>
      <c r="NNW4" s="1115"/>
      <c r="NNX4" s="1115"/>
      <c r="NNY4" s="1115"/>
      <c r="NNZ4" s="1115"/>
      <c r="NOA4" s="1115"/>
      <c r="NOB4" s="1115"/>
      <c r="NOC4" s="1115"/>
      <c r="NOD4" s="1115"/>
      <c r="NOE4" s="1115"/>
      <c r="NOF4" s="1115"/>
      <c r="NOG4" s="1115"/>
      <c r="NOH4" s="1115"/>
      <c r="NOI4" s="1115"/>
      <c r="NOJ4" s="1115"/>
      <c r="NOK4" s="1115"/>
      <c r="NOL4" s="1115"/>
      <c r="NOM4" s="1115"/>
      <c r="NON4" s="1115"/>
      <c r="NOO4" s="1115"/>
      <c r="NOP4" s="1115"/>
      <c r="NOQ4" s="1115"/>
      <c r="NOR4" s="1115"/>
      <c r="NOS4" s="1115"/>
      <c r="NOT4" s="1115"/>
      <c r="NOU4" s="1115"/>
      <c r="NOV4" s="1115"/>
      <c r="NOW4" s="1115"/>
      <c r="NOX4" s="1115"/>
      <c r="NOY4" s="1115"/>
      <c r="NOZ4" s="1115"/>
      <c r="NPA4" s="1115"/>
      <c r="NPB4" s="1115"/>
      <c r="NPC4" s="1115"/>
      <c r="NPD4" s="1115"/>
      <c r="NPE4" s="1115"/>
      <c r="NPF4" s="1115"/>
      <c r="NPG4" s="1115"/>
      <c r="NPH4" s="1115"/>
      <c r="NPI4" s="1115"/>
      <c r="NPJ4" s="1115"/>
      <c r="NPK4" s="1115"/>
      <c r="NPL4" s="1115"/>
      <c r="NPM4" s="1115"/>
      <c r="NPN4" s="1115"/>
      <c r="NPO4" s="1115"/>
      <c r="NPP4" s="1115"/>
      <c r="NPQ4" s="1115"/>
      <c r="NPR4" s="1115"/>
      <c r="NPS4" s="1115"/>
      <c r="NPT4" s="1115"/>
      <c r="NPU4" s="1115"/>
      <c r="NPV4" s="1115"/>
      <c r="NPW4" s="1115"/>
      <c r="NPX4" s="1115"/>
      <c r="NPY4" s="1115"/>
      <c r="NPZ4" s="1115"/>
      <c r="NQA4" s="1115"/>
      <c r="NQB4" s="1115"/>
      <c r="NQC4" s="1115"/>
      <c r="NQD4" s="1115"/>
      <c r="NQE4" s="1115"/>
      <c r="NQF4" s="1115"/>
      <c r="NQG4" s="1115"/>
      <c r="NQH4" s="1115"/>
      <c r="NQI4" s="1115"/>
      <c r="NQJ4" s="1115"/>
      <c r="NQK4" s="1115"/>
      <c r="NQL4" s="1115"/>
      <c r="NQM4" s="1115"/>
      <c r="NQN4" s="1115"/>
      <c r="NQO4" s="1115"/>
      <c r="NQP4" s="1115"/>
      <c r="NQQ4" s="1115"/>
      <c r="NQR4" s="1115"/>
      <c r="NQS4" s="1115"/>
      <c r="NQT4" s="1115"/>
      <c r="NQU4" s="1115"/>
      <c r="NQV4" s="1115"/>
      <c r="NQW4" s="1115"/>
      <c r="NQX4" s="1115"/>
      <c r="NQY4" s="1115"/>
      <c r="NQZ4" s="1115"/>
      <c r="NRA4" s="1115"/>
      <c r="NRB4" s="1115"/>
      <c r="NRC4" s="1115"/>
      <c r="NRD4" s="1115"/>
      <c r="NRE4" s="1115"/>
      <c r="NRF4" s="1115"/>
      <c r="NRG4" s="1115"/>
      <c r="NRH4" s="1115"/>
      <c r="NRI4" s="1115"/>
      <c r="NRJ4" s="1115"/>
      <c r="NRK4" s="1115"/>
      <c r="NRL4" s="1115"/>
      <c r="NRM4" s="1115"/>
      <c r="NRN4" s="1115"/>
      <c r="NRO4" s="1115"/>
      <c r="NRP4" s="1115"/>
      <c r="NRQ4" s="1115"/>
      <c r="NRR4" s="1115"/>
      <c r="NRS4" s="1115"/>
      <c r="NRT4" s="1115"/>
      <c r="NRU4" s="1115"/>
      <c r="NRV4" s="1115"/>
      <c r="NRW4" s="1115"/>
      <c r="NRX4" s="1115"/>
      <c r="NRY4" s="1115"/>
      <c r="NRZ4" s="1115"/>
      <c r="NSA4" s="1115"/>
      <c r="NSB4" s="1115"/>
      <c r="NSC4" s="1115"/>
      <c r="NSD4" s="1115"/>
      <c r="NSE4" s="1115"/>
      <c r="NSF4" s="1115"/>
      <c r="NSG4" s="1115"/>
      <c r="NSH4" s="1115"/>
      <c r="NSI4" s="1115"/>
      <c r="NSJ4" s="1115"/>
      <c r="NSK4" s="1115"/>
      <c r="NSL4" s="1115"/>
      <c r="NSM4" s="1115"/>
      <c r="NSN4" s="1115"/>
      <c r="NSO4" s="1115"/>
      <c r="NSP4" s="1115"/>
      <c r="NSQ4" s="1115"/>
      <c r="NSR4" s="1115"/>
      <c r="NSS4" s="1115"/>
      <c r="NST4" s="1115"/>
      <c r="NSU4" s="1115"/>
      <c r="NSV4" s="1115"/>
      <c r="NSW4" s="1115"/>
      <c r="NSX4" s="1115"/>
      <c r="NSY4" s="1115"/>
      <c r="NSZ4" s="1115"/>
      <c r="NTA4" s="1115"/>
      <c r="NTB4" s="1115"/>
      <c r="NTC4" s="1115"/>
      <c r="NTD4" s="1115"/>
      <c r="NTE4" s="1115"/>
      <c r="NTF4" s="1115"/>
      <c r="NTG4" s="1115"/>
      <c r="NTH4" s="1115"/>
      <c r="NTI4" s="1115"/>
      <c r="NTJ4" s="1115"/>
      <c r="NTK4" s="1115"/>
      <c r="NTL4" s="1115"/>
      <c r="NTM4" s="1115"/>
      <c r="NTN4" s="1115"/>
      <c r="NTO4" s="1115"/>
      <c r="NTP4" s="1115"/>
      <c r="NTQ4" s="1115"/>
      <c r="NTR4" s="1115"/>
      <c r="NTS4" s="1115"/>
      <c r="NTT4" s="1115"/>
      <c r="NTU4" s="1115"/>
      <c r="NTV4" s="1115"/>
      <c r="NTW4" s="1115"/>
      <c r="NTX4" s="1115"/>
      <c r="NTY4" s="1115"/>
      <c r="NTZ4" s="1115"/>
      <c r="NUA4" s="1115"/>
      <c r="NUB4" s="1115"/>
      <c r="NUC4" s="1115"/>
      <c r="NUD4" s="1115"/>
      <c r="NUE4" s="1115"/>
      <c r="NUF4" s="1115"/>
      <c r="NUG4" s="1115"/>
      <c r="NUH4" s="1115"/>
      <c r="NUI4" s="1115"/>
      <c r="NUJ4" s="1115"/>
      <c r="NUK4" s="1115"/>
      <c r="NUL4" s="1115"/>
      <c r="NUM4" s="1115"/>
      <c r="NUN4" s="1115"/>
      <c r="NUO4" s="1115"/>
      <c r="NUP4" s="1115"/>
      <c r="NUQ4" s="1115"/>
      <c r="NUR4" s="1115"/>
      <c r="NUS4" s="1115"/>
      <c r="NUT4" s="1115"/>
      <c r="NUU4" s="1115"/>
      <c r="NUV4" s="1115"/>
      <c r="NUW4" s="1115"/>
      <c r="NUX4" s="1115"/>
      <c r="NUY4" s="1115"/>
      <c r="NUZ4" s="1115"/>
      <c r="NVA4" s="1115"/>
      <c r="NVB4" s="1115"/>
      <c r="NVC4" s="1115"/>
      <c r="NVD4" s="1115"/>
      <c r="NVE4" s="1115"/>
      <c r="NVF4" s="1115"/>
      <c r="NVG4" s="1115"/>
      <c r="NVH4" s="1115"/>
      <c r="NVI4" s="1115"/>
      <c r="NVJ4" s="1115"/>
      <c r="NVK4" s="1115"/>
      <c r="NVL4" s="1115"/>
      <c r="NVM4" s="1115"/>
      <c r="NVN4" s="1115"/>
      <c r="NVO4" s="1115"/>
      <c r="NVP4" s="1115"/>
      <c r="NVQ4" s="1115"/>
      <c r="NVR4" s="1115"/>
      <c r="NVS4" s="1115"/>
      <c r="NVT4" s="1115"/>
      <c r="NVU4" s="1115"/>
      <c r="NVV4" s="1115"/>
      <c r="NVW4" s="1115"/>
      <c r="NVX4" s="1115"/>
      <c r="NVY4" s="1115"/>
      <c r="NVZ4" s="1115"/>
      <c r="NWA4" s="1115"/>
      <c r="NWB4" s="1115"/>
      <c r="NWC4" s="1115"/>
      <c r="NWD4" s="1115"/>
      <c r="NWE4" s="1115"/>
      <c r="NWF4" s="1115"/>
      <c r="NWG4" s="1115"/>
      <c r="NWH4" s="1115"/>
      <c r="NWI4" s="1115"/>
      <c r="NWJ4" s="1115"/>
      <c r="NWK4" s="1115"/>
      <c r="NWL4" s="1115"/>
      <c r="NWM4" s="1115"/>
      <c r="NWN4" s="1115"/>
      <c r="NWO4" s="1115"/>
      <c r="NWP4" s="1115"/>
      <c r="NWQ4" s="1115"/>
      <c r="NWR4" s="1115"/>
      <c r="NWS4" s="1115"/>
      <c r="NWT4" s="1115"/>
      <c r="NWU4" s="1115"/>
      <c r="NWV4" s="1115"/>
      <c r="NWW4" s="1115"/>
      <c r="NWX4" s="1115"/>
      <c r="NWY4" s="1115"/>
      <c r="NWZ4" s="1115"/>
      <c r="NXA4" s="1115"/>
      <c r="NXB4" s="1115"/>
      <c r="NXC4" s="1115"/>
      <c r="NXD4" s="1115"/>
      <c r="NXE4" s="1115"/>
      <c r="NXF4" s="1115"/>
      <c r="NXG4" s="1115"/>
      <c r="NXH4" s="1115"/>
      <c r="NXI4" s="1115"/>
      <c r="NXJ4" s="1115"/>
      <c r="NXK4" s="1115"/>
      <c r="NXL4" s="1115"/>
      <c r="NXM4" s="1115"/>
      <c r="NXN4" s="1115"/>
      <c r="NXO4" s="1115"/>
      <c r="NXP4" s="1115"/>
      <c r="NXQ4" s="1115"/>
      <c r="NXR4" s="1115"/>
      <c r="NXS4" s="1115"/>
      <c r="NXT4" s="1115"/>
      <c r="NXU4" s="1115"/>
      <c r="NXV4" s="1115"/>
      <c r="NXW4" s="1115"/>
      <c r="NXX4" s="1115"/>
      <c r="NXY4" s="1115"/>
      <c r="NXZ4" s="1115"/>
      <c r="NYA4" s="1115"/>
      <c r="NYB4" s="1115"/>
      <c r="NYC4" s="1115"/>
      <c r="NYD4" s="1115"/>
      <c r="NYE4" s="1115"/>
      <c r="NYF4" s="1115"/>
      <c r="NYG4" s="1115"/>
      <c r="NYH4" s="1115"/>
      <c r="NYI4" s="1115"/>
      <c r="NYJ4" s="1115"/>
      <c r="NYK4" s="1115"/>
      <c r="NYL4" s="1115"/>
      <c r="NYM4" s="1115"/>
      <c r="NYN4" s="1115"/>
      <c r="NYO4" s="1115"/>
      <c r="NYP4" s="1115"/>
      <c r="NYQ4" s="1115"/>
      <c r="NYR4" s="1115"/>
      <c r="NYS4" s="1115"/>
      <c r="NYT4" s="1115"/>
      <c r="NYU4" s="1115"/>
      <c r="NYV4" s="1115"/>
      <c r="NYW4" s="1115"/>
      <c r="NYX4" s="1115"/>
      <c r="NYY4" s="1115"/>
      <c r="NYZ4" s="1115"/>
      <c r="NZA4" s="1115"/>
      <c r="NZB4" s="1115"/>
      <c r="NZC4" s="1115"/>
      <c r="NZD4" s="1115"/>
      <c r="NZE4" s="1115"/>
      <c r="NZF4" s="1115"/>
      <c r="NZG4" s="1115"/>
      <c r="NZH4" s="1115"/>
      <c r="NZI4" s="1115"/>
      <c r="NZJ4" s="1115"/>
      <c r="NZK4" s="1115"/>
      <c r="NZL4" s="1115"/>
      <c r="NZM4" s="1115"/>
      <c r="NZN4" s="1115"/>
      <c r="NZO4" s="1115"/>
      <c r="NZP4" s="1115"/>
      <c r="NZQ4" s="1115"/>
      <c r="NZR4" s="1115"/>
      <c r="NZS4" s="1115"/>
      <c r="NZT4" s="1115"/>
      <c r="NZU4" s="1115"/>
      <c r="NZV4" s="1115"/>
      <c r="NZW4" s="1115"/>
      <c r="NZX4" s="1115"/>
      <c r="NZY4" s="1115"/>
      <c r="NZZ4" s="1115"/>
      <c r="OAA4" s="1115"/>
      <c r="OAB4" s="1115"/>
      <c r="OAC4" s="1115"/>
      <c r="OAD4" s="1115"/>
      <c r="OAE4" s="1115"/>
      <c r="OAF4" s="1115"/>
      <c r="OAG4" s="1115"/>
      <c r="OAH4" s="1115"/>
      <c r="OAI4" s="1115"/>
      <c r="OAJ4" s="1115"/>
      <c r="OAK4" s="1115"/>
      <c r="OAL4" s="1115"/>
      <c r="OAM4" s="1115"/>
      <c r="OAN4" s="1115"/>
      <c r="OAO4" s="1115"/>
      <c r="OAP4" s="1115"/>
      <c r="OAQ4" s="1115"/>
      <c r="OAR4" s="1115"/>
      <c r="OAS4" s="1115"/>
      <c r="OAT4" s="1115"/>
      <c r="OAU4" s="1115"/>
      <c r="OAV4" s="1115"/>
      <c r="OAW4" s="1115"/>
      <c r="OAX4" s="1115"/>
      <c r="OAY4" s="1115"/>
      <c r="OAZ4" s="1115"/>
      <c r="OBA4" s="1115"/>
      <c r="OBB4" s="1115"/>
      <c r="OBC4" s="1115"/>
      <c r="OBD4" s="1115"/>
      <c r="OBE4" s="1115"/>
      <c r="OBF4" s="1115"/>
      <c r="OBG4" s="1115"/>
      <c r="OBH4" s="1115"/>
      <c r="OBI4" s="1115"/>
      <c r="OBJ4" s="1115"/>
      <c r="OBK4" s="1115"/>
      <c r="OBL4" s="1115"/>
      <c r="OBM4" s="1115"/>
      <c r="OBN4" s="1115"/>
      <c r="OBO4" s="1115"/>
      <c r="OBP4" s="1115"/>
      <c r="OBQ4" s="1115"/>
      <c r="OBR4" s="1115"/>
      <c r="OBS4" s="1115"/>
      <c r="OBT4" s="1115"/>
      <c r="OBU4" s="1115"/>
      <c r="OBV4" s="1115"/>
      <c r="OBW4" s="1115"/>
      <c r="OBX4" s="1115"/>
      <c r="OBY4" s="1115"/>
      <c r="OBZ4" s="1115"/>
      <c r="OCA4" s="1115"/>
      <c r="OCB4" s="1115"/>
      <c r="OCC4" s="1115"/>
      <c r="OCD4" s="1115"/>
      <c r="OCE4" s="1115"/>
      <c r="OCF4" s="1115"/>
      <c r="OCG4" s="1115"/>
      <c r="OCH4" s="1115"/>
      <c r="OCI4" s="1115"/>
      <c r="OCJ4" s="1115"/>
      <c r="OCK4" s="1115"/>
      <c r="OCL4" s="1115"/>
      <c r="OCM4" s="1115"/>
      <c r="OCN4" s="1115"/>
      <c r="OCO4" s="1115"/>
      <c r="OCP4" s="1115"/>
      <c r="OCQ4" s="1115"/>
      <c r="OCR4" s="1115"/>
      <c r="OCS4" s="1115"/>
      <c r="OCT4" s="1115"/>
      <c r="OCU4" s="1115"/>
      <c r="OCV4" s="1115"/>
      <c r="OCW4" s="1115"/>
      <c r="OCX4" s="1115"/>
      <c r="OCY4" s="1115"/>
      <c r="OCZ4" s="1115"/>
      <c r="ODA4" s="1115"/>
      <c r="ODB4" s="1115"/>
      <c r="ODC4" s="1115"/>
      <c r="ODD4" s="1115"/>
      <c r="ODE4" s="1115"/>
      <c r="ODF4" s="1115"/>
      <c r="ODG4" s="1115"/>
      <c r="ODH4" s="1115"/>
      <c r="ODI4" s="1115"/>
      <c r="ODJ4" s="1115"/>
      <c r="ODK4" s="1115"/>
      <c r="ODL4" s="1115"/>
      <c r="ODM4" s="1115"/>
      <c r="ODN4" s="1115"/>
      <c r="ODO4" s="1115"/>
      <c r="ODP4" s="1115"/>
      <c r="ODQ4" s="1115"/>
      <c r="ODR4" s="1115"/>
      <c r="ODS4" s="1115"/>
      <c r="ODT4" s="1115"/>
      <c r="ODU4" s="1115"/>
      <c r="ODV4" s="1115"/>
      <c r="ODW4" s="1115"/>
      <c r="ODX4" s="1115"/>
      <c r="ODY4" s="1115"/>
      <c r="ODZ4" s="1115"/>
      <c r="OEA4" s="1115"/>
      <c r="OEB4" s="1115"/>
      <c r="OEC4" s="1115"/>
      <c r="OED4" s="1115"/>
      <c r="OEE4" s="1115"/>
      <c r="OEF4" s="1115"/>
      <c r="OEG4" s="1115"/>
      <c r="OEH4" s="1115"/>
      <c r="OEI4" s="1115"/>
      <c r="OEJ4" s="1115"/>
      <c r="OEK4" s="1115"/>
      <c r="OEL4" s="1115"/>
      <c r="OEM4" s="1115"/>
      <c r="OEN4" s="1115"/>
      <c r="OEO4" s="1115"/>
      <c r="OEP4" s="1115"/>
      <c r="OEQ4" s="1115"/>
      <c r="OER4" s="1115"/>
      <c r="OES4" s="1115"/>
      <c r="OET4" s="1115"/>
      <c r="OEU4" s="1115"/>
      <c r="OEV4" s="1115"/>
      <c r="OEW4" s="1115"/>
      <c r="OEX4" s="1115"/>
      <c r="OEY4" s="1115"/>
      <c r="OEZ4" s="1115"/>
      <c r="OFA4" s="1115"/>
      <c r="OFB4" s="1115"/>
      <c r="OFC4" s="1115"/>
      <c r="OFD4" s="1115"/>
      <c r="OFE4" s="1115"/>
      <c r="OFF4" s="1115"/>
      <c r="OFG4" s="1115"/>
      <c r="OFH4" s="1115"/>
      <c r="OFI4" s="1115"/>
      <c r="OFJ4" s="1115"/>
      <c r="OFK4" s="1115"/>
      <c r="OFL4" s="1115"/>
      <c r="OFM4" s="1115"/>
      <c r="OFN4" s="1115"/>
      <c r="OFO4" s="1115"/>
      <c r="OFP4" s="1115"/>
      <c r="OFQ4" s="1115"/>
      <c r="OFR4" s="1115"/>
      <c r="OFS4" s="1115"/>
      <c r="OFT4" s="1115"/>
      <c r="OFU4" s="1115"/>
      <c r="OFV4" s="1115"/>
      <c r="OFW4" s="1115"/>
      <c r="OFX4" s="1115"/>
      <c r="OFY4" s="1115"/>
      <c r="OFZ4" s="1115"/>
      <c r="OGA4" s="1115"/>
      <c r="OGB4" s="1115"/>
      <c r="OGC4" s="1115"/>
      <c r="OGD4" s="1115"/>
      <c r="OGE4" s="1115"/>
      <c r="OGF4" s="1115"/>
      <c r="OGG4" s="1115"/>
      <c r="OGH4" s="1115"/>
      <c r="OGI4" s="1115"/>
      <c r="OGJ4" s="1115"/>
      <c r="OGK4" s="1115"/>
      <c r="OGL4" s="1115"/>
      <c r="OGM4" s="1115"/>
      <c r="OGN4" s="1115"/>
      <c r="OGO4" s="1115"/>
      <c r="OGP4" s="1115"/>
      <c r="OGQ4" s="1115"/>
      <c r="OGR4" s="1115"/>
      <c r="OGS4" s="1115"/>
      <c r="OGT4" s="1115"/>
      <c r="OGU4" s="1115"/>
      <c r="OGV4" s="1115"/>
      <c r="OGW4" s="1115"/>
      <c r="OGX4" s="1115"/>
      <c r="OGY4" s="1115"/>
      <c r="OGZ4" s="1115"/>
      <c r="OHA4" s="1115"/>
      <c r="OHB4" s="1115"/>
      <c r="OHC4" s="1115"/>
      <c r="OHD4" s="1115"/>
      <c r="OHE4" s="1115"/>
      <c r="OHF4" s="1115"/>
      <c r="OHG4" s="1115"/>
      <c r="OHH4" s="1115"/>
      <c r="OHI4" s="1115"/>
      <c r="OHJ4" s="1115"/>
      <c r="OHK4" s="1115"/>
      <c r="OHL4" s="1115"/>
      <c r="OHM4" s="1115"/>
      <c r="OHN4" s="1115"/>
      <c r="OHO4" s="1115"/>
      <c r="OHP4" s="1115"/>
      <c r="OHQ4" s="1115"/>
      <c r="OHR4" s="1115"/>
      <c r="OHS4" s="1115"/>
      <c r="OHT4" s="1115"/>
      <c r="OHU4" s="1115"/>
      <c r="OHV4" s="1115"/>
      <c r="OHW4" s="1115"/>
      <c r="OHX4" s="1115"/>
      <c r="OHY4" s="1115"/>
      <c r="OHZ4" s="1115"/>
      <c r="OIA4" s="1115"/>
      <c r="OIB4" s="1115"/>
      <c r="OIC4" s="1115"/>
      <c r="OID4" s="1115"/>
      <c r="OIE4" s="1115"/>
      <c r="OIF4" s="1115"/>
      <c r="OIG4" s="1115"/>
      <c r="OIH4" s="1115"/>
      <c r="OII4" s="1115"/>
      <c r="OIJ4" s="1115"/>
      <c r="OIK4" s="1115"/>
      <c r="OIL4" s="1115"/>
      <c r="OIM4" s="1115"/>
      <c r="OIN4" s="1115"/>
      <c r="OIO4" s="1115"/>
      <c r="OIP4" s="1115"/>
      <c r="OIQ4" s="1115"/>
      <c r="OIR4" s="1115"/>
      <c r="OIS4" s="1115"/>
      <c r="OIT4" s="1115"/>
      <c r="OIU4" s="1115"/>
      <c r="OIV4" s="1115"/>
      <c r="OIW4" s="1115"/>
      <c r="OIX4" s="1115"/>
      <c r="OIY4" s="1115"/>
      <c r="OIZ4" s="1115"/>
      <c r="OJA4" s="1115"/>
      <c r="OJB4" s="1115"/>
      <c r="OJC4" s="1115"/>
      <c r="OJD4" s="1115"/>
      <c r="OJE4" s="1115"/>
      <c r="OJF4" s="1115"/>
      <c r="OJG4" s="1115"/>
      <c r="OJH4" s="1115"/>
      <c r="OJI4" s="1115"/>
      <c r="OJJ4" s="1115"/>
      <c r="OJK4" s="1115"/>
      <c r="OJL4" s="1115"/>
      <c r="OJM4" s="1115"/>
      <c r="OJN4" s="1115"/>
      <c r="OJO4" s="1115"/>
      <c r="OJP4" s="1115"/>
      <c r="OJQ4" s="1115"/>
      <c r="OJR4" s="1115"/>
      <c r="OJS4" s="1115"/>
      <c r="OJT4" s="1115"/>
      <c r="OJU4" s="1115"/>
      <c r="OJV4" s="1115"/>
      <c r="OJW4" s="1115"/>
      <c r="OJX4" s="1115"/>
      <c r="OJY4" s="1115"/>
      <c r="OJZ4" s="1115"/>
      <c r="OKA4" s="1115"/>
      <c r="OKB4" s="1115"/>
      <c r="OKC4" s="1115"/>
      <c r="OKD4" s="1115"/>
      <c r="OKE4" s="1115"/>
      <c r="OKF4" s="1115"/>
      <c r="OKG4" s="1115"/>
      <c r="OKH4" s="1115"/>
      <c r="OKI4" s="1115"/>
      <c r="OKJ4" s="1115"/>
      <c r="OKK4" s="1115"/>
      <c r="OKL4" s="1115"/>
      <c r="OKM4" s="1115"/>
      <c r="OKN4" s="1115"/>
      <c r="OKO4" s="1115"/>
      <c r="OKP4" s="1115"/>
      <c r="OKQ4" s="1115"/>
      <c r="OKR4" s="1115"/>
      <c r="OKS4" s="1115"/>
      <c r="OKT4" s="1115"/>
      <c r="OKU4" s="1115"/>
      <c r="OKV4" s="1115"/>
      <c r="OKW4" s="1115"/>
      <c r="OKX4" s="1115"/>
      <c r="OKY4" s="1115"/>
      <c r="OKZ4" s="1115"/>
      <c r="OLA4" s="1115"/>
      <c r="OLB4" s="1115"/>
      <c r="OLC4" s="1115"/>
      <c r="OLD4" s="1115"/>
      <c r="OLE4" s="1115"/>
      <c r="OLF4" s="1115"/>
      <c r="OLG4" s="1115"/>
      <c r="OLH4" s="1115"/>
      <c r="OLI4" s="1115"/>
      <c r="OLJ4" s="1115"/>
      <c r="OLK4" s="1115"/>
      <c r="OLL4" s="1115"/>
      <c r="OLM4" s="1115"/>
      <c r="OLN4" s="1115"/>
      <c r="OLO4" s="1115"/>
      <c r="OLP4" s="1115"/>
      <c r="OLQ4" s="1115"/>
      <c r="OLR4" s="1115"/>
      <c r="OLS4" s="1115"/>
      <c r="OLT4" s="1115"/>
      <c r="OLU4" s="1115"/>
      <c r="OLV4" s="1115"/>
      <c r="OLW4" s="1115"/>
      <c r="OLX4" s="1115"/>
      <c r="OLY4" s="1115"/>
      <c r="OLZ4" s="1115"/>
      <c r="OMA4" s="1115"/>
      <c r="OMB4" s="1115"/>
      <c r="OMC4" s="1115"/>
      <c r="OMD4" s="1115"/>
      <c r="OME4" s="1115"/>
      <c r="OMF4" s="1115"/>
      <c r="OMG4" s="1115"/>
      <c r="OMH4" s="1115"/>
      <c r="OMI4" s="1115"/>
      <c r="OMJ4" s="1115"/>
      <c r="OMK4" s="1115"/>
      <c r="OML4" s="1115"/>
      <c r="OMM4" s="1115"/>
      <c r="OMN4" s="1115"/>
      <c r="OMO4" s="1115"/>
      <c r="OMP4" s="1115"/>
      <c r="OMQ4" s="1115"/>
      <c r="OMR4" s="1115"/>
      <c r="OMS4" s="1115"/>
      <c r="OMT4" s="1115"/>
      <c r="OMU4" s="1115"/>
      <c r="OMV4" s="1115"/>
      <c r="OMW4" s="1115"/>
      <c r="OMX4" s="1115"/>
      <c r="OMY4" s="1115"/>
      <c r="OMZ4" s="1115"/>
      <c r="ONA4" s="1115"/>
      <c r="ONB4" s="1115"/>
      <c r="ONC4" s="1115"/>
      <c r="OND4" s="1115"/>
      <c r="ONE4" s="1115"/>
      <c r="ONF4" s="1115"/>
      <c r="ONG4" s="1115"/>
      <c r="ONH4" s="1115"/>
      <c r="ONI4" s="1115"/>
      <c r="ONJ4" s="1115"/>
      <c r="ONK4" s="1115"/>
      <c r="ONL4" s="1115"/>
      <c r="ONM4" s="1115"/>
      <c r="ONN4" s="1115"/>
      <c r="ONO4" s="1115"/>
      <c r="ONP4" s="1115"/>
      <c r="ONQ4" s="1115"/>
      <c r="ONR4" s="1115"/>
      <c r="ONS4" s="1115"/>
      <c r="ONT4" s="1115"/>
      <c r="ONU4" s="1115"/>
      <c r="ONV4" s="1115"/>
      <c r="ONW4" s="1115"/>
      <c r="ONX4" s="1115"/>
      <c r="ONY4" s="1115"/>
      <c r="ONZ4" s="1115"/>
      <c r="OOA4" s="1115"/>
      <c r="OOB4" s="1115"/>
      <c r="OOC4" s="1115"/>
      <c r="OOD4" s="1115"/>
      <c r="OOE4" s="1115"/>
      <c r="OOF4" s="1115"/>
      <c r="OOG4" s="1115"/>
      <c r="OOH4" s="1115"/>
      <c r="OOI4" s="1115"/>
      <c r="OOJ4" s="1115"/>
      <c r="OOK4" s="1115"/>
      <c r="OOL4" s="1115"/>
      <c r="OOM4" s="1115"/>
      <c r="OON4" s="1115"/>
      <c r="OOO4" s="1115"/>
      <c r="OOP4" s="1115"/>
      <c r="OOQ4" s="1115"/>
      <c r="OOR4" s="1115"/>
      <c r="OOS4" s="1115"/>
      <c r="OOT4" s="1115"/>
      <c r="OOU4" s="1115"/>
      <c r="OOV4" s="1115"/>
      <c r="OOW4" s="1115"/>
      <c r="OOX4" s="1115"/>
      <c r="OOY4" s="1115"/>
      <c r="OOZ4" s="1115"/>
      <c r="OPA4" s="1115"/>
      <c r="OPB4" s="1115"/>
      <c r="OPC4" s="1115"/>
      <c r="OPD4" s="1115"/>
      <c r="OPE4" s="1115"/>
      <c r="OPF4" s="1115"/>
      <c r="OPG4" s="1115"/>
      <c r="OPH4" s="1115"/>
      <c r="OPI4" s="1115"/>
      <c r="OPJ4" s="1115"/>
      <c r="OPK4" s="1115"/>
      <c r="OPL4" s="1115"/>
      <c r="OPM4" s="1115"/>
      <c r="OPN4" s="1115"/>
      <c r="OPO4" s="1115"/>
      <c r="OPP4" s="1115"/>
      <c r="OPQ4" s="1115"/>
      <c r="OPR4" s="1115"/>
      <c r="OPS4" s="1115"/>
      <c r="OPT4" s="1115"/>
      <c r="OPU4" s="1115"/>
      <c r="OPV4" s="1115"/>
      <c r="OPW4" s="1115"/>
      <c r="OPX4" s="1115"/>
      <c r="OPY4" s="1115"/>
      <c r="OPZ4" s="1115"/>
      <c r="OQA4" s="1115"/>
      <c r="OQB4" s="1115"/>
      <c r="OQC4" s="1115"/>
      <c r="OQD4" s="1115"/>
      <c r="OQE4" s="1115"/>
      <c r="OQF4" s="1115"/>
      <c r="OQG4" s="1115"/>
      <c r="OQH4" s="1115"/>
      <c r="OQI4" s="1115"/>
      <c r="OQJ4" s="1115"/>
      <c r="OQK4" s="1115"/>
      <c r="OQL4" s="1115"/>
      <c r="OQM4" s="1115"/>
      <c r="OQN4" s="1115"/>
      <c r="OQO4" s="1115"/>
      <c r="OQP4" s="1115"/>
      <c r="OQQ4" s="1115"/>
      <c r="OQR4" s="1115"/>
      <c r="OQS4" s="1115"/>
      <c r="OQT4" s="1115"/>
      <c r="OQU4" s="1115"/>
      <c r="OQV4" s="1115"/>
      <c r="OQW4" s="1115"/>
      <c r="OQX4" s="1115"/>
      <c r="OQY4" s="1115"/>
      <c r="OQZ4" s="1115"/>
      <c r="ORA4" s="1115"/>
      <c r="ORB4" s="1115"/>
      <c r="ORC4" s="1115"/>
      <c r="ORD4" s="1115"/>
      <c r="ORE4" s="1115"/>
      <c r="ORF4" s="1115"/>
      <c r="ORG4" s="1115"/>
      <c r="ORH4" s="1115"/>
      <c r="ORI4" s="1115"/>
      <c r="ORJ4" s="1115"/>
      <c r="ORK4" s="1115"/>
      <c r="ORL4" s="1115"/>
      <c r="ORM4" s="1115"/>
      <c r="ORN4" s="1115"/>
      <c r="ORO4" s="1115"/>
      <c r="ORP4" s="1115"/>
      <c r="ORQ4" s="1115"/>
      <c r="ORR4" s="1115"/>
      <c r="ORS4" s="1115"/>
      <c r="ORT4" s="1115"/>
      <c r="ORU4" s="1115"/>
      <c r="ORV4" s="1115"/>
      <c r="ORW4" s="1115"/>
      <c r="ORX4" s="1115"/>
      <c r="ORY4" s="1115"/>
      <c r="ORZ4" s="1115"/>
      <c r="OSA4" s="1115"/>
      <c r="OSB4" s="1115"/>
      <c r="OSC4" s="1115"/>
      <c r="OSD4" s="1115"/>
      <c r="OSE4" s="1115"/>
      <c r="OSF4" s="1115"/>
      <c r="OSG4" s="1115"/>
      <c r="OSH4" s="1115"/>
      <c r="OSI4" s="1115"/>
      <c r="OSJ4" s="1115"/>
      <c r="OSK4" s="1115"/>
      <c r="OSL4" s="1115"/>
      <c r="OSM4" s="1115"/>
      <c r="OSN4" s="1115"/>
      <c r="OSO4" s="1115"/>
      <c r="OSP4" s="1115"/>
      <c r="OSQ4" s="1115"/>
      <c r="OSR4" s="1115"/>
      <c r="OSS4" s="1115"/>
      <c r="OST4" s="1115"/>
      <c r="OSU4" s="1115"/>
      <c r="OSV4" s="1115"/>
      <c r="OSW4" s="1115"/>
      <c r="OSX4" s="1115"/>
      <c r="OSY4" s="1115"/>
      <c r="OSZ4" s="1115"/>
      <c r="OTA4" s="1115"/>
      <c r="OTB4" s="1115"/>
      <c r="OTC4" s="1115"/>
      <c r="OTD4" s="1115"/>
      <c r="OTE4" s="1115"/>
      <c r="OTF4" s="1115"/>
      <c r="OTG4" s="1115"/>
      <c r="OTH4" s="1115"/>
      <c r="OTI4" s="1115"/>
      <c r="OTJ4" s="1115"/>
      <c r="OTK4" s="1115"/>
      <c r="OTL4" s="1115"/>
      <c r="OTM4" s="1115"/>
      <c r="OTN4" s="1115"/>
      <c r="OTO4" s="1115"/>
      <c r="OTP4" s="1115"/>
      <c r="OTQ4" s="1115"/>
      <c r="OTR4" s="1115"/>
      <c r="OTS4" s="1115"/>
      <c r="OTT4" s="1115"/>
      <c r="OTU4" s="1115"/>
      <c r="OTV4" s="1115"/>
      <c r="OTW4" s="1115"/>
      <c r="OTX4" s="1115"/>
      <c r="OTY4" s="1115"/>
      <c r="OTZ4" s="1115"/>
      <c r="OUA4" s="1115"/>
      <c r="OUB4" s="1115"/>
      <c r="OUC4" s="1115"/>
      <c r="OUD4" s="1115"/>
      <c r="OUE4" s="1115"/>
      <c r="OUF4" s="1115"/>
      <c r="OUG4" s="1115"/>
      <c r="OUH4" s="1115"/>
      <c r="OUI4" s="1115"/>
      <c r="OUJ4" s="1115"/>
      <c r="OUK4" s="1115"/>
      <c r="OUL4" s="1115"/>
      <c r="OUM4" s="1115"/>
      <c r="OUN4" s="1115"/>
      <c r="OUO4" s="1115"/>
      <c r="OUP4" s="1115"/>
      <c r="OUQ4" s="1115"/>
      <c r="OUR4" s="1115"/>
      <c r="OUS4" s="1115"/>
      <c r="OUT4" s="1115"/>
      <c r="OUU4" s="1115"/>
      <c r="OUV4" s="1115"/>
      <c r="OUW4" s="1115"/>
      <c r="OUX4" s="1115"/>
      <c r="OUY4" s="1115"/>
      <c r="OUZ4" s="1115"/>
      <c r="OVA4" s="1115"/>
      <c r="OVB4" s="1115"/>
      <c r="OVC4" s="1115"/>
      <c r="OVD4" s="1115"/>
      <c r="OVE4" s="1115"/>
      <c r="OVF4" s="1115"/>
      <c r="OVG4" s="1115"/>
      <c r="OVH4" s="1115"/>
      <c r="OVI4" s="1115"/>
      <c r="OVJ4" s="1115"/>
      <c r="OVK4" s="1115"/>
      <c r="OVL4" s="1115"/>
      <c r="OVM4" s="1115"/>
      <c r="OVN4" s="1115"/>
      <c r="OVO4" s="1115"/>
      <c r="OVP4" s="1115"/>
      <c r="OVQ4" s="1115"/>
      <c r="OVR4" s="1115"/>
      <c r="OVS4" s="1115"/>
      <c r="OVT4" s="1115"/>
      <c r="OVU4" s="1115"/>
      <c r="OVV4" s="1115"/>
      <c r="OVW4" s="1115"/>
      <c r="OVX4" s="1115"/>
      <c r="OVY4" s="1115"/>
      <c r="OVZ4" s="1115"/>
      <c r="OWA4" s="1115"/>
      <c r="OWB4" s="1115"/>
      <c r="OWC4" s="1115"/>
      <c r="OWD4" s="1115"/>
      <c r="OWE4" s="1115"/>
      <c r="OWF4" s="1115"/>
      <c r="OWG4" s="1115"/>
      <c r="OWH4" s="1115"/>
      <c r="OWI4" s="1115"/>
      <c r="OWJ4" s="1115"/>
      <c r="OWK4" s="1115"/>
      <c r="OWL4" s="1115"/>
      <c r="OWM4" s="1115"/>
      <c r="OWN4" s="1115"/>
      <c r="OWO4" s="1115"/>
      <c r="OWP4" s="1115"/>
      <c r="OWQ4" s="1115"/>
      <c r="OWR4" s="1115"/>
      <c r="OWS4" s="1115"/>
      <c r="OWT4" s="1115"/>
      <c r="OWU4" s="1115"/>
      <c r="OWV4" s="1115"/>
      <c r="OWW4" s="1115"/>
      <c r="OWX4" s="1115"/>
      <c r="OWY4" s="1115"/>
      <c r="OWZ4" s="1115"/>
      <c r="OXA4" s="1115"/>
      <c r="OXB4" s="1115"/>
      <c r="OXC4" s="1115"/>
      <c r="OXD4" s="1115"/>
      <c r="OXE4" s="1115"/>
      <c r="OXF4" s="1115"/>
      <c r="OXG4" s="1115"/>
      <c r="OXH4" s="1115"/>
      <c r="OXI4" s="1115"/>
      <c r="OXJ4" s="1115"/>
      <c r="OXK4" s="1115"/>
      <c r="OXL4" s="1115"/>
      <c r="OXM4" s="1115"/>
      <c r="OXN4" s="1115"/>
      <c r="OXO4" s="1115"/>
      <c r="OXP4" s="1115"/>
      <c r="OXQ4" s="1115"/>
      <c r="OXR4" s="1115"/>
      <c r="OXS4" s="1115"/>
      <c r="OXT4" s="1115"/>
      <c r="OXU4" s="1115"/>
      <c r="OXV4" s="1115"/>
      <c r="OXW4" s="1115"/>
      <c r="OXX4" s="1115"/>
      <c r="OXY4" s="1115"/>
      <c r="OXZ4" s="1115"/>
      <c r="OYA4" s="1115"/>
      <c r="OYB4" s="1115"/>
      <c r="OYC4" s="1115"/>
      <c r="OYD4" s="1115"/>
      <c r="OYE4" s="1115"/>
      <c r="OYF4" s="1115"/>
      <c r="OYG4" s="1115"/>
      <c r="OYH4" s="1115"/>
      <c r="OYI4" s="1115"/>
      <c r="OYJ4" s="1115"/>
      <c r="OYK4" s="1115"/>
      <c r="OYL4" s="1115"/>
      <c r="OYM4" s="1115"/>
      <c r="OYN4" s="1115"/>
      <c r="OYO4" s="1115"/>
      <c r="OYP4" s="1115"/>
      <c r="OYQ4" s="1115"/>
      <c r="OYR4" s="1115"/>
      <c r="OYS4" s="1115"/>
      <c r="OYT4" s="1115"/>
      <c r="OYU4" s="1115"/>
      <c r="OYV4" s="1115"/>
      <c r="OYW4" s="1115"/>
      <c r="OYX4" s="1115"/>
      <c r="OYY4" s="1115"/>
      <c r="OYZ4" s="1115"/>
      <c r="OZA4" s="1115"/>
      <c r="OZB4" s="1115"/>
      <c r="OZC4" s="1115"/>
      <c r="OZD4" s="1115"/>
      <c r="OZE4" s="1115"/>
      <c r="OZF4" s="1115"/>
      <c r="OZG4" s="1115"/>
      <c r="OZH4" s="1115"/>
      <c r="OZI4" s="1115"/>
      <c r="OZJ4" s="1115"/>
      <c r="OZK4" s="1115"/>
      <c r="OZL4" s="1115"/>
      <c r="OZM4" s="1115"/>
      <c r="OZN4" s="1115"/>
      <c r="OZO4" s="1115"/>
      <c r="OZP4" s="1115"/>
      <c r="OZQ4" s="1115"/>
      <c r="OZR4" s="1115"/>
      <c r="OZS4" s="1115"/>
      <c r="OZT4" s="1115"/>
      <c r="OZU4" s="1115"/>
      <c r="OZV4" s="1115"/>
      <c r="OZW4" s="1115"/>
      <c r="OZX4" s="1115"/>
      <c r="OZY4" s="1115"/>
      <c r="OZZ4" s="1115"/>
      <c r="PAA4" s="1115"/>
      <c r="PAB4" s="1115"/>
      <c r="PAC4" s="1115"/>
      <c r="PAD4" s="1115"/>
      <c r="PAE4" s="1115"/>
      <c r="PAF4" s="1115"/>
      <c r="PAG4" s="1115"/>
      <c r="PAH4" s="1115"/>
      <c r="PAI4" s="1115"/>
      <c r="PAJ4" s="1115"/>
      <c r="PAK4" s="1115"/>
      <c r="PAL4" s="1115"/>
      <c r="PAM4" s="1115"/>
      <c r="PAN4" s="1115"/>
      <c r="PAO4" s="1115"/>
      <c r="PAP4" s="1115"/>
      <c r="PAQ4" s="1115"/>
      <c r="PAR4" s="1115"/>
      <c r="PAS4" s="1115"/>
      <c r="PAT4" s="1115"/>
      <c r="PAU4" s="1115"/>
      <c r="PAV4" s="1115"/>
      <c r="PAW4" s="1115"/>
      <c r="PAX4" s="1115"/>
      <c r="PAY4" s="1115"/>
      <c r="PAZ4" s="1115"/>
      <c r="PBA4" s="1115"/>
      <c r="PBB4" s="1115"/>
      <c r="PBC4" s="1115"/>
      <c r="PBD4" s="1115"/>
      <c r="PBE4" s="1115"/>
      <c r="PBF4" s="1115"/>
      <c r="PBG4" s="1115"/>
      <c r="PBH4" s="1115"/>
      <c r="PBI4" s="1115"/>
      <c r="PBJ4" s="1115"/>
      <c r="PBK4" s="1115"/>
      <c r="PBL4" s="1115"/>
      <c r="PBM4" s="1115"/>
      <c r="PBN4" s="1115"/>
      <c r="PBO4" s="1115"/>
      <c r="PBP4" s="1115"/>
      <c r="PBQ4" s="1115"/>
      <c r="PBR4" s="1115"/>
      <c r="PBS4" s="1115"/>
      <c r="PBT4" s="1115"/>
      <c r="PBU4" s="1115"/>
      <c r="PBV4" s="1115"/>
      <c r="PBW4" s="1115"/>
      <c r="PBX4" s="1115"/>
      <c r="PBY4" s="1115"/>
      <c r="PBZ4" s="1115"/>
      <c r="PCA4" s="1115"/>
      <c r="PCB4" s="1115"/>
      <c r="PCC4" s="1115"/>
      <c r="PCD4" s="1115"/>
      <c r="PCE4" s="1115"/>
      <c r="PCF4" s="1115"/>
      <c r="PCG4" s="1115"/>
      <c r="PCH4" s="1115"/>
      <c r="PCI4" s="1115"/>
      <c r="PCJ4" s="1115"/>
      <c r="PCK4" s="1115"/>
      <c r="PCL4" s="1115"/>
      <c r="PCM4" s="1115"/>
      <c r="PCN4" s="1115"/>
      <c r="PCO4" s="1115"/>
      <c r="PCP4" s="1115"/>
      <c r="PCQ4" s="1115"/>
      <c r="PCR4" s="1115"/>
      <c r="PCS4" s="1115"/>
      <c r="PCT4" s="1115"/>
      <c r="PCU4" s="1115"/>
      <c r="PCV4" s="1115"/>
      <c r="PCW4" s="1115"/>
      <c r="PCX4" s="1115"/>
      <c r="PCY4" s="1115"/>
      <c r="PCZ4" s="1115"/>
      <c r="PDA4" s="1115"/>
      <c r="PDB4" s="1115"/>
      <c r="PDC4" s="1115"/>
      <c r="PDD4" s="1115"/>
      <c r="PDE4" s="1115"/>
      <c r="PDF4" s="1115"/>
      <c r="PDG4" s="1115"/>
      <c r="PDH4" s="1115"/>
      <c r="PDI4" s="1115"/>
      <c r="PDJ4" s="1115"/>
      <c r="PDK4" s="1115"/>
      <c r="PDL4" s="1115"/>
      <c r="PDM4" s="1115"/>
      <c r="PDN4" s="1115"/>
      <c r="PDO4" s="1115"/>
      <c r="PDP4" s="1115"/>
      <c r="PDQ4" s="1115"/>
      <c r="PDR4" s="1115"/>
      <c r="PDS4" s="1115"/>
      <c r="PDT4" s="1115"/>
      <c r="PDU4" s="1115"/>
      <c r="PDV4" s="1115"/>
      <c r="PDW4" s="1115"/>
      <c r="PDX4" s="1115"/>
      <c r="PDY4" s="1115"/>
      <c r="PDZ4" s="1115"/>
      <c r="PEA4" s="1115"/>
      <c r="PEB4" s="1115"/>
      <c r="PEC4" s="1115"/>
      <c r="PED4" s="1115"/>
      <c r="PEE4" s="1115"/>
      <c r="PEF4" s="1115"/>
      <c r="PEG4" s="1115"/>
      <c r="PEH4" s="1115"/>
      <c r="PEI4" s="1115"/>
      <c r="PEJ4" s="1115"/>
      <c r="PEK4" s="1115"/>
      <c r="PEL4" s="1115"/>
      <c r="PEM4" s="1115"/>
      <c r="PEN4" s="1115"/>
      <c r="PEO4" s="1115"/>
      <c r="PEP4" s="1115"/>
      <c r="PEQ4" s="1115"/>
      <c r="PER4" s="1115"/>
      <c r="PES4" s="1115"/>
      <c r="PET4" s="1115"/>
      <c r="PEU4" s="1115"/>
      <c r="PEV4" s="1115"/>
      <c r="PEW4" s="1115"/>
      <c r="PEX4" s="1115"/>
      <c r="PEY4" s="1115"/>
      <c r="PEZ4" s="1115"/>
      <c r="PFA4" s="1115"/>
      <c r="PFB4" s="1115"/>
      <c r="PFC4" s="1115"/>
      <c r="PFD4" s="1115"/>
      <c r="PFE4" s="1115"/>
      <c r="PFF4" s="1115"/>
      <c r="PFG4" s="1115"/>
      <c r="PFH4" s="1115"/>
      <c r="PFI4" s="1115"/>
      <c r="PFJ4" s="1115"/>
      <c r="PFK4" s="1115"/>
      <c r="PFL4" s="1115"/>
      <c r="PFM4" s="1115"/>
      <c r="PFN4" s="1115"/>
      <c r="PFO4" s="1115"/>
      <c r="PFP4" s="1115"/>
      <c r="PFQ4" s="1115"/>
      <c r="PFR4" s="1115"/>
      <c r="PFS4" s="1115"/>
      <c r="PFT4" s="1115"/>
      <c r="PFU4" s="1115"/>
      <c r="PFV4" s="1115"/>
      <c r="PFW4" s="1115"/>
      <c r="PFX4" s="1115"/>
      <c r="PFY4" s="1115"/>
      <c r="PFZ4" s="1115"/>
      <c r="PGA4" s="1115"/>
      <c r="PGB4" s="1115"/>
      <c r="PGC4" s="1115"/>
      <c r="PGD4" s="1115"/>
      <c r="PGE4" s="1115"/>
      <c r="PGF4" s="1115"/>
      <c r="PGG4" s="1115"/>
      <c r="PGH4" s="1115"/>
      <c r="PGI4" s="1115"/>
      <c r="PGJ4" s="1115"/>
      <c r="PGK4" s="1115"/>
      <c r="PGL4" s="1115"/>
      <c r="PGM4" s="1115"/>
      <c r="PGN4" s="1115"/>
      <c r="PGO4" s="1115"/>
      <c r="PGP4" s="1115"/>
      <c r="PGQ4" s="1115"/>
      <c r="PGR4" s="1115"/>
      <c r="PGS4" s="1115"/>
      <c r="PGT4" s="1115"/>
      <c r="PGU4" s="1115"/>
      <c r="PGV4" s="1115"/>
      <c r="PGW4" s="1115"/>
      <c r="PGX4" s="1115"/>
      <c r="PGY4" s="1115"/>
      <c r="PGZ4" s="1115"/>
      <c r="PHA4" s="1115"/>
      <c r="PHB4" s="1115"/>
      <c r="PHC4" s="1115"/>
      <c r="PHD4" s="1115"/>
      <c r="PHE4" s="1115"/>
      <c r="PHF4" s="1115"/>
      <c r="PHG4" s="1115"/>
      <c r="PHH4" s="1115"/>
      <c r="PHI4" s="1115"/>
      <c r="PHJ4" s="1115"/>
      <c r="PHK4" s="1115"/>
      <c r="PHL4" s="1115"/>
      <c r="PHM4" s="1115"/>
      <c r="PHN4" s="1115"/>
      <c r="PHO4" s="1115"/>
      <c r="PHP4" s="1115"/>
      <c r="PHQ4" s="1115"/>
      <c r="PHR4" s="1115"/>
      <c r="PHS4" s="1115"/>
      <c r="PHT4" s="1115"/>
      <c r="PHU4" s="1115"/>
      <c r="PHV4" s="1115"/>
      <c r="PHW4" s="1115"/>
      <c r="PHX4" s="1115"/>
      <c r="PHY4" s="1115"/>
      <c r="PHZ4" s="1115"/>
      <c r="PIA4" s="1115"/>
      <c r="PIB4" s="1115"/>
      <c r="PIC4" s="1115"/>
      <c r="PID4" s="1115"/>
      <c r="PIE4" s="1115"/>
      <c r="PIF4" s="1115"/>
      <c r="PIG4" s="1115"/>
      <c r="PIH4" s="1115"/>
      <c r="PII4" s="1115"/>
      <c r="PIJ4" s="1115"/>
      <c r="PIK4" s="1115"/>
      <c r="PIL4" s="1115"/>
      <c r="PIM4" s="1115"/>
      <c r="PIN4" s="1115"/>
      <c r="PIO4" s="1115"/>
      <c r="PIP4" s="1115"/>
      <c r="PIQ4" s="1115"/>
      <c r="PIR4" s="1115"/>
      <c r="PIS4" s="1115"/>
      <c r="PIT4" s="1115"/>
      <c r="PIU4" s="1115"/>
      <c r="PIV4" s="1115"/>
      <c r="PIW4" s="1115"/>
      <c r="PIX4" s="1115"/>
      <c r="PIY4" s="1115"/>
      <c r="PIZ4" s="1115"/>
      <c r="PJA4" s="1115"/>
      <c r="PJB4" s="1115"/>
      <c r="PJC4" s="1115"/>
      <c r="PJD4" s="1115"/>
      <c r="PJE4" s="1115"/>
      <c r="PJF4" s="1115"/>
      <c r="PJG4" s="1115"/>
      <c r="PJH4" s="1115"/>
      <c r="PJI4" s="1115"/>
      <c r="PJJ4" s="1115"/>
      <c r="PJK4" s="1115"/>
      <c r="PJL4" s="1115"/>
      <c r="PJM4" s="1115"/>
      <c r="PJN4" s="1115"/>
      <c r="PJO4" s="1115"/>
      <c r="PJP4" s="1115"/>
      <c r="PJQ4" s="1115"/>
      <c r="PJR4" s="1115"/>
      <c r="PJS4" s="1115"/>
      <c r="PJT4" s="1115"/>
      <c r="PJU4" s="1115"/>
      <c r="PJV4" s="1115"/>
      <c r="PJW4" s="1115"/>
      <c r="PJX4" s="1115"/>
      <c r="PJY4" s="1115"/>
      <c r="PJZ4" s="1115"/>
      <c r="PKA4" s="1115"/>
      <c r="PKB4" s="1115"/>
      <c r="PKC4" s="1115"/>
      <c r="PKD4" s="1115"/>
      <c r="PKE4" s="1115"/>
      <c r="PKF4" s="1115"/>
      <c r="PKG4" s="1115"/>
      <c r="PKH4" s="1115"/>
      <c r="PKI4" s="1115"/>
      <c r="PKJ4" s="1115"/>
      <c r="PKK4" s="1115"/>
      <c r="PKL4" s="1115"/>
      <c r="PKM4" s="1115"/>
      <c r="PKN4" s="1115"/>
      <c r="PKO4" s="1115"/>
      <c r="PKP4" s="1115"/>
      <c r="PKQ4" s="1115"/>
      <c r="PKR4" s="1115"/>
      <c r="PKS4" s="1115"/>
      <c r="PKT4" s="1115"/>
      <c r="PKU4" s="1115"/>
      <c r="PKV4" s="1115"/>
      <c r="PKW4" s="1115"/>
      <c r="PKX4" s="1115"/>
      <c r="PKY4" s="1115"/>
      <c r="PKZ4" s="1115"/>
      <c r="PLA4" s="1115"/>
      <c r="PLB4" s="1115"/>
      <c r="PLC4" s="1115"/>
      <c r="PLD4" s="1115"/>
      <c r="PLE4" s="1115"/>
      <c r="PLF4" s="1115"/>
      <c r="PLG4" s="1115"/>
      <c r="PLH4" s="1115"/>
      <c r="PLI4" s="1115"/>
      <c r="PLJ4" s="1115"/>
      <c r="PLK4" s="1115"/>
      <c r="PLL4" s="1115"/>
      <c r="PLM4" s="1115"/>
      <c r="PLN4" s="1115"/>
      <c r="PLO4" s="1115"/>
      <c r="PLP4" s="1115"/>
      <c r="PLQ4" s="1115"/>
      <c r="PLR4" s="1115"/>
      <c r="PLS4" s="1115"/>
      <c r="PLT4" s="1115"/>
      <c r="PLU4" s="1115"/>
      <c r="PLV4" s="1115"/>
      <c r="PLW4" s="1115"/>
      <c r="PLX4" s="1115"/>
      <c r="PLY4" s="1115"/>
      <c r="PLZ4" s="1115"/>
      <c r="PMA4" s="1115"/>
      <c r="PMB4" s="1115"/>
      <c r="PMC4" s="1115"/>
      <c r="PMD4" s="1115"/>
      <c r="PME4" s="1115"/>
      <c r="PMF4" s="1115"/>
      <c r="PMG4" s="1115"/>
      <c r="PMH4" s="1115"/>
      <c r="PMI4" s="1115"/>
      <c r="PMJ4" s="1115"/>
      <c r="PMK4" s="1115"/>
      <c r="PML4" s="1115"/>
      <c r="PMM4" s="1115"/>
      <c r="PMN4" s="1115"/>
      <c r="PMO4" s="1115"/>
      <c r="PMP4" s="1115"/>
      <c r="PMQ4" s="1115"/>
      <c r="PMR4" s="1115"/>
      <c r="PMS4" s="1115"/>
      <c r="PMT4" s="1115"/>
      <c r="PMU4" s="1115"/>
      <c r="PMV4" s="1115"/>
      <c r="PMW4" s="1115"/>
      <c r="PMX4" s="1115"/>
      <c r="PMY4" s="1115"/>
      <c r="PMZ4" s="1115"/>
      <c r="PNA4" s="1115"/>
      <c r="PNB4" s="1115"/>
      <c r="PNC4" s="1115"/>
      <c r="PND4" s="1115"/>
      <c r="PNE4" s="1115"/>
      <c r="PNF4" s="1115"/>
      <c r="PNG4" s="1115"/>
      <c r="PNH4" s="1115"/>
      <c r="PNI4" s="1115"/>
      <c r="PNJ4" s="1115"/>
      <c r="PNK4" s="1115"/>
      <c r="PNL4" s="1115"/>
      <c r="PNM4" s="1115"/>
      <c r="PNN4" s="1115"/>
      <c r="PNO4" s="1115"/>
      <c r="PNP4" s="1115"/>
      <c r="PNQ4" s="1115"/>
      <c r="PNR4" s="1115"/>
      <c r="PNS4" s="1115"/>
      <c r="PNT4" s="1115"/>
      <c r="PNU4" s="1115"/>
      <c r="PNV4" s="1115"/>
      <c r="PNW4" s="1115"/>
      <c r="PNX4" s="1115"/>
      <c r="PNY4" s="1115"/>
      <c r="PNZ4" s="1115"/>
      <c r="POA4" s="1115"/>
      <c r="POB4" s="1115"/>
      <c r="POC4" s="1115"/>
      <c r="POD4" s="1115"/>
      <c r="POE4" s="1115"/>
      <c r="POF4" s="1115"/>
      <c r="POG4" s="1115"/>
      <c r="POH4" s="1115"/>
      <c r="POI4" s="1115"/>
      <c r="POJ4" s="1115"/>
      <c r="POK4" s="1115"/>
      <c r="POL4" s="1115"/>
      <c r="POM4" s="1115"/>
      <c r="PON4" s="1115"/>
      <c r="POO4" s="1115"/>
      <c r="POP4" s="1115"/>
      <c r="POQ4" s="1115"/>
      <c r="POR4" s="1115"/>
      <c r="POS4" s="1115"/>
      <c r="POT4" s="1115"/>
      <c r="POU4" s="1115"/>
      <c r="POV4" s="1115"/>
      <c r="POW4" s="1115"/>
      <c r="POX4" s="1115"/>
      <c r="POY4" s="1115"/>
      <c r="POZ4" s="1115"/>
      <c r="PPA4" s="1115"/>
      <c r="PPB4" s="1115"/>
      <c r="PPC4" s="1115"/>
      <c r="PPD4" s="1115"/>
      <c r="PPE4" s="1115"/>
      <c r="PPF4" s="1115"/>
      <c r="PPG4" s="1115"/>
      <c r="PPH4" s="1115"/>
      <c r="PPI4" s="1115"/>
      <c r="PPJ4" s="1115"/>
      <c r="PPK4" s="1115"/>
      <c r="PPL4" s="1115"/>
      <c r="PPM4" s="1115"/>
      <c r="PPN4" s="1115"/>
      <c r="PPO4" s="1115"/>
      <c r="PPP4" s="1115"/>
      <c r="PPQ4" s="1115"/>
      <c r="PPR4" s="1115"/>
      <c r="PPS4" s="1115"/>
      <c r="PPT4" s="1115"/>
      <c r="PPU4" s="1115"/>
      <c r="PPV4" s="1115"/>
      <c r="PPW4" s="1115"/>
      <c r="PPX4" s="1115"/>
      <c r="PPY4" s="1115"/>
      <c r="PPZ4" s="1115"/>
      <c r="PQA4" s="1115"/>
      <c r="PQB4" s="1115"/>
      <c r="PQC4" s="1115"/>
      <c r="PQD4" s="1115"/>
      <c r="PQE4" s="1115"/>
      <c r="PQF4" s="1115"/>
      <c r="PQG4" s="1115"/>
      <c r="PQH4" s="1115"/>
      <c r="PQI4" s="1115"/>
      <c r="PQJ4" s="1115"/>
      <c r="PQK4" s="1115"/>
      <c r="PQL4" s="1115"/>
      <c r="PQM4" s="1115"/>
      <c r="PQN4" s="1115"/>
      <c r="PQO4" s="1115"/>
      <c r="PQP4" s="1115"/>
      <c r="PQQ4" s="1115"/>
      <c r="PQR4" s="1115"/>
      <c r="PQS4" s="1115"/>
      <c r="PQT4" s="1115"/>
      <c r="PQU4" s="1115"/>
      <c r="PQV4" s="1115"/>
      <c r="PQW4" s="1115"/>
      <c r="PQX4" s="1115"/>
      <c r="PQY4" s="1115"/>
      <c r="PQZ4" s="1115"/>
      <c r="PRA4" s="1115"/>
      <c r="PRB4" s="1115"/>
      <c r="PRC4" s="1115"/>
      <c r="PRD4" s="1115"/>
      <c r="PRE4" s="1115"/>
      <c r="PRF4" s="1115"/>
      <c r="PRG4" s="1115"/>
      <c r="PRH4" s="1115"/>
      <c r="PRI4" s="1115"/>
      <c r="PRJ4" s="1115"/>
      <c r="PRK4" s="1115"/>
      <c r="PRL4" s="1115"/>
      <c r="PRM4" s="1115"/>
      <c r="PRN4" s="1115"/>
      <c r="PRO4" s="1115"/>
      <c r="PRP4" s="1115"/>
      <c r="PRQ4" s="1115"/>
      <c r="PRR4" s="1115"/>
      <c r="PRS4" s="1115"/>
      <c r="PRT4" s="1115"/>
      <c r="PRU4" s="1115"/>
      <c r="PRV4" s="1115"/>
      <c r="PRW4" s="1115"/>
      <c r="PRX4" s="1115"/>
      <c r="PRY4" s="1115"/>
      <c r="PRZ4" s="1115"/>
      <c r="PSA4" s="1115"/>
      <c r="PSB4" s="1115"/>
      <c r="PSC4" s="1115"/>
      <c r="PSD4" s="1115"/>
      <c r="PSE4" s="1115"/>
      <c r="PSF4" s="1115"/>
      <c r="PSG4" s="1115"/>
      <c r="PSH4" s="1115"/>
      <c r="PSI4" s="1115"/>
      <c r="PSJ4" s="1115"/>
      <c r="PSK4" s="1115"/>
      <c r="PSL4" s="1115"/>
      <c r="PSM4" s="1115"/>
      <c r="PSN4" s="1115"/>
      <c r="PSO4" s="1115"/>
      <c r="PSP4" s="1115"/>
      <c r="PSQ4" s="1115"/>
      <c r="PSR4" s="1115"/>
      <c r="PSS4" s="1115"/>
      <c r="PST4" s="1115"/>
      <c r="PSU4" s="1115"/>
      <c r="PSV4" s="1115"/>
      <c r="PSW4" s="1115"/>
      <c r="PSX4" s="1115"/>
      <c r="PSY4" s="1115"/>
      <c r="PSZ4" s="1115"/>
      <c r="PTA4" s="1115"/>
      <c r="PTB4" s="1115"/>
      <c r="PTC4" s="1115"/>
      <c r="PTD4" s="1115"/>
      <c r="PTE4" s="1115"/>
      <c r="PTF4" s="1115"/>
      <c r="PTG4" s="1115"/>
      <c r="PTH4" s="1115"/>
      <c r="PTI4" s="1115"/>
      <c r="PTJ4" s="1115"/>
      <c r="PTK4" s="1115"/>
      <c r="PTL4" s="1115"/>
      <c r="PTM4" s="1115"/>
      <c r="PTN4" s="1115"/>
      <c r="PTO4" s="1115"/>
      <c r="PTP4" s="1115"/>
      <c r="PTQ4" s="1115"/>
      <c r="PTR4" s="1115"/>
      <c r="PTS4" s="1115"/>
      <c r="PTT4" s="1115"/>
      <c r="PTU4" s="1115"/>
      <c r="PTV4" s="1115"/>
      <c r="PTW4" s="1115"/>
      <c r="PTX4" s="1115"/>
      <c r="PTY4" s="1115"/>
      <c r="PTZ4" s="1115"/>
      <c r="PUA4" s="1115"/>
      <c r="PUB4" s="1115"/>
      <c r="PUC4" s="1115"/>
      <c r="PUD4" s="1115"/>
      <c r="PUE4" s="1115"/>
      <c r="PUF4" s="1115"/>
      <c r="PUG4" s="1115"/>
      <c r="PUH4" s="1115"/>
      <c r="PUI4" s="1115"/>
      <c r="PUJ4" s="1115"/>
      <c r="PUK4" s="1115"/>
      <c r="PUL4" s="1115"/>
      <c r="PUM4" s="1115"/>
      <c r="PUN4" s="1115"/>
      <c r="PUO4" s="1115"/>
      <c r="PUP4" s="1115"/>
      <c r="PUQ4" s="1115"/>
      <c r="PUR4" s="1115"/>
      <c r="PUS4" s="1115"/>
      <c r="PUT4" s="1115"/>
      <c r="PUU4" s="1115"/>
      <c r="PUV4" s="1115"/>
      <c r="PUW4" s="1115"/>
      <c r="PUX4" s="1115"/>
      <c r="PUY4" s="1115"/>
      <c r="PUZ4" s="1115"/>
      <c r="PVA4" s="1115"/>
      <c r="PVB4" s="1115"/>
      <c r="PVC4" s="1115"/>
      <c r="PVD4" s="1115"/>
      <c r="PVE4" s="1115"/>
      <c r="PVF4" s="1115"/>
      <c r="PVG4" s="1115"/>
      <c r="PVH4" s="1115"/>
      <c r="PVI4" s="1115"/>
      <c r="PVJ4" s="1115"/>
      <c r="PVK4" s="1115"/>
      <c r="PVL4" s="1115"/>
      <c r="PVM4" s="1115"/>
      <c r="PVN4" s="1115"/>
      <c r="PVO4" s="1115"/>
      <c r="PVP4" s="1115"/>
      <c r="PVQ4" s="1115"/>
      <c r="PVR4" s="1115"/>
      <c r="PVS4" s="1115"/>
      <c r="PVT4" s="1115"/>
      <c r="PVU4" s="1115"/>
      <c r="PVV4" s="1115"/>
      <c r="PVW4" s="1115"/>
      <c r="PVX4" s="1115"/>
      <c r="PVY4" s="1115"/>
      <c r="PVZ4" s="1115"/>
      <c r="PWA4" s="1115"/>
      <c r="PWB4" s="1115"/>
      <c r="PWC4" s="1115"/>
      <c r="PWD4" s="1115"/>
      <c r="PWE4" s="1115"/>
      <c r="PWF4" s="1115"/>
      <c r="PWG4" s="1115"/>
      <c r="PWH4" s="1115"/>
      <c r="PWI4" s="1115"/>
      <c r="PWJ4" s="1115"/>
      <c r="PWK4" s="1115"/>
      <c r="PWL4" s="1115"/>
      <c r="PWM4" s="1115"/>
      <c r="PWN4" s="1115"/>
      <c r="PWO4" s="1115"/>
      <c r="PWP4" s="1115"/>
      <c r="PWQ4" s="1115"/>
      <c r="PWR4" s="1115"/>
      <c r="PWS4" s="1115"/>
      <c r="PWT4" s="1115"/>
      <c r="PWU4" s="1115"/>
      <c r="PWV4" s="1115"/>
      <c r="PWW4" s="1115"/>
      <c r="PWX4" s="1115"/>
      <c r="PWY4" s="1115"/>
      <c r="PWZ4" s="1115"/>
      <c r="PXA4" s="1115"/>
      <c r="PXB4" s="1115"/>
      <c r="PXC4" s="1115"/>
      <c r="PXD4" s="1115"/>
      <c r="PXE4" s="1115"/>
      <c r="PXF4" s="1115"/>
      <c r="PXG4" s="1115"/>
      <c r="PXH4" s="1115"/>
      <c r="PXI4" s="1115"/>
      <c r="PXJ4" s="1115"/>
      <c r="PXK4" s="1115"/>
      <c r="PXL4" s="1115"/>
      <c r="PXM4" s="1115"/>
      <c r="PXN4" s="1115"/>
      <c r="PXO4" s="1115"/>
      <c r="PXP4" s="1115"/>
      <c r="PXQ4" s="1115"/>
      <c r="PXR4" s="1115"/>
      <c r="PXS4" s="1115"/>
      <c r="PXT4" s="1115"/>
      <c r="PXU4" s="1115"/>
      <c r="PXV4" s="1115"/>
      <c r="PXW4" s="1115"/>
      <c r="PXX4" s="1115"/>
      <c r="PXY4" s="1115"/>
      <c r="PXZ4" s="1115"/>
      <c r="PYA4" s="1115"/>
      <c r="PYB4" s="1115"/>
      <c r="PYC4" s="1115"/>
      <c r="PYD4" s="1115"/>
      <c r="PYE4" s="1115"/>
      <c r="PYF4" s="1115"/>
      <c r="PYG4" s="1115"/>
      <c r="PYH4" s="1115"/>
      <c r="PYI4" s="1115"/>
      <c r="PYJ4" s="1115"/>
      <c r="PYK4" s="1115"/>
      <c r="PYL4" s="1115"/>
      <c r="PYM4" s="1115"/>
      <c r="PYN4" s="1115"/>
      <c r="PYO4" s="1115"/>
      <c r="PYP4" s="1115"/>
      <c r="PYQ4" s="1115"/>
      <c r="PYR4" s="1115"/>
      <c r="PYS4" s="1115"/>
      <c r="PYT4" s="1115"/>
      <c r="PYU4" s="1115"/>
      <c r="PYV4" s="1115"/>
      <c r="PYW4" s="1115"/>
      <c r="PYX4" s="1115"/>
      <c r="PYY4" s="1115"/>
      <c r="PYZ4" s="1115"/>
      <c r="PZA4" s="1115"/>
      <c r="PZB4" s="1115"/>
      <c r="PZC4" s="1115"/>
      <c r="PZD4" s="1115"/>
      <c r="PZE4" s="1115"/>
      <c r="PZF4" s="1115"/>
      <c r="PZG4" s="1115"/>
      <c r="PZH4" s="1115"/>
      <c r="PZI4" s="1115"/>
      <c r="PZJ4" s="1115"/>
      <c r="PZK4" s="1115"/>
      <c r="PZL4" s="1115"/>
      <c r="PZM4" s="1115"/>
      <c r="PZN4" s="1115"/>
      <c r="PZO4" s="1115"/>
      <c r="PZP4" s="1115"/>
      <c r="PZQ4" s="1115"/>
      <c r="PZR4" s="1115"/>
      <c r="PZS4" s="1115"/>
      <c r="PZT4" s="1115"/>
      <c r="PZU4" s="1115"/>
      <c r="PZV4" s="1115"/>
      <c r="PZW4" s="1115"/>
      <c r="PZX4" s="1115"/>
      <c r="PZY4" s="1115"/>
      <c r="PZZ4" s="1115"/>
      <c r="QAA4" s="1115"/>
      <c r="QAB4" s="1115"/>
      <c r="QAC4" s="1115"/>
      <c r="QAD4" s="1115"/>
      <c r="QAE4" s="1115"/>
      <c r="QAF4" s="1115"/>
      <c r="QAG4" s="1115"/>
      <c r="QAH4" s="1115"/>
      <c r="QAI4" s="1115"/>
      <c r="QAJ4" s="1115"/>
      <c r="QAK4" s="1115"/>
      <c r="QAL4" s="1115"/>
      <c r="QAM4" s="1115"/>
      <c r="QAN4" s="1115"/>
      <c r="QAO4" s="1115"/>
      <c r="QAP4" s="1115"/>
      <c r="QAQ4" s="1115"/>
      <c r="QAR4" s="1115"/>
      <c r="QAS4" s="1115"/>
      <c r="QAT4" s="1115"/>
      <c r="QAU4" s="1115"/>
      <c r="QAV4" s="1115"/>
      <c r="QAW4" s="1115"/>
      <c r="QAX4" s="1115"/>
      <c r="QAY4" s="1115"/>
      <c r="QAZ4" s="1115"/>
      <c r="QBA4" s="1115"/>
      <c r="QBB4" s="1115"/>
      <c r="QBC4" s="1115"/>
      <c r="QBD4" s="1115"/>
      <c r="QBE4" s="1115"/>
      <c r="QBF4" s="1115"/>
      <c r="QBG4" s="1115"/>
      <c r="QBH4" s="1115"/>
      <c r="QBI4" s="1115"/>
      <c r="QBJ4" s="1115"/>
      <c r="QBK4" s="1115"/>
      <c r="QBL4" s="1115"/>
      <c r="QBM4" s="1115"/>
      <c r="QBN4" s="1115"/>
      <c r="QBO4" s="1115"/>
      <c r="QBP4" s="1115"/>
      <c r="QBQ4" s="1115"/>
      <c r="QBR4" s="1115"/>
      <c r="QBS4" s="1115"/>
      <c r="QBT4" s="1115"/>
      <c r="QBU4" s="1115"/>
      <c r="QBV4" s="1115"/>
      <c r="QBW4" s="1115"/>
      <c r="QBX4" s="1115"/>
      <c r="QBY4" s="1115"/>
      <c r="QBZ4" s="1115"/>
      <c r="QCA4" s="1115"/>
      <c r="QCB4" s="1115"/>
      <c r="QCC4" s="1115"/>
      <c r="QCD4" s="1115"/>
      <c r="QCE4" s="1115"/>
      <c r="QCF4" s="1115"/>
      <c r="QCG4" s="1115"/>
      <c r="QCH4" s="1115"/>
      <c r="QCI4" s="1115"/>
      <c r="QCJ4" s="1115"/>
      <c r="QCK4" s="1115"/>
      <c r="QCL4" s="1115"/>
      <c r="QCM4" s="1115"/>
      <c r="QCN4" s="1115"/>
      <c r="QCO4" s="1115"/>
      <c r="QCP4" s="1115"/>
      <c r="QCQ4" s="1115"/>
      <c r="QCR4" s="1115"/>
      <c r="QCS4" s="1115"/>
      <c r="QCT4" s="1115"/>
      <c r="QCU4" s="1115"/>
      <c r="QCV4" s="1115"/>
      <c r="QCW4" s="1115"/>
      <c r="QCX4" s="1115"/>
      <c r="QCY4" s="1115"/>
      <c r="QCZ4" s="1115"/>
      <c r="QDA4" s="1115"/>
      <c r="QDB4" s="1115"/>
      <c r="QDC4" s="1115"/>
      <c r="QDD4" s="1115"/>
      <c r="QDE4" s="1115"/>
      <c r="QDF4" s="1115"/>
      <c r="QDG4" s="1115"/>
      <c r="QDH4" s="1115"/>
      <c r="QDI4" s="1115"/>
      <c r="QDJ4" s="1115"/>
      <c r="QDK4" s="1115"/>
      <c r="QDL4" s="1115"/>
      <c r="QDM4" s="1115"/>
      <c r="QDN4" s="1115"/>
      <c r="QDO4" s="1115"/>
      <c r="QDP4" s="1115"/>
      <c r="QDQ4" s="1115"/>
      <c r="QDR4" s="1115"/>
      <c r="QDS4" s="1115"/>
      <c r="QDT4" s="1115"/>
      <c r="QDU4" s="1115"/>
      <c r="QDV4" s="1115"/>
      <c r="QDW4" s="1115"/>
      <c r="QDX4" s="1115"/>
      <c r="QDY4" s="1115"/>
      <c r="QDZ4" s="1115"/>
      <c r="QEA4" s="1115"/>
      <c r="QEB4" s="1115"/>
      <c r="QEC4" s="1115"/>
      <c r="QED4" s="1115"/>
      <c r="QEE4" s="1115"/>
      <c r="QEF4" s="1115"/>
      <c r="QEG4" s="1115"/>
      <c r="QEH4" s="1115"/>
      <c r="QEI4" s="1115"/>
      <c r="QEJ4" s="1115"/>
      <c r="QEK4" s="1115"/>
      <c r="QEL4" s="1115"/>
      <c r="QEM4" s="1115"/>
      <c r="QEN4" s="1115"/>
      <c r="QEO4" s="1115"/>
      <c r="QEP4" s="1115"/>
      <c r="QEQ4" s="1115"/>
      <c r="QER4" s="1115"/>
      <c r="QES4" s="1115"/>
      <c r="QET4" s="1115"/>
      <c r="QEU4" s="1115"/>
      <c r="QEV4" s="1115"/>
      <c r="QEW4" s="1115"/>
      <c r="QEX4" s="1115"/>
      <c r="QEY4" s="1115"/>
      <c r="QEZ4" s="1115"/>
      <c r="QFA4" s="1115"/>
      <c r="QFB4" s="1115"/>
      <c r="QFC4" s="1115"/>
      <c r="QFD4" s="1115"/>
      <c r="QFE4" s="1115"/>
      <c r="QFF4" s="1115"/>
      <c r="QFG4" s="1115"/>
      <c r="QFH4" s="1115"/>
      <c r="QFI4" s="1115"/>
      <c r="QFJ4" s="1115"/>
      <c r="QFK4" s="1115"/>
      <c r="QFL4" s="1115"/>
      <c r="QFM4" s="1115"/>
      <c r="QFN4" s="1115"/>
      <c r="QFO4" s="1115"/>
      <c r="QFP4" s="1115"/>
      <c r="QFQ4" s="1115"/>
      <c r="QFR4" s="1115"/>
      <c r="QFS4" s="1115"/>
      <c r="QFT4" s="1115"/>
      <c r="QFU4" s="1115"/>
      <c r="QFV4" s="1115"/>
      <c r="QFW4" s="1115"/>
      <c r="QFX4" s="1115"/>
      <c r="QFY4" s="1115"/>
      <c r="QFZ4" s="1115"/>
      <c r="QGA4" s="1115"/>
      <c r="QGB4" s="1115"/>
      <c r="QGC4" s="1115"/>
      <c r="QGD4" s="1115"/>
      <c r="QGE4" s="1115"/>
      <c r="QGF4" s="1115"/>
      <c r="QGG4" s="1115"/>
      <c r="QGH4" s="1115"/>
      <c r="QGI4" s="1115"/>
      <c r="QGJ4" s="1115"/>
      <c r="QGK4" s="1115"/>
      <c r="QGL4" s="1115"/>
      <c r="QGM4" s="1115"/>
      <c r="QGN4" s="1115"/>
      <c r="QGO4" s="1115"/>
      <c r="QGP4" s="1115"/>
      <c r="QGQ4" s="1115"/>
      <c r="QGR4" s="1115"/>
      <c r="QGS4" s="1115"/>
      <c r="QGT4" s="1115"/>
      <c r="QGU4" s="1115"/>
      <c r="QGV4" s="1115"/>
      <c r="QGW4" s="1115"/>
      <c r="QGX4" s="1115"/>
      <c r="QGY4" s="1115"/>
      <c r="QGZ4" s="1115"/>
      <c r="QHA4" s="1115"/>
      <c r="QHB4" s="1115"/>
      <c r="QHC4" s="1115"/>
      <c r="QHD4" s="1115"/>
      <c r="QHE4" s="1115"/>
      <c r="QHF4" s="1115"/>
      <c r="QHG4" s="1115"/>
      <c r="QHH4" s="1115"/>
      <c r="QHI4" s="1115"/>
      <c r="QHJ4" s="1115"/>
      <c r="QHK4" s="1115"/>
      <c r="QHL4" s="1115"/>
      <c r="QHM4" s="1115"/>
      <c r="QHN4" s="1115"/>
      <c r="QHO4" s="1115"/>
      <c r="QHP4" s="1115"/>
      <c r="QHQ4" s="1115"/>
      <c r="QHR4" s="1115"/>
      <c r="QHS4" s="1115"/>
      <c r="QHT4" s="1115"/>
      <c r="QHU4" s="1115"/>
      <c r="QHV4" s="1115"/>
      <c r="QHW4" s="1115"/>
      <c r="QHX4" s="1115"/>
      <c r="QHY4" s="1115"/>
      <c r="QHZ4" s="1115"/>
      <c r="QIA4" s="1115"/>
      <c r="QIB4" s="1115"/>
      <c r="QIC4" s="1115"/>
      <c r="QID4" s="1115"/>
      <c r="QIE4" s="1115"/>
      <c r="QIF4" s="1115"/>
      <c r="QIG4" s="1115"/>
      <c r="QIH4" s="1115"/>
      <c r="QII4" s="1115"/>
      <c r="QIJ4" s="1115"/>
      <c r="QIK4" s="1115"/>
      <c r="QIL4" s="1115"/>
      <c r="QIM4" s="1115"/>
      <c r="QIN4" s="1115"/>
      <c r="QIO4" s="1115"/>
      <c r="QIP4" s="1115"/>
      <c r="QIQ4" s="1115"/>
      <c r="QIR4" s="1115"/>
      <c r="QIS4" s="1115"/>
      <c r="QIT4" s="1115"/>
      <c r="QIU4" s="1115"/>
      <c r="QIV4" s="1115"/>
      <c r="QIW4" s="1115"/>
      <c r="QIX4" s="1115"/>
      <c r="QIY4" s="1115"/>
      <c r="QIZ4" s="1115"/>
      <c r="QJA4" s="1115"/>
      <c r="QJB4" s="1115"/>
      <c r="QJC4" s="1115"/>
      <c r="QJD4" s="1115"/>
      <c r="QJE4" s="1115"/>
      <c r="QJF4" s="1115"/>
      <c r="QJG4" s="1115"/>
      <c r="QJH4" s="1115"/>
      <c r="QJI4" s="1115"/>
      <c r="QJJ4" s="1115"/>
      <c r="QJK4" s="1115"/>
      <c r="QJL4" s="1115"/>
      <c r="QJM4" s="1115"/>
      <c r="QJN4" s="1115"/>
      <c r="QJO4" s="1115"/>
      <c r="QJP4" s="1115"/>
      <c r="QJQ4" s="1115"/>
      <c r="QJR4" s="1115"/>
      <c r="QJS4" s="1115"/>
      <c r="QJT4" s="1115"/>
      <c r="QJU4" s="1115"/>
      <c r="QJV4" s="1115"/>
      <c r="QJW4" s="1115"/>
      <c r="QJX4" s="1115"/>
      <c r="QJY4" s="1115"/>
      <c r="QJZ4" s="1115"/>
      <c r="QKA4" s="1115"/>
      <c r="QKB4" s="1115"/>
      <c r="QKC4" s="1115"/>
      <c r="QKD4" s="1115"/>
      <c r="QKE4" s="1115"/>
      <c r="QKF4" s="1115"/>
      <c r="QKG4" s="1115"/>
      <c r="QKH4" s="1115"/>
      <c r="QKI4" s="1115"/>
      <c r="QKJ4" s="1115"/>
      <c r="QKK4" s="1115"/>
      <c r="QKL4" s="1115"/>
      <c r="QKM4" s="1115"/>
      <c r="QKN4" s="1115"/>
      <c r="QKO4" s="1115"/>
      <c r="QKP4" s="1115"/>
      <c r="QKQ4" s="1115"/>
      <c r="QKR4" s="1115"/>
      <c r="QKS4" s="1115"/>
      <c r="QKT4" s="1115"/>
      <c r="QKU4" s="1115"/>
      <c r="QKV4" s="1115"/>
      <c r="QKW4" s="1115"/>
      <c r="QKX4" s="1115"/>
      <c r="QKY4" s="1115"/>
      <c r="QKZ4" s="1115"/>
      <c r="QLA4" s="1115"/>
      <c r="QLB4" s="1115"/>
      <c r="QLC4" s="1115"/>
      <c r="QLD4" s="1115"/>
      <c r="QLE4" s="1115"/>
      <c r="QLF4" s="1115"/>
      <c r="QLG4" s="1115"/>
      <c r="QLH4" s="1115"/>
      <c r="QLI4" s="1115"/>
      <c r="QLJ4" s="1115"/>
      <c r="QLK4" s="1115"/>
      <c r="QLL4" s="1115"/>
      <c r="QLM4" s="1115"/>
      <c r="QLN4" s="1115"/>
      <c r="QLO4" s="1115"/>
      <c r="QLP4" s="1115"/>
      <c r="QLQ4" s="1115"/>
      <c r="QLR4" s="1115"/>
      <c r="QLS4" s="1115"/>
      <c r="QLT4" s="1115"/>
      <c r="QLU4" s="1115"/>
      <c r="QLV4" s="1115"/>
      <c r="QLW4" s="1115"/>
      <c r="QLX4" s="1115"/>
      <c r="QLY4" s="1115"/>
      <c r="QLZ4" s="1115"/>
      <c r="QMA4" s="1115"/>
      <c r="QMB4" s="1115"/>
      <c r="QMC4" s="1115"/>
      <c r="QMD4" s="1115"/>
      <c r="QME4" s="1115"/>
      <c r="QMF4" s="1115"/>
      <c r="QMG4" s="1115"/>
      <c r="QMH4" s="1115"/>
      <c r="QMI4" s="1115"/>
      <c r="QMJ4" s="1115"/>
      <c r="QMK4" s="1115"/>
      <c r="QML4" s="1115"/>
      <c r="QMM4" s="1115"/>
      <c r="QMN4" s="1115"/>
      <c r="QMO4" s="1115"/>
      <c r="QMP4" s="1115"/>
      <c r="QMQ4" s="1115"/>
      <c r="QMR4" s="1115"/>
      <c r="QMS4" s="1115"/>
      <c r="QMT4" s="1115"/>
      <c r="QMU4" s="1115"/>
      <c r="QMV4" s="1115"/>
      <c r="QMW4" s="1115"/>
      <c r="QMX4" s="1115"/>
      <c r="QMY4" s="1115"/>
      <c r="QMZ4" s="1115"/>
      <c r="QNA4" s="1115"/>
      <c r="QNB4" s="1115"/>
      <c r="QNC4" s="1115"/>
      <c r="QND4" s="1115"/>
      <c r="QNE4" s="1115"/>
      <c r="QNF4" s="1115"/>
      <c r="QNG4" s="1115"/>
      <c r="QNH4" s="1115"/>
      <c r="QNI4" s="1115"/>
      <c r="QNJ4" s="1115"/>
      <c r="QNK4" s="1115"/>
      <c r="QNL4" s="1115"/>
      <c r="QNM4" s="1115"/>
      <c r="QNN4" s="1115"/>
      <c r="QNO4" s="1115"/>
      <c r="QNP4" s="1115"/>
      <c r="QNQ4" s="1115"/>
      <c r="QNR4" s="1115"/>
      <c r="QNS4" s="1115"/>
      <c r="QNT4" s="1115"/>
      <c r="QNU4" s="1115"/>
      <c r="QNV4" s="1115"/>
      <c r="QNW4" s="1115"/>
      <c r="QNX4" s="1115"/>
      <c r="QNY4" s="1115"/>
      <c r="QNZ4" s="1115"/>
      <c r="QOA4" s="1115"/>
      <c r="QOB4" s="1115"/>
      <c r="QOC4" s="1115"/>
      <c r="QOD4" s="1115"/>
      <c r="QOE4" s="1115"/>
      <c r="QOF4" s="1115"/>
      <c r="QOG4" s="1115"/>
      <c r="QOH4" s="1115"/>
      <c r="QOI4" s="1115"/>
      <c r="QOJ4" s="1115"/>
      <c r="QOK4" s="1115"/>
      <c r="QOL4" s="1115"/>
      <c r="QOM4" s="1115"/>
      <c r="QON4" s="1115"/>
      <c r="QOO4" s="1115"/>
      <c r="QOP4" s="1115"/>
      <c r="QOQ4" s="1115"/>
      <c r="QOR4" s="1115"/>
      <c r="QOS4" s="1115"/>
      <c r="QOT4" s="1115"/>
      <c r="QOU4" s="1115"/>
      <c r="QOV4" s="1115"/>
      <c r="QOW4" s="1115"/>
      <c r="QOX4" s="1115"/>
      <c r="QOY4" s="1115"/>
      <c r="QOZ4" s="1115"/>
      <c r="QPA4" s="1115"/>
      <c r="QPB4" s="1115"/>
      <c r="QPC4" s="1115"/>
      <c r="QPD4" s="1115"/>
      <c r="QPE4" s="1115"/>
      <c r="QPF4" s="1115"/>
      <c r="QPG4" s="1115"/>
      <c r="QPH4" s="1115"/>
      <c r="QPI4" s="1115"/>
      <c r="QPJ4" s="1115"/>
      <c r="QPK4" s="1115"/>
      <c r="QPL4" s="1115"/>
      <c r="QPM4" s="1115"/>
      <c r="QPN4" s="1115"/>
      <c r="QPO4" s="1115"/>
      <c r="QPP4" s="1115"/>
      <c r="QPQ4" s="1115"/>
      <c r="QPR4" s="1115"/>
      <c r="QPS4" s="1115"/>
      <c r="QPT4" s="1115"/>
      <c r="QPU4" s="1115"/>
      <c r="QPV4" s="1115"/>
      <c r="QPW4" s="1115"/>
      <c r="QPX4" s="1115"/>
      <c r="QPY4" s="1115"/>
      <c r="QPZ4" s="1115"/>
      <c r="QQA4" s="1115"/>
      <c r="QQB4" s="1115"/>
      <c r="QQC4" s="1115"/>
      <c r="QQD4" s="1115"/>
      <c r="QQE4" s="1115"/>
      <c r="QQF4" s="1115"/>
      <c r="QQG4" s="1115"/>
      <c r="QQH4" s="1115"/>
      <c r="QQI4" s="1115"/>
      <c r="QQJ4" s="1115"/>
      <c r="QQK4" s="1115"/>
      <c r="QQL4" s="1115"/>
      <c r="QQM4" s="1115"/>
      <c r="QQN4" s="1115"/>
      <c r="QQO4" s="1115"/>
      <c r="QQP4" s="1115"/>
      <c r="QQQ4" s="1115"/>
      <c r="QQR4" s="1115"/>
      <c r="QQS4" s="1115"/>
      <c r="QQT4" s="1115"/>
      <c r="QQU4" s="1115"/>
      <c r="QQV4" s="1115"/>
      <c r="QQW4" s="1115"/>
      <c r="QQX4" s="1115"/>
      <c r="QQY4" s="1115"/>
      <c r="QQZ4" s="1115"/>
      <c r="QRA4" s="1115"/>
      <c r="QRB4" s="1115"/>
      <c r="QRC4" s="1115"/>
      <c r="QRD4" s="1115"/>
      <c r="QRE4" s="1115"/>
      <c r="QRF4" s="1115"/>
      <c r="QRG4" s="1115"/>
      <c r="QRH4" s="1115"/>
      <c r="QRI4" s="1115"/>
      <c r="QRJ4" s="1115"/>
      <c r="QRK4" s="1115"/>
      <c r="QRL4" s="1115"/>
      <c r="QRM4" s="1115"/>
      <c r="QRN4" s="1115"/>
      <c r="QRO4" s="1115"/>
      <c r="QRP4" s="1115"/>
      <c r="QRQ4" s="1115"/>
      <c r="QRR4" s="1115"/>
      <c r="QRS4" s="1115"/>
      <c r="QRT4" s="1115"/>
      <c r="QRU4" s="1115"/>
      <c r="QRV4" s="1115"/>
      <c r="QRW4" s="1115"/>
      <c r="QRX4" s="1115"/>
      <c r="QRY4" s="1115"/>
      <c r="QRZ4" s="1115"/>
      <c r="QSA4" s="1115"/>
      <c r="QSB4" s="1115"/>
      <c r="QSC4" s="1115"/>
      <c r="QSD4" s="1115"/>
      <c r="QSE4" s="1115"/>
      <c r="QSF4" s="1115"/>
      <c r="QSG4" s="1115"/>
      <c r="QSH4" s="1115"/>
      <c r="QSI4" s="1115"/>
      <c r="QSJ4" s="1115"/>
      <c r="QSK4" s="1115"/>
      <c r="QSL4" s="1115"/>
      <c r="QSM4" s="1115"/>
      <c r="QSN4" s="1115"/>
      <c r="QSO4" s="1115"/>
      <c r="QSP4" s="1115"/>
      <c r="QSQ4" s="1115"/>
      <c r="QSR4" s="1115"/>
      <c r="QSS4" s="1115"/>
      <c r="QST4" s="1115"/>
      <c r="QSU4" s="1115"/>
      <c r="QSV4" s="1115"/>
      <c r="QSW4" s="1115"/>
      <c r="QSX4" s="1115"/>
      <c r="QSY4" s="1115"/>
      <c r="QSZ4" s="1115"/>
      <c r="QTA4" s="1115"/>
      <c r="QTB4" s="1115"/>
      <c r="QTC4" s="1115"/>
      <c r="QTD4" s="1115"/>
      <c r="QTE4" s="1115"/>
      <c r="QTF4" s="1115"/>
      <c r="QTG4" s="1115"/>
      <c r="QTH4" s="1115"/>
      <c r="QTI4" s="1115"/>
      <c r="QTJ4" s="1115"/>
      <c r="QTK4" s="1115"/>
      <c r="QTL4" s="1115"/>
      <c r="QTM4" s="1115"/>
      <c r="QTN4" s="1115"/>
      <c r="QTO4" s="1115"/>
      <c r="QTP4" s="1115"/>
      <c r="QTQ4" s="1115"/>
      <c r="QTR4" s="1115"/>
      <c r="QTS4" s="1115"/>
      <c r="QTT4" s="1115"/>
      <c r="QTU4" s="1115"/>
      <c r="QTV4" s="1115"/>
      <c r="QTW4" s="1115"/>
      <c r="QTX4" s="1115"/>
      <c r="QTY4" s="1115"/>
      <c r="QTZ4" s="1115"/>
      <c r="QUA4" s="1115"/>
      <c r="QUB4" s="1115"/>
      <c r="QUC4" s="1115"/>
      <c r="QUD4" s="1115"/>
      <c r="QUE4" s="1115"/>
      <c r="QUF4" s="1115"/>
      <c r="QUG4" s="1115"/>
      <c r="QUH4" s="1115"/>
      <c r="QUI4" s="1115"/>
      <c r="QUJ4" s="1115"/>
      <c r="QUK4" s="1115"/>
      <c r="QUL4" s="1115"/>
      <c r="QUM4" s="1115"/>
      <c r="QUN4" s="1115"/>
      <c r="QUO4" s="1115"/>
      <c r="QUP4" s="1115"/>
      <c r="QUQ4" s="1115"/>
      <c r="QUR4" s="1115"/>
      <c r="QUS4" s="1115"/>
      <c r="QUT4" s="1115"/>
      <c r="QUU4" s="1115"/>
      <c r="QUV4" s="1115"/>
      <c r="QUW4" s="1115"/>
      <c r="QUX4" s="1115"/>
      <c r="QUY4" s="1115"/>
      <c r="QUZ4" s="1115"/>
      <c r="QVA4" s="1115"/>
      <c r="QVB4" s="1115"/>
      <c r="QVC4" s="1115"/>
      <c r="QVD4" s="1115"/>
      <c r="QVE4" s="1115"/>
      <c r="QVF4" s="1115"/>
      <c r="QVG4" s="1115"/>
      <c r="QVH4" s="1115"/>
      <c r="QVI4" s="1115"/>
      <c r="QVJ4" s="1115"/>
      <c r="QVK4" s="1115"/>
      <c r="QVL4" s="1115"/>
      <c r="QVM4" s="1115"/>
      <c r="QVN4" s="1115"/>
      <c r="QVO4" s="1115"/>
      <c r="QVP4" s="1115"/>
      <c r="QVQ4" s="1115"/>
      <c r="QVR4" s="1115"/>
      <c r="QVS4" s="1115"/>
      <c r="QVT4" s="1115"/>
      <c r="QVU4" s="1115"/>
      <c r="QVV4" s="1115"/>
      <c r="QVW4" s="1115"/>
      <c r="QVX4" s="1115"/>
      <c r="QVY4" s="1115"/>
      <c r="QVZ4" s="1115"/>
      <c r="QWA4" s="1115"/>
      <c r="QWB4" s="1115"/>
      <c r="QWC4" s="1115"/>
      <c r="QWD4" s="1115"/>
      <c r="QWE4" s="1115"/>
      <c r="QWF4" s="1115"/>
      <c r="QWG4" s="1115"/>
      <c r="QWH4" s="1115"/>
      <c r="QWI4" s="1115"/>
      <c r="QWJ4" s="1115"/>
      <c r="QWK4" s="1115"/>
      <c r="QWL4" s="1115"/>
      <c r="QWM4" s="1115"/>
      <c r="QWN4" s="1115"/>
      <c r="QWO4" s="1115"/>
      <c r="QWP4" s="1115"/>
      <c r="QWQ4" s="1115"/>
      <c r="QWR4" s="1115"/>
      <c r="QWS4" s="1115"/>
      <c r="QWT4" s="1115"/>
      <c r="QWU4" s="1115"/>
      <c r="QWV4" s="1115"/>
      <c r="QWW4" s="1115"/>
      <c r="QWX4" s="1115"/>
      <c r="QWY4" s="1115"/>
      <c r="QWZ4" s="1115"/>
      <c r="QXA4" s="1115"/>
      <c r="QXB4" s="1115"/>
      <c r="QXC4" s="1115"/>
      <c r="QXD4" s="1115"/>
      <c r="QXE4" s="1115"/>
      <c r="QXF4" s="1115"/>
      <c r="QXG4" s="1115"/>
      <c r="QXH4" s="1115"/>
      <c r="QXI4" s="1115"/>
      <c r="QXJ4" s="1115"/>
      <c r="QXK4" s="1115"/>
      <c r="QXL4" s="1115"/>
      <c r="QXM4" s="1115"/>
      <c r="QXN4" s="1115"/>
      <c r="QXO4" s="1115"/>
      <c r="QXP4" s="1115"/>
      <c r="QXQ4" s="1115"/>
      <c r="QXR4" s="1115"/>
      <c r="QXS4" s="1115"/>
      <c r="QXT4" s="1115"/>
      <c r="QXU4" s="1115"/>
      <c r="QXV4" s="1115"/>
      <c r="QXW4" s="1115"/>
      <c r="QXX4" s="1115"/>
      <c r="QXY4" s="1115"/>
      <c r="QXZ4" s="1115"/>
      <c r="QYA4" s="1115"/>
      <c r="QYB4" s="1115"/>
      <c r="QYC4" s="1115"/>
      <c r="QYD4" s="1115"/>
      <c r="QYE4" s="1115"/>
      <c r="QYF4" s="1115"/>
      <c r="QYG4" s="1115"/>
      <c r="QYH4" s="1115"/>
      <c r="QYI4" s="1115"/>
      <c r="QYJ4" s="1115"/>
      <c r="QYK4" s="1115"/>
      <c r="QYL4" s="1115"/>
      <c r="QYM4" s="1115"/>
      <c r="QYN4" s="1115"/>
      <c r="QYO4" s="1115"/>
      <c r="QYP4" s="1115"/>
      <c r="QYQ4" s="1115"/>
      <c r="QYR4" s="1115"/>
      <c r="QYS4" s="1115"/>
      <c r="QYT4" s="1115"/>
      <c r="QYU4" s="1115"/>
      <c r="QYV4" s="1115"/>
      <c r="QYW4" s="1115"/>
      <c r="QYX4" s="1115"/>
      <c r="QYY4" s="1115"/>
      <c r="QYZ4" s="1115"/>
      <c r="QZA4" s="1115"/>
      <c r="QZB4" s="1115"/>
      <c r="QZC4" s="1115"/>
      <c r="QZD4" s="1115"/>
      <c r="QZE4" s="1115"/>
      <c r="QZF4" s="1115"/>
      <c r="QZG4" s="1115"/>
      <c r="QZH4" s="1115"/>
      <c r="QZI4" s="1115"/>
      <c r="QZJ4" s="1115"/>
      <c r="QZK4" s="1115"/>
      <c r="QZL4" s="1115"/>
      <c r="QZM4" s="1115"/>
      <c r="QZN4" s="1115"/>
      <c r="QZO4" s="1115"/>
      <c r="QZP4" s="1115"/>
      <c r="QZQ4" s="1115"/>
      <c r="QZR4" s="1115"/>
      <c r="QZS4" s="1115"/>
      <c r="QZT4" s="1115"/>
      <c r="QZU4" s="1115"/>
      <c r="QZV4" s="1115"/>
      <c r="QZW4" s="1115"/>
      <c r="QZX4" s="1115"/>
      <c r="QZY4" s="1115"/>
      <c r="QZZ4" s="1115"/>
      <c r="RAA4" s="1115"/>
      <c r="RAB4" s="1115"/>
      <c r="RAC4" s="1115"/>
      <c r="RAD4" s="1115"/>
      <c r="RAE4" s="1115"/>
      <c r="RAF4" s="1115"/>
      <c r="RAG4" s="1115"/>
      <c r="RAH4" s="1115"/>
      <c r="RAI4" s="1115"/>
      <c r="RAJ4" s="1115"/>
      <c r="RAK4" s="1115"/>
      <c r="RAL4" s="1115"/>
      <c r="RAM4" s="1115"/>
      <c r="RAN4" s="1115"/>
      <c r="RAO4" s="1115"/>
      <c r="RAP4" s="1115"/>
      <c r="RAQ4" s="1115"/>
      <c r="RAR4" s="1115"/>
      <c r="RAS4" s="1115"/>
      <c r="RAT4" s="1115"/>
      <c r="RAU4" s="1115"/>
      <c r="RAV4" s="1115"/>
      <c r="RAW4" s="1115"/>
      <c r="RAX4" s="1115"/>
      <c r="RAY4" s="1115"/>
      <c r="RAZ4" s="1115"/>
      <c r="RBA4" s="1115"/>
      <c r="RBB4" s="1115"/>
      <c r="RBC4" s="1115"/>
      <c r="RBD4" s="1115"/>
      <c r="RBE4" s="1115"/>
      <c r="RBF4" s="1115"/>
      <c r="RBG4" s="1115"/>
      <c r="RBH4" s="1115"/>
      <c r="RBI4" s="1115"/>
      <c r="RBJ4" s="1115"/>
      <c r="RBK4" s="1115"/>
      <c r="RBL4" s="1115"/>
      <c r="RBM4" s="1115"/>
      <c r="RBN4" s="1115"/>
      <c r="RBO4" s="1115"/>
      <c r="RBP4" s="1115"/>
      <c r="RBQ4" s="1115"/>
      <c r="RBR4" s="1115"/>
      <c r="RBS4" s="1115"/>
      <c r="RBT4" s="1115"/>
      <c r="RBU4" s="1115"/>
      <c r="RBV4" s="1115"/>
      <c r="RBW4" s="1115"/>
      <c r="RBX4" s="1115"/>
      <c r="RBY4" s="1115"/>
      <c r="RBZ4" s="1115"/>
      <c r="RCA4" s="1115"/>
      <c r="RCB4" s="1115"/>
      <c r="RCC4" s="1115"/>
      <c r="RCD4" s="1115"/>
      <c r="RCE4" s="1115"/>
      <c r="RCF4" s="1115"/>
      <c r="RCG4" s="1115"/>
      <c r="RCH4" s="1115"/>
      <c r="RCI4" s="1115"/>
      <c r="RCJ4" s="1115"/>
      <c r="RCK4" s="1115"/>
      <c r="RCL4" s="1115"/>
      <c r="RCM4" s="1115"/>
      <c r="RCN4" s="1115"/>
      <c r="RCO4" s="1115"/>
      <c r="RCP4" s="1115"/>
      <c r="RCQ4" s="1115"/>
      <c r="RCR4" s="1115"/>
      <c r="RCS4" s="1115"/>
      <c r="RCT4" s="1115"/>
      <c r="RCU4" s="1115"/>
      <c r="RCV4" s="1115"/>
      <c r="RCW4" s="1115"/>
      <c r="RCX4" s="1115"/>
      <c r="RCY4" s="1115"/>
      <c r="RCZ4" s="1115"/>
      <c r="RDA4" s="1115"/>
      <c r="RDB4" s="1115"/>
      <c r="RDC4" s="1115"/>
      <c r="RDD4" s="1115"/>
      <c r="RDE4" s="1115"/>
      <c r="RDF4" s="1115"/>
      <c r="RDG4" s="1115"/>
      <c r="RDH4" s="1115"/>
      <c r="RDI4" s="1115"/>
      <c r="RDJ4" s="1115"/>
      <c r="RDK4" s="1115"/>
      <c r="RDL4" s="1115"/>
      <c r="RDM4" s="1115"/>
      <c r="RDN4" s="1115"/>
      <c r="RDO4" s="1115"/>
      <c r="RDP4" s="1115"/>
      <c r="RDQ4" s="1115"/>
      <c r="RDR4" s="1115"/>
      <c r="RDS4" s="1115"/>
      <c r="RDT4" s="1115"/>
      <c r="RDU4" s="1115"/>
      <c r="RDV4" s="1115"/>
      <c r="RDW4" s="1115"/>
      <c r="RDX4" s="1115"/>
      <c r="RDY4" s="1115"/>
      <c r="RDZ4" s="1115"/>
      <c r="REA4" s="1115"/>
      <c r="REB4" s="1115"/>
      <c r="REC4" s="1115"/>
      <c r="RED4" s="1115"/>
      <c r="REE4" s="1115"/>
      <c r="REF4" s="1115"/>
      <c r="REG4" s="1115"/>
      <c r="REH4" s="1115"/>
      <c r="REI4" s="1115"/>
      <c r="REJ4" s="1115"/>
      <c r="REK4" s="1115"/>
      <c r="REL4" s="1115"/>
      <c r="REM4" s="1115"/>
      <c r="REN4" s="1115"/>
      <c r="REO4" s="1115"/>
      <c r="REP4" s="1115"/>
      <c r="REQ4" s="1115"/>
      <c r="RER4" s="1115"/>
      <c r="RES4" s="1115"/>
      <c r="RET4" s="1115"/>
      <c r="REU4" s="1115"/>
      <c r="REV4" s="1115"/>
      <c r="REW4" s="1115"/>
      <c r="REX4" s="1115"/>
      <c r="REY4" s="1115"/>
      <c r="REZ4" s="1115"/>
      <c r="RFA4" s="1115"/>
      <c r="RFB4" s="1115"/>
      <c r="RFC4" s="1115"/>
      <c r="RFD4" s="1115"/>
      <c r="RFE4" s="1115"/>
      <c r="RFF4" s="1115"/>
      <c r="RFG4" s="1115"/>
      <c r="RFH4" s="1115"/>
      <c r="RFI4" s="1115"/>
      <c r="RFJ4" s="1115"/>
      <c r="RFK4" s="1115"/>
      <c r="RFL4" s="1115"/>
      <c r="RFM4" s="1115"/>
      <c r="RFN4" s="1115"/>
      <c r="RFO4" s="1115"/>
      <c r="RFP4" s="1115"/>
      <c r="RFQ4" s="1115"/>
      <c r="RFR4" s="1115"/>
      <c r="RFS4" s="1115"/>
      <c r="RFT4" s="1115"/>
      <c r="RFU4" s="1115"/>
      <c r="RFV4" s="1115"/>
      <c r="RFW4" s="1115"/>
      <c r="RFX4" s="1115"/>
      <c r="RFY4" s="1115"/>
      <c r="RFZ4" s="1115"/>
      <c r="RGA4" s="1115"/>
      <c r="RGB4" s="1115"/>
      <c r="RGC4" s="1115"/>
      <c r="RGD4" s="1115"/>
      <c r="RGE4" s="1115"/>
      <c r="RGF4" s="1115"/>
      <c r="RGG4" s="1115"/>
      <c r="RGH4" s="1115"/>
      <c r="RGI4" s="1115"/>
      <c r="RGJ4" s="1115"/>
      <c r="RGK4" s="1115"/>
      <c r="RGL4" s="1115"/>
      <c r="RGM4" s="1115"/>
      <c r="RGN4" s="1115"/>
      <c r="RGO4" s="1115"/>
      <c r="RGP4" s="1115"/>
      <c r="RGQ4" s="1115"/>
      <c r="RGR4" s="1115"/>
      <c r="RGS4" s="1115"/>
      <c r="RGT4" s="1115"/>
      <c r="RGU4" s="1115"/>
      <c r="RGV4" s="1115"/>
      <c r="RGW4" s="1115"/>
      <c r="RGX4" s="1115"/>
      <c r="RGY4" s="1115"/>
      <c r="RGZ4" s="1115"/>
      <c r="RHA4" s="1115"/>
      <c r="RHB4" s="1115"/>
      <c r="RHC4" s="1115"/>
      <c r="RHD4" s="1115"/>
      <c r="RHE4" s="1115"/>
      <c r="RHF4" s="1115"/>
      <c r="RHG4" s="1115"/>
      <c r="RHH4" s="1115"/>
      <c r="RHI4" s="1115"/>
      <c r="RHJ4" s="1115"/>
      <c r="RHK4" s="1115"/>
      <c r="RHL4" s="1115"/>
      <c r="RHM4" s="1115"/>
      <c r="RHN4" s="1115"/>
      <c r="RHO4" s="1115"/>
      <c r="RHP4" s="1115"/>
      <c r="RHQ4" s="1115"/>
      <c r="RHR4" s="1115"/>
      <c r="RHS4" s="1115"/>
      <c r="RHT4" s="1115"/>
      <c r="RHU4" s="1115"/>
      <c r="RHV4" s="1115"/>
      <c r="RHW4" s="1115"/>
      <c r="RHX4" s="1115"/>
      <c r="RHY4" s="1115"/>
      <c r="RHZ4" s="1115"/>
      <c r="RIA4" s="1115"/>
      <c r="RIB4" s="1115"/>
      <c r="RIC4" s="1115"/>
      <c r="RID4" s="1115"/>
      <c r="RIE4" s="1115"/>
      <c r="RIF4" s="1115"/>
      <c r="RIG4" s="1115"/>
      <c r="RIH4" s="1115"/>
      <c r="RII4" s="1115"/>
      <c r="RIJ4" s="1115"/>
      <c r="RIK4" s="1115"/>
      <c r="RIL4" s="1115"/>
      <c r="RIM4" s="1115"/>
      <c r="RIN4" s="1115"/>
      <c r="RIO4" s="1115"/>
      <c r="RIP4" s="1115"/>
      <c r="RIQ4" s="1115"/>
      <c r="RIR4" s="1115"/>
      <c r="RIS4" s="1115"/>
      <c r="RIT4" s="1115"/>
      <c r="RIU4" s="1115"/>
      <c r="RIV4" s="1115"/>
      <c r="RIW4" s="1115"/>
      <c r="RIX4" s="1115"/>
      <c r="RIY4" s="1115"/>
      <c r="RIZ4" s="1115"/>
      <c r="RJA4" s="1115"/>
      <c r="RJB4" s="1115"/>
      <c r="RJC4" s="1115"/>
      <c r="RJD4" s="1115"/>
      <c r="RJE4" s="1115"/>
      <c r="RJF4" s="1115"/>
      <c r="RJG4" s="1115"/>
      <c r="RJH4" s="1115"/>
      <c r="RJI4" s="1115"/>
      <c r="RJJ4" s="1115"/>
      <c r="RJK4" s="1115"/>
      <c r="RJL4" s="1115"/>
      <c r="RJM4" s="1115"/>
      <c r="RJN4" s="1115"/>
      <c r="RJO4" s="1115"/>
      <c r="RJP4" s="1115"/>
      <c r="RJQ4" s="1115"/>
      <c r="RJR4" s="1115"/>
      <c r="RJS4" s="1115"/>
      <c r="RJT4" s="1115"/>
      <c r="RJU4" s="1115"/>
      <c r="RJV4" s="1115"/>
      <c r="RJW4" s="1115"/>
      <c r="RJX4" s="1115"/>
      <c r="RJY4" s="1115"/>
      <c r="RJZ4" s="1115"/>
      <c r="RKA4" s="1115"/>
      <c r="RKB4" s="1115"/>
      <c r="RKC4" s="1115"/>
      <c r="RKD4" s="1115"/>
      <c r="RKE4" s="1115"/>
      <c r="RKF4" s="1115"/>
      <c r="RKG4" s="1115"/>
      <c r="RKH4" s="1115"/>
      <c r="RKI4" s="1115"/>
      <c r="RKJ4" s="1115"/>
      <c r="RKK4" s="1115"/>
      <c r="RKL4" s="1115"/>
      <c r="RKM4" s="1115"/>
      <c r="RKN4" s="1115"/>
      <c r="RKO4" s="1115"/>
      <c r="RKP4" s="1115"/>
      <c r="RKQ4" s="1115"/>
      <c r="RKR4" s="1115"/>
      <c r="RKS4" s="1115"/>
      <c r="RKT4" s="1115"/>
      <c r="RKU4" s="1115"/>
      <c r="RKV4" s="1115"/>
      <c r="RKW4" s="1115"/>
      <c r="RKX4" s="1115"/>
      <c r="RKY4" s="1115"/>
      <c r="RKZ4" s="1115"/>
      <c r="RLA4" s="1115"/>
      <c r="RLB4" s="1115"/>
      <c r="RLC4" s="1115"/>
      <c r="RLD4" s="1115"/>
      <c r="RLE4" s="1115"/>
      <c r="RLF4" s="1115"/>
      <c r="RLG4" s="1115"/>
      <c r="RLH4" s="1115"/>
      <c r="RLI4" s="1115"/>
      <c r="RLJ4" s="1115"/>
      <c r="RLK4" s="1115"/>
      <c r="RLL4" s="1115"/>
      <c r="RLM4" s="1115"/>
      <c r="RLN4" s="1115"/>
      <c r="RLO4" s="1115"/>
      <c r="RLP4" s="1115"/>
      <c r="RLQ4" s="1115"/>
      <c r="RLR4" s="1115"/>
      <c r="RLS4" s="1115"/>
      <c r="RLT4" s="1115"/>
      <c r="RLU4" s="1115"/>
      <c r="RLV4" s="1115"/>
      <c r="RLW4" s="1115"/>
      <c r="RLX4" s="1115"/>
      <c r="RLY4" s="1115"/>
      <c r="RLZ4" s="1115"/>
      <c r="RMA4" s="1115"/>
      <c r="RMB4" s="1115"/>
      <c r="RMC4" s="1115"/>
      <c r="RMD4" s="1115"/>
      <c r="RME4" s="1115"/>
      <c r="RMF4" s="1115"/>
      <c r="RMG4" s="1115"/>
      <c r="RMH4" s="1115"/>
      <c r="RMI4" s="1115"/>
      <c r="RMJ4" s="1115"/>
      <c r="RMK4" s="1115"/>
      <c r="RML4" s="1115"/>
      <c r="RMM4" s="1115"/>
      <c r="RMN4" s="1115"/>
      <c r="RMO4" s="1115"/>
      <c r="RMP4" s="1115"/>
      <c r="RMQ4" s="1115"/>
      <c r="RMR4" s="1115"/>
      <c r="RMS4" s="1115"/>
      <c r="RMT4" s="1115"/>
      <c r="RMU4" s="1115"/>
      <c r="RMV4" s="1115"/>
      <c r="RMW4" s="1115"/>
      <c r="RMX4" s="1115"/>
      <c r="RMY4" s="1115"/>
      <c r="RMZ4" s="1115"/>
      <c r="RNA4" s="1115"/>
      <c r="RNB4" s="1115"/>
      <c r="RNC4" s="1115"/>
      <c r="RND4" s="1115"/>
      <c r="RNE4" s="1115"/>
      <c r="RNF4" s="1115"/>
      <c r="RNG4" s="1115"/>
      <c r="RNH4" s="1115"/>
      <c r="RNI4" s="1115"/>
      <c r="RNJ4" s="1115"/>
      <c r="RNK4" s="1115"/>
      <c r="RNL4" s="1115"/>
      <c r="RNM4" s="1115"/>
      <c r="RNN4" s="1115"/>
      <c r="RNO4" s="1115"/>
      <c r="RNP4" s="1115"/>
      <c r="RNQ4" s="1115"/>
      <c r="RNR4" s="1115"/>
      <c r="RNS4" s="1115"/>
      <c r="RNT4" s="1115"/>
      <c r="RNU4" s="1115"/>
      <c r="RNV4" s="1115"/>
      <c r="RNW4" s="1115"/>
      <c r="RNX4" s="1115"/>
      <c r="RNY4" s="1115"/>
      <c r="RNZ4" s="1115"/>
      <c r="ROA4" s="1115"/>
      <c r="ROB4" s="1115"/>
      <c r="ROC4" s="1115"/>
      <c r="ROD4" s="1115"/>
      <c r="ROE4" s="1115"/>
      <c r="ROF4" s="1115"/>
      <c r="ROG4" s="1115"/>
      <c r="ROH4" s="1115"/>
      <c r="ROI4" s="1115"/>
      <c r="ROJ4" s="1115"/>
      <c r="ROK4" s="1115"/>
      <c r="ROL4" s="1115"/>
      <c r="ROM4" s="1115"/>
      <c r="RON4" s="1115"/>
      <c r="ROO4" s="1115"/>
      <c r="ROP4" s="1115"/>
      <c r="ROQ4" s="1115"/>
      <c r="ROR4" s="1115"/>
      <c r="ROS4" s="1115"/>
      <c r="ROT4" s="1115"/>
      <c r="ROU4" s="1115"/>
      <c r="ROV4" s="1115"/>
      <c r="ROW4" s="1115"/>
      <c r="ROX4" s="1115"/>
      <c r="ROY4" s="1115"/>
      <c r="ROZ4" s="1115"/>
      <c r="RPA4" s="1115"/>
      <c r="RPB4" s="1115"/>
      <c r="RPC4" s="1115"/>
      <c r="RPD4" s="1115"/>
      <c r="RPE4" s="1115"/>
      <c r="RPF4" s="1115"/>
      <c r="RPG4" s="1115"/>
      <c r="RPH4" s="1115"/>
      <c r="RPI4" s="1115"/>
      <c r="RPJ4" s="1115"/>
      <c r="RPK4" s="1115"/>
      <c r="RPL4" s="1115"/>
      <c r="RPM4" s="1115"/>
      <c r="RPN4" s="1115"/>
      <c r="RPO4" s="1115"/>
      <c r="RPP4" s="1115"/>
      <c r="RPQ4" s="1115"/>
      <c r="RPR4" s="1115"/>
      <c r="RPS4" s="1115"/>
      <c r="RPT4" s="1115"/>
      <c r="RPU4" s="1115"/>
      <c r="RPV4" s="1115"/>
      <c r="RPW4" s="1115"/>
      <c r="RPX4" s="1115"/>
      <c r="RPY4" s="1115"/>
      <c r="RPZ4" s="1115"/>
      <c r="RQA4" s="1115"/>
      <c r="RQB4" s="1115"/>
      <c r="RQC4" s="1115"/>
      <c r="RQD4" s="1115"/>
      <c r="RQE4" s="1115"/>
      <c r="RQF4" s="1115"/>
      <c r="RQG4" s="1115"/>
      <c r="RQH4" s="1115"/>
      <c r="RQI4" s="1115"/>
      <c r="RQJ4" s="1115"/>
      <c r="RQK4" s="1115"/>
      <c r="RQL4" s="1115"/>
      <c r="RQM4" s="1115"/>
      <c r="RQN4" s="1115"/>
      <c r="RQO4" s="1115"/>
      <c r="RQP4" s="1115"/>
      <c r="RQQ4" s="1115"/>
      <c r="RQR4" s="1115"/>
      <c r="RQS4" s="1115"/>
      <c r="RQT4" s="1115"/>
      <c r="RQU4" s="1115"/>
      <c r="RQV4" s="1115"/>
      <c r="RQW4" s="1115"/>
      <c r="RQX4" s="1115"/>
      <c r="RQY4" s="1115"/>
      <c r="RQZ4" s="1115"/>
      <c r="RRA4" s="1115"/>
      <c r="RRB4" s="1115"/>
      <c r="RRC4" s="1115"/>
      <c r="RRD4" s="1115"/>
      <c r="RRE4" s="1115"/>
      <c r="RRF4" s="1115"/>
      <c r="RRG4" s="1115"/>
      <c r="RRH4" s="1115"/>
      <c r="RRI4" s="1115"/>
      <c r="RRJ4" s="1115"/>
      <c r="RRK4" s="1115"/>
      <c r="RRL4" s="1115"/>
      <c r="RRM4" s="1115"/>
      <c r="RRN4" s="1115"/>
      <c r="RRO4" s="1115"/>
      <c r="RRP4" s="1115"/>
      <c r="RRQ4" s="1115"/>
      <c r="RRR4" s="1115"/>
      <c r="RRS4" s="1115"/>
      <c r="RRT4" s="1115"/>
      <c r="RRU4" s="1115"/>
      <c r="RRV4" s="1115"/>
      <c r="RRW4" s="1115"/>
      <c r="RRX4" s="1115"/>
      <c r="RRY4" s="1115"/>
      <c r="RRZ4" s="1115"/>
      <c r="RSA4" s="1115"/>
      <c r="RSB4" s="1115"/>
      <c r="RSC4" s="1115"/>
      <c r="RSD4" s="1115"/>
      <c r="RSE4" s="1115"/>
      <c r="RSF4" s="1115"/>
      <c r="RSG4" s="1115"/>
      <c r="RSH4" s="1115"/>
      <c r="RSI4" s="1115"/>
      <c r="RSJ4" s="1115"/>
      <c r="RSK4" s="1115"/>
      <c r="RSL4" s="1115"/>
      <c r="RSM4" s="1115"/>
      <c r="RSN4" s="1115"/>
      <c r="RSO4" s="1115"/>
      <c r="RSP4" s="1115"/>
      <c r="RSQ4" s="1115"/>
      <c r="RSR4" s="1115"/>
      <c r="RSS4" s="1115"/>
      <c r="RST4" s="1115"/>
      <c r="RSU4" s="1115"/>
      <c r="RSV4" s="1115"/>
      <c r="RSW4" s="1115"/>
      <c r="RSX4" s="1115"/>
      <c r="RSY4" s="1115"/>
      <c r="RSZ4" s="1115"/>
      <c r="RTA4" s="1115"/>
      <c r="RTB4" s="1115"/>
      <c r="RTC4" s="1115"/>
      <c r="RTD4" s="1115"/>
      <c r="RTE4" s="1115"/>
      <c r="RTF4" s="1115"/>
      <c r="RTG4" s="1115"/>
      <c r="RTH4" s="1115"/>
      <c r="RTI4" s="1115"/>
      <c r="RTJ4" s="1115"/>
      <c r="RTK4" s="1115"/>
      <c r="RTL4" s="1115"/>
      <c r="RTM4" s="1115"/>
      <c r="RTN4" s="1115"/>
      <c r="RTO4" s="1115"/>
      <c r="RTP4" s="1115"/>
      <c r="RTQ4" s="1115"/>
      <c r="RTR4" s="1115"/>
      <c r="RTS4" s="1115"/>
      <c r="RTT4" s="1115"/>
      <c r="RTU4" s="1115"/>
      <c r="RTV4" s="1115"/>
      <c r="RTW4" s="1115"/>
      <c r="RTX4" s="1115"/>
      <c r="RTY4" s="1115"/>
      <c r="RTZ4" s="1115"/>
      <c r="RUA4" s="1115"/>
      <c r="RUB4" s="1115"/>
      <c r="RUC4" s="1115"/>
      <c r="RUD4" s="1115"/>
      <c r="RUE4" s="1115"/>
      <c r="RUF4" s="1115"/>
      <c r="RUG4" s="1115"/>
      <c r="RUH4" s="1115"/>
      <c r="RUI4" s="1115"/>
      <c r="RUJ4" s="1115"/>
      <c r="RUK4" s="1115"/>
      <c r="RUL4" s="1115"/>
      <c r="RUM4" s="1115"/>
      <c r="RUN4" s="1115"/>
      <c r="RUO4" s="1115"/>
      <c r="RUP4" s="1115"/>
      <c r="RUQ4" s="1115"/>
      <c r="RUR4" s="1115"/>
      <c r="RUS4" s="1115"/>
      <c r="RUT4" s="1115"/>
      <c r="RUU4" s="1115"/>
      <c r="RUV4" s="1115"/>
      <c r="RUW4" s="1115"/>
      <c r="RUX4" s="1115"/>
      <c r="RUY4" s="1115"/>
      <c r="RUZ4" s="1115"/>
      <c r="RVA4" s="1115"/>
      <c r="RVB4" s="1115"/>
      <c r="RVC4" s="1115"/>
      <c r="RVD4" s="1115"/>
      <c r="RVE4" s="1115"/>
      <c r="RVF4" s="1115"/>
      <c r="RVG4" s="1115"/>
      <c r="RVH4" s="1115"/>
      <c r="RVI4" s="1115"/>
      <c r="RVJ4" s="1115"/>
      <c r="RVK4" s="1115"/>
      <c r="RVL4" s="1115"/>
      <c r="RVM4" s="1115"/>
      <c r="RVN4" s="1115"/>
      <c r="RVO4" s="1115"/>
      <c r="RVP4" s="1115"/>
      <c r="RVQ4" s="1115"/>
      <c r="RVR4" s="1115"/>
      <c r="RVS4" s="1115"/>
      <c r="RVT4" s="1115"/>
      <c r="RVU4" s="1115"/>
      <c r="RVV4" s="1115"/>
      <c r="RVW4" s="1115"/>
      <c r="RVX4" s="1115"/>
      <c r="RVY4" s="1115"/>
      <c r="RVZ4" s="1115"/>
      <c r="RWA4" s="1115"/>
      <c r="RWB4" s="1115"/>
      <c r="RWC4" s="1115"/>
      <c r="RWD4" s="1115"/>
      <c r="RWE4" s="1115"/>
      <c r="RWF4" s="1115"/>
      <c r="RWG4" s="1115"/>
      <c r="RWH4" s="1115"/>
      <c r="RWI4" s="1115"/>
      <c r="RWJ4" s="1115"/>
      <c r="RWK4" s="1115"/>
      <c r="RWL4" s="1115"/>
      <c r="RWM4" s="1115"/>
      <c r="RWN4" s="1115"/>
      <c r="RWO4" s="1115"/>
      <c r="RWP4" s="1115"/>
      <c r="RWQ4" s="1115"/>
      <c r="RWR4" s="1115"/>
      <c r="RWS4" s="1115"/>
      <c r="RWT4" s="1115"/>
      <c r="RWU4" s="1115"/>
      <c r="RWV4" s="1115"/>
      <c r="RWW4" s="1115"/>
      <c r="RWX4" s="1115"/>
      <c r="RWY4" s="1115"/>
      <c r="RWZ4" s="1115"/>
      <c r="RXA4" s="1115"/>
      <c r="RXB4" s="1115"/>
      <c r="RXC4" s="1115"/>
      <c r="RXD4" s="1115"/>
      <c r="RXE4" s="1115"/>
      <c r="RXF4" s="1115"/>
      <c r="RXG4" s="1115"/>
      <c r="RXH4" s="1115"/>
      <c r="RXI4" s="1115"/>
      <c r="RXJ4" s="1115"/>
      <c r="RXK4" s="1115"/>
      <c r="RXL4" s="1115"/>
      <c r="RXM4" s="1115"/>
      <c r="RXN4" s="1115"/>
      <c r="RXO4" s="1115"/>
      <c r="RXP4" s="1115"/>
      <c r="RXQ4" s="1115"/>
      <c r="RXR4" s="1115"/>
      <c r="RXS4" s="1115"/>
      <c r="RXT4" s="1115"/>
      <c r="RXU4" s="1115"/>
      <c r="RXV4" s="1115"/>
      <c r="RXW4" s="1115"/>
      <c r="RXX4" s="1115"/>
      <c r="RXY4" s="1115"/>
      <c r="RXZ4" s="1115"/>
      <c r="RYA4" s="1115"/>
      <c r="RYB4" s="1115"/>
      <c r="RYC4" s="1115"/>
      <c r="RYD4" s="1115"/>
      <c r="RYE4" s="1115"/>
      <c r="RYF4" s="1115"/>
      <c r="RYG4" s="1115"/>
      <c r="RYH4" s="1115"/>
      <c r="RYI4" s="1115"/>
      <c r="RYJ4" s="1115"/>
      <c r="RYK4" s="1115"/>
      <c r="RYL4" s="1115"/>
      <c r="RYM4" s="1115"/>
      <c r="RYN4" s="1115"/>
      <c r="RYO4" s="1115"/>
      <c r="RYP4" s="1115"/>
      <c r="RYQ4" s="1115"/>
      <c r="RYR4" s="1115"/>
      <c r="RYS4" s="1115"/>
      <c r="RYT4" s="1115"/>
      <c r="RYU4" s="1115"/>
      <c r="RYV4" s="1115"/>
      <c r="RYW4" s="1115"/>
      <c r="RYX4" s="1115"/>
      <c r="RYY4" s="1115"/>
      <c r="RYZ4" s="1115"/>
      <c r="RZA4" s="1115"/>
      <c r="RZB4" s="1115"/>
      <c r="RZC4" s="1115"/>
      <c r="RZD4" s="1115"/>
      <c r="RZE4" s="1115"/>
      <c r="RZF4" s="1115"/>
      <c r="RZG4" s="1115"/>
      <c r="RZH4" s="1115"/>
      <c r="RZI4" s="1115"/>
      <c r="RZJ4" s="1115"/>
      <c r="RZK4" s="1115"/>
      <c r="RZL4" s="1115"/>
      <c r="RZM4" s="1115"/>
      <c r="RZN4" s="1115"/>
      <c r="RZO4" s="1115"/>
      <c r="RZP4" s="1115"/>
      <c r="RZQ4" s="1115"/>
      <c r="RZR4" s="1115"/>
      <c r="RZS4" s="1115"/>
      <c r="RZT4" s="1115"/>
      <c r="RZU4" s="1115"/>
      <c r="RZV4" s="1115"/>
      <c r="RZW4" s="1115"/>
      <c r="RZX4" s="1115"/>
      <c r="RZY4" s="1115"/>
      <c r="RZZ4" s="1115"/>
      <c r="SAA4" s="1115"/>
      <c r="SAB4" s="1115"/>
      <c r="SAC4" s="1115"/>
      <c r="SAD4" s="1115"/>
      <c r="SAE4" s="1115"/>
      <c r="SAF4" s="1115"/>
      <c r="SAG4" s="1115"/>
      <c r="SAH4" s="1115"/>
      <c r="SAI4" s="1115"/>
      <c r="SAJ4" s="1115"/>
      <c r="SAK4" s="1115"/>
      <c r="SAL4" s="1115"/>
      <c r="SAM4" s="1115"/>
      <c r="SAN4" s="1115"/>
      <c r="SAO4" s="1115"/>
      <c r="SAP4" s="1115"/>
      <c r="SAQ4" s="1115"/>
      <c r="SAR4" s="1115"/>
      <c r="SAS4" s="1115"/>
      <c r="SAT4" s="1115"/>
      <c r="SAU4" s="1115"/>
      <c r="SAV4" s="1115"/>
      <c r="SAW4" s="1115"/>
      <c r="SAX4" s="1115"/>
      <c r="SAY4" s="1115"/>
      <c r="SAZ4" s="1115"/>
      <c r="SBA4" s="1115"/>
      <c r="SBB4" s="1115"/>
      <c r="SBC4" s="1115"/>
      <c r="SBD4" s="1115"/>
      <c r="SBE4" s="1115"/>
      <c r="SBF4" s="1115"/>
      <c r="SBG4" s="1115"/>
      <c r="SBH4" s="1115"/>
      <c r="SBI4" s="1115"/>
      <c r="SBJ4" s="1115"/>
      <c r="SBK4" s="1115"/>
      <c r="SBL4" s="1115"/>
      <c r="SBM4" s="1115"/>
      <c r="SBN4" s="1115"/>
      <c r="SBO4" s="1115"/>
      <c r="SBP4" s="1115"/>
      <c r="SBQ4" s="1115"/>
      <c r="SBR4" s="1115"/>
      <c r="SBS4" s="1115"/>
      <c r="SBT4" s="1115"/>
      <c r="SBU4" s="1115"/>
      <c r="SBV4" s="1115"/>
      <c r="SBW4" s="1115"/>
      <c r="SBX4" s="1115"/>
      <c r="SBY4" s="1115"/>
      <c r="SBZ4" s="1115"/>
      <c r="SCA4" s="1115"/>
      <c r="SCB4" s="1115"/>
      <c r="SCC4" s="1115"/>
      <c r="SCD4" s="1115"/>
      <c r="SCE4" s="1115"/>
      <c r="SCF4" s="1115"/>
      <c r="SCG4" s="1115"/>
      <c r="SCH4" s="1115"/>
      <c r="SCI4" s="1115"/>
      <c r="SCJ4" s="1115"/>
      <c r="SCK4" s="1115"/>
      <c r="SCL4" s="1115"/>
      <c r="SCM4" s="1115"/>
      <c r="SCN4" s="1115"/>
      <c r="SCO4" s="1115"/>
      <c r="SCP4" s="1115"/>
      <c r="SCQ4" s="1115"/>
      <c r="SCR4" s="1115"/>
      <c r="SCS4" s="1115"/>
      <c r="SCT4" s="1115"/>
      <c r="SCU4" s="1115"/>
      <c r="SCV4" s="1115"/>
      <c r="SCW4" s="1115"/>
      <c r="SCX4" s="1115"/>
      <c r="SCY4" s="1115"/>
      <c r="SCZ4" s="1115"/>
      <c r="SDA4" s="1115"/>
      <c r="SDB4" s="1115"/>
      <c r="SDC4" s="1115"/>
      <c r="SDD4" s="1115"/>
      <c r="SDE4" s="1115"/>
      <c r="SDF4" s="1115"/>
      <c r="SDG4" s="1115"/>
      <c r="SDH4" s="1115"/>
      <c r="SDI4" s="1115"/>
      <c r="SDJ4" s="1115"/>
      <c r="SDK4" s="1115"/>
      <c r="SDL4" s="1115"/>
      <c r="SDM4" s="1115"/>
      <c r="SDN4" s="1115"/>
      <c r="SDO4" s="1115"/>
      <c r="SDP4" s="1115"/>
      <c r="SDQ4" s="1115"/>
      <c r="SDR4" s="1115"/>
      <c r="SDS4" s="1115"/>
      <c r="SDT4" s="1115"/>
      <c r="SDU4" s="1115"/>
      <c r="SDV4" s="1115"/>
      <c r="SDW4" s="1115"/>
      <c r="SDX4" s="1115"/>
      <c r="SDY4" s="1115"/>
      <c r="SDZ4" s="1115"/>
      <c r="SEA4" s="1115"/>
      <c r="SEB4" s="1115"/>
      <c r="SEC4" s="1115"/>
      <c r="SED4" s="1115"/>
      <c r="SEE4" s="1115"/>
      <c r="SEF4" s="1115"/>
      <c r="SEG4" s="1115"/>
      <c r="SEH4" s="1115"/>
      <c r="SEI4" s="1115"/>
      <c r="SEJ4" s="1115"/>
      <c r="SEK4" s="1115"/>
      <c r="SEL4" s="1115"/>
      <c r="SEM4" s="1115"/>
      <c r="SEN4" s="1115"/>
      <c r="SEO4" s="1115"/>
      <c r="SEP4" s="1115"/>
      <c r="SEQ4" s="1115"/>
      <c r="SER4" s="1115"/>
      <c r="SES4" s="1115"/>
      <c r="SET4" s="1115"/>
      <c r="SEU4" s="1115"/>
      <c r="SEV4" s="1115"/>
      <c r="SEW4" s="1115"/>
      <c r="SEX4" s="1115"/>
      <c r="SEY4" s="1115"/>
      <c r="SEZ4" s="1115"/>
      <c r="SFA4" s="1115"/>
      <c r="SFB4" s="1115"/>
      <c r="SFC4" s="1115"/>
      <c r="SFD4" s="1115"/>
      <c r="SFE4" s="1115"/>
      <c r="SFF4" s="1115"/>
      <c r="SFG4" s="1115"/>
      <c r="SFH4" s="1115"/>
      <c r="SFI4" s="1115"/>
      <c r="SFJ4" s="1115"/>
      <c r="SFK4" s="1115"/>
      <c r="SFL4" s="1115"/>
      <c r="SFM4" s="1115"/>
      <c r="SFN4" s="1115"/>
      <c r="SFO4" s="1115"/>
      <c r="SFP4" s="1115"/>
      <c r="SFQ4" s="1115"/>
      <c r="SFR4" s="1115"/>
      <c r="SFS4" s="1115"/>
      <c r="SFT4" s="1115"/>
      <c r="SFU4" s="1115"/>
      <c r="SFV4" s="1115"/>
      <c r="SFW4" s="1115"/>
      <c r="SFX4" s="1115"/>
      <c r="SFY4" s="1115"/>
      <c r="SFZ4" s="1115"/>
      <c r="SGA4" s="1115"/>
      <c r="SGB4" s="1115"/>
      <c r="SGC4" s="1115"/>
      <c r="SGD4" s="1115"/>
      <c r="SGE4" s="1115"/>
      <c r="SGF4" s="1115"/>
      <c r="SGG4" s="1115"/>
      <c r="SGH4" s="1115"/>
      <c r="SGI4" s="1115"/>
      <c r="SGJ4" s="1115"/>
      <c r="SGK4" s="1115"/>
      <c r="SGL4" s="1115"/>
      <c r="SGM4" s="1115"/>
      <c r="SGN4" s="1115"/>
      <c r="SGO4" s="1115"/>
      <c r="SGP4" s="1115"/>
      <c r="SGQ4" s="1115"/>
      <c r="SGR4" s="1115"/>
      <c r="SGS4" s="1115"/>
      <c r="SGT4" s="1115"/>
      <c r="SGU4" s="1115"/>
      <c r="SGV4" s="1115"/>
      <c r="SGW4" s="1115"/>
      <c r="SGX4" s="1115"/>
      <c r="SGY4" s="1115"/>
      <c r="SGZ4" s="1115"/>
      <c r="SHA4" s="1115"/>
      <c r="SHB4" s="1115"/>
      <c r="SHC4" s="1115"/>
      <c r="SHD4" s="1115"/>
      <c r="SHE4" s="1115"/>
      <c r="SHF4" s="1115"/>
      <c r="SHG4" s="1115"/>
      <c r="SHH4" s="1115"/>
      <c r="SHI4" s="1115"/>
      <c r="SHJ4" s="1115"/>
      <c r="SHK4" s="1115"/>
      <c r="SHL4" s="1115"/>
      <c r="SHM4" s="1115"/>
      <c r="SHN4" s="1115"/>
      <c r="SHO4" s="1115"/>
      <c r="SHP4" s="1115"/>
      <c r="SHQ4" s="1115"/>
      <c r="SHR4" s="1115"/>
      <c r="SHS4" s="1115"/>
      <c r="SHT4" s="1115"/>
      <c r="SHU4" s="1115"/>
      <c r="SHV4" s="1115"/>
      <c r="SHW4" s="1115"/>
      <c r="SHX4" s="1115"/>
      <c r="SHY4" s="1115"/>
      <c r="SHZ4" s="1115"/>
      <c r="SIA4" s="1115"/>
      <c r="SIB4" s="1115"/>
      <c r="SIC4" s="1115"/>
      <c r="SID4" s="1115"/>
      <c r="SIE4" s="1115"/>
      <c r="SIF4" s="1115"/>
      <c r="SIG4" s="1115"/>
      <c r="SIH4" s="1115"/>
      <c r="SII4" s="1115"/>
      <c r="SIJ4" s="1115"/>
      <c r="SIK4" s="1115"/>
      <c r="SIL4" s="1115"/>
      <c r="SIM4" s="1115"/>
      <c r="SIN4" s="1115"/>
      <c r="SIO4" s="1115"/>
      <c r="SIP4" s="1115"/>
      <c r="SIQ4" s="1115"/>
      <c r="SIR4" s="1115"/>
      <c r="SIS4" s="1115"/>
      <c r="SIT4" s="1115"/>
      <c r="SIU4" s="1115"/>
      <c r="SIV4" s="1115"/>
      <c r="SIW4" s="1115"/>
      <c r="SIX4" s="1115"/>
      <c r="SIY4" s="1115"/>
      <c r="SIZ4" s="1115"/>
      <c r="SJA4" s="1115"/>
      <c r="SJB4" s="1115"/>
      <c r="SJC4" s="1115"/>
      <c r="SJD4" s="1115"/>
      <c r="SJE4" s="1115"/>
      <c r="SJF4" s="1115"/>
      <c r="SJG4" s="1115"/>
      <c r="SJH4" s="1115"/>
      <c r="SJI4" s="1115"/>
      <c r="SJJ4" s="1115"/>
      <c r="SJK4" s="1115"/>
      <c r="SJL4" s="1115"/>
      <c r="SJM4" s="1115"/>
      <c r="SJN4" s="1115"/>
      <c r="SJO4" s="1115"/>
      <c r="SJP4" s="1115"/>
      <c r="SJQ4" s="1115"/>
      <c r="SJR4" s="1115"/>
      <c r="SJS4" s="1115"/>
      <c r="SJT4" s="1115"/>
      <c r="SJU4" s="1115"/>
      <c r="SJV4" s="1115"/>
      <c r="SJW4" s="1115"/>
      <c r="SJX4" s="1115"/>
      <c r="SJY4" s="1115"/>
      <c r="SJZ4" s="1115"/>
      <c r="SKA4" s="1115"/>
      <c r="SKB4" s="1115"/>
      <c r="SKC4" s="1115"/>
      <c r="SKD4" s="1115"/>
      <c r="SKE4" s="1115"/>
      <c r="SKF4" s="1115"/>
      <c r="SKG4" s="1115"/>
      <c r="SKH4" s="1115"/>
      <c r="SKI4" s="1115"/>
      <c r="SKJ4" s="1115"/>
      <c r="SKK4" s="1115"/>
      <c r="SKL4" s="1115"/>
      <c r="SKM4" s="1115"/>
      <c r="SKN4" s="1115"/>
      <c r="SKO4" s="1115"/>
      <c r="SKP4" s="1115"/>
      <c r="SKQ4" s="1115"/>
      <c r="SKR4" s="1115"/>
      <c r="SKS4" s="1115"/>
      <c r="SKT4" s="1115"/>
      <c r="SKU4" s="1115"/>
      <c r="SKV4" s="1115"/>
      <c r="SKW4" s="1115"/>
      <c r="SKX4" s="1115"/>
      <c r="SKY4" s="1115"/>
      <c r="SKZ4" s="1115"/>
      <c r="SLA4" s="1115"/>
      <c r="SLB4" s="1115"/>
      <c r="SLC4" s="1115"/>
      <c r="SLD4" s="1115"/>
      <c r="SLE4" s="1115"/>
      <c r="SLF4" s="1115"/>
      <c r="SLG4" s="1115"/>
      <c r="SLH4" s="1115"/>
      <c r="SLI4" s="1115"/>
      <c r="SLJ4" s="1115"/>
      <c r="SLK4" s="1115"/>
      <c r="SLL4" s="1115"/>
      <c r="SLM4" s="1115"/>
      <c r="SLN4" s="1115"/>
      <c r="SLO4" s="1115"/>
      <c r="SLP4" s="1115"/>
      <c r="SLQ4" s="1115"/>
      <c r="SLR4" s="1115"/>
      <c r="SLS4" s="1115"/>
      <c r="SLT4" s="1115"/>
      <c r="SLU4" s="1115"/>
      <c r="SLV4" s="1115"/>
      <c r="SLW4" s="1115"/>
      <c r="SLX4" s="1115"/>
      <c r="SLY4" s="1115"/>
      <c r="SLZ4" s="1115"/>
      <c r="SMA4" s="1115"/>
      <c r="SMB4" s="1115"/>
      <c r="SMC4" s="1115"/>
      <c r="SMD4" s="1115"/>
      <c r="SME4" s="1115"/>
      <c r="SMF4" s="1115"/>
      <c r="SMG4" s="1115"/>
      <c r="SMH4" s="1115"/>
      <c r="SMI4" s="1115"/>
      <c r="SMJ4" s="1115"/>
      <c r="SMK4" s="1115"/>
      <c r="SML4" s="1115"/>
      <c r="SMM4" s="1115"/>
      <c r="SMN4" s="1115"/>
      <c r="SMO4" s="1115"/>
      <c r="SMP4" s="1115"/>
      <c r="SMQ4" s="1115"/>
      <c r="SMR4" s="1115"/>
      <c r="SMS4" s="1115"/>
      <c r="SMT4" s="1115"/>
      <c r="SMU4" s="1115"/>
      <c r="SMV4" s="1115"/>
      <c r="SMW4" s="1115"/>
      <c r="SMX4" s="1115"/>
      <c r="SMY4" s="1115"/>
      <c r="SMZ4" s="1115"/>
      <c r="SNA4" s="1115"/>
      <c r="SNB4" s="1115"/>
      <c r="SNC4" s="1115"/>
      <c r="SND4" s="1115"/>
      <c r="SNE4" s="1115"/>
      <c r="SNF4" s="1115"/>
      <c r="SNG4" s="1115"/>
      <c r="SNH4" s="1115"/>
      <c r="SNI4" s="1115"/>
      <c r="SNJ4" s="1115"/>
      <c r="SNK4" s="1115"/>
      <c r="SNL4" s="1115"/>
      <c r="SNM4" s="1115"/>
      <c r="SNN4" s="1115"/>
      <c r="SNO4" s="1115"/>
      <c r="SNP4" s="1115"/>
      <c r="SNQ4" s="1115"/>
      <c r="SNR4" s="1115"/>
      <c r="SNS4" s="1115"/>
      <c r="SNT4" s="1115"/>
      <c r="SNU4" s="1115"/>
      <c r="SNV4" s="1115"/>
      <c r="SNW4" s="1115"/>
      <c r="SNX4" s="1115"/>
      <c r="SNY4" s="1115"/>
      <c r="SNZ4" s="1115"/>
      <c r="SOA4" s="1115"/>
      <c r="SOB4" s="1115"/>
      <c r="SOC4" s="1115"/>
      <c r="SOD4" s="1115"/>
      <c r="SOE4" s="1115"/>
      <c r="SOF4" s="1115"/>
      <c r="SOG4" s="1115"/>
      <c r="SOH4" s="1115"/>
      <c r="SOI4" s="1115"/>
      <c r="SOJ4" s="1115"/>
      <c r="SOK4" s="1115"/>
      <c r="SOL4" s="1115"/>
      <c r="SOM4" s="1115"/>
      <c r="SON4" s="1115"/>
      <c r="SOO4" s="1115"/>
      <c r="SOP4" s="1115"/>
      <c r="SOQ4" s="1115"/>
      <c r="SOR4" s="1115"/>
      <c r="SOS4" s="1115"/>
      <c r="SOT4" s="1115"/>
      <c r="SOU4" s="1115"/>
      <c r="SOV4" s="1115"/>
      <c r="SOW4" s="1115"/>
      <c r="SOX4" s="1115"/>
      <c r="SOY4" s="1115"/>
      <c r="SOZ4" s="1115"/>
      <c r="SPA4" s="1115"/>
      <c r="SPB4" s="1115"/>
      <c r="SPC4" s="1115"/>
      <c r="SPD4" s="1115"/>
      <c r="SPE4" s="1115"/>
      <c r="SPF4" s="1115"/>
      <c r="SPG4" s="1115"/>
      <c r="SPH4" s="1115"/>
      <c r="SPI4" s="1115"/>
      <c r="SPJ4" s="1115"/>
      <c r="SPK4" s="1115"/>
      <c r="SPL4" s="1115"/>
      <c r="SPM4" s="1115"/>
      <c r="SPN4" s="1115"/>
      <c r="SPO4" s="1115"/>
      <c r="SPP4" s="1115"/>
      <c r="SPQ4" s="1115"/>
      <c r="SPR4" s="1115"/>
      <c r="SPS4" s="1115"/>
      <c r="SPT4" s="1115"/>
      <c r="SPU4" s="1115"/>
      <c r="SPV4" s="1115"/>
      <c r="SPW4" s="1115"/>
      <c r="SPX4" s="1115"/>
      <c r="SPY4" s="1115"/>
      <c r="SPZ4" s="1115"/>
      <c r="SQA4" s="1115"/>
      <c r="SQB4" s="1115"/>
      <c r="SQC4" s="1115"/>
      <c r="SQD4" s="1115"/>
      <c r="SQE4" s="1115"/>
      <c r="SQF4" s="1115"/>
      <c r="SQG4" s="1115"/>
      <c r="SQH4" s="1115"/>
      <c r="SQI4" s="1115"/>
      <c r="SQJ4" s="1115"/>
      <c r="SQK4" s="1115"/>
      <c r="SQL4" s="1115"/>
      <c r="SQM4" s="1115"/>
      <c r="SQN4" s="1115"/>
      <c r="SQO4" s="1115"/>
      <c r="SQP4" s="1115"/>
      <c r="SQQ4" s="1115"/>
      <c r="SQR4" s="1115"/>
      <c r="SQS4" s="1115"/>
      <c r="SQT4" s="1115"/>
      <c r="SQU4" s="1115"/>
      <c r="SQV4" s="1115"/>
      <c r="SQW4" s="1115"/>
      <c r="SQX4" s="1115"/>
      <c r="SQY4" s="1115"/>
      <c r="SQZ4" s="1115"/>
      <c r="SRA4" s="1115"/>
      <c r="SRB4" s="1115"/>
      <c r="SRC4" s="1115"/>
      <c r="SRD4" s="1115"/>
      <c r="SRE4" s="1115"/>
      <c r="SRF4" s="1115"/>
      <c r="SRG4" s="1115"/>
      <c r="SRH4" s="1115"/>
      <c r="SRI4" s="1115"/>
      <c r="SRJ4" s="1115"/>
      <c r="SRK4" s="1115"/>
      <c r="SRL4" s="1115"/>
      <c r="SRM4" s="1115"/>
      <c r="SRN4" s="1115"/>
      <c r="SRO4" s="1115"/>
      <c r="SRP4" s="1115"/>
      <c r="SRQ4" s="1115"/>
      <c r="SRR4" s="1115"/>
      <c r="SRS4" s="1115"/>
      <c r="SRT4" s="1115"/>
      <c r="SRU4" s="1115"/>
      <c r="SRV4" s="1115"/>
      <c r="SRW4" s="1115"/>
      <c r="SRX4" s="1115"/>
      <c r="SRY4" s="1115"/>
      <c r="SRZ4" s="1115"/>
      <c r="SSA4" s="1115"/>
      <c r="SSB4" s="1115"/>
      <c r="SSC4" s="1115"/>
      <c r="SSD4" s="1115"/>
      <c r="SSE4" s="1115"/>
      <c r="SSF4" s="1115"/>
      <c r="SSG4" s="1115"/>
      <c r="SSH4" s="1115"/>
      <c r="SSI4" s="1115"/>
      <c r="SSJ4" s="1115"/>
      <c r="SSK4" s="1115"/>
      <c r="SSL4" s="1115"/>
      <c r="SSM4" s="1115"/>
      <c r="SSN4" s="1115"/>
      <c r="SSO4" s="1115"/>
      <c r="SSP4" s="1115"/>
      <c r="SSQ4" s="1115"/>
      <c r="SSR4" s="1115"/>
      <c r="SSS4" s="1115"/>
      <c r="SST4" s="1115"/>
      <c r="SSU4" s="1115"/>
      <c r="SSV4" s="1115"/>
      <c r="SSW4" s="1115"/>
      <c r="SSX4" s="1115"/>
      <c r="SSY4" s="1115"/>
      <c r="SSZ4" s="1115"/>
      <c r="STA4" s="1115"/>
      <c r="STB4" s="1115"/>
      <c r="STC4" s="1115"/>
      <c r="STD4" s="1115"/>
      <c r="STE4" s="1115"/>
      <c r="STF4" s="1115"/>
      <c r="STG4" s="1115"/>
      <c r="STH4" s="1115"/>
      <c r="STI4" s="1115"/>
      <c r="STJ4" s="1115"/>
      <c r="STK4" s="1115"/>
      <c r="STL4" s="1115"/>
      <c r="STM4" s="1115"/>
      <c r="STN4" s="1115"/>
      <c r="STO4" s="1115"/>
      <c r="STP4" s="1115"/>
      <c r="STQ4" s="1115"/>
      <c r="STR4" s="1115"/>
      <c r="STS4" s="1115"/>
      <c r="STT4" s="1115"/>
      <c r="STU4" s="1115"/>
      <c r="STV4" s="1115"/>
      <c r="STW4" s="1115"/>
      <c r="STX4" s="1115"/>
      <c r="STY4" s="1115"/>
      <c r="STZ4" s="1115"/>
      <c r="SUA4" s="1115"/>
      <c r="SUB4" s="1115"/>
      <c r="SUC4" s="1115"/>
      <c r="SUD4" s="1115"/>
      <c r="SUE4" s="1115"/>
      <c r="SUF4" s="1115"/>
      <c r="SUG4" s="1115"/>
      <c r="SUH4" s="1115"/>
      <c r="SUI4" s="1115"/>
      <c r="SUJ4" s="1115"/>
      <c r="SUK4" s="1115"/>
      <c r="SUL4" s="1115"/>
      <c r="SUM4" s="1115"/>
      <c r="SUN4" s="1115"/>
      <c r="SUO4" s="1115"/>
      <c r="SUP4" s="1115"/>
      <c r="SUQ4" s="1115"/>
      <c r="SUR4" s="1115"/>
      <c r="SUS4" s="1115"/>
      <c r="SUT4" s="1115"/>
      <c r="SUU4" s="1115"/>
      <c r="SUV4" s="1115"/>
      <c r="SUW4" s="1115"/>
      <c r="SUX4" s="1115"/>
      <c r="SUY4" s="1115"/>
      <c r="SUZ4" s="1115"/>
      <c r="SVA4" s="1115"/>
      <c r="SVB4" s="1115"/>
      <c r="SVC4" s="1115"/>
      <c r="SVD4" s="1115"/>
      <c r="SVE4" s="1115"/>
      <c r="SVF4" s="1115"/>
      <c r="SVG4" s="1115"/>
      <c r="SVH4" s="1115"/>
      <c r="SVI4" s="1115"/>
      <c r="SVJ4" s="1115"/>
      <c r="SVK4" s="1115"/>
      <c r="SVL4" s="1115"/>
      <c r="SVM4" s="1115"/>
      <c r="SVN4" s="1115"/>
      <c r="SVO4" s="1115"/>
      <c r="SVP4" s="1115"/>
      <c r="SVQ4" s="1115"/>
      <c r="SVR4" s="1115"/>
      <c r="SVS4" s="1115"/>
      <c r="SVT4" s="1115"/>
      <c r="SVU4" s="1115"/>
      <c r="SVV4" s="1115"/>
      <c r="SVW4" s="1115"/>
      <c r="SVX4" s="1115"/>
      <c r="SVY4" s="1115"/>
      <c r="SVZ4" s="1115"/>
      <c r="SWA4" s="1115"/>
      <c r="SWB4" s="1115"/>
      <c r="SWC4" s="1115"/>
      <c r="SWD4" s="1115"/>
      <c r="SWE4" s="1115"/>
      <c r="SWF4" s="1115"/>
      <c r="SWG4" s="1115"/>
      <c r="SWH4" s="1115"/>
      <c r="SWI4" s="1115"/>
      <c r="SWJ4" s="1115"/>
      <c r="SWK4" s="1115"/>
      <c r="SWL4" s="1115"/>
      <c r="SWM4" s="1115"/>
      <c r="SWN4" s="1115"/>
      <c r="SWO4" s="1115"/>
      <c r="SWP4" s="1115"/>
      <c r="SWQ4" s="1115"/>
      <c r="SWR4" s="1115"/>
      <c r="SWS4" s="1115"/>
      <c r="SWT4" s="1115"/>
      <c r="SWU4" s="1115"/>
      <c r="SWV4" s="1115"/>
      <c r="SWW4" s="1115"/>
      <c r="SWX4" s="1115"/>
      <c r="SWY4" s="1115"/>
      <c r="SWZ4" s="1115"/>
      <c r="SXA4" s="1115"/>
      <c r="SXB4" s="1115"/>
      <c r="SXC4" s="1115"/>
      <c r="SXD4" s="1115"/>
      <c r="SXE4" s="1115"/>
      <c r="SXF4" s="1115"/>
      <c r="SXG4" s="1115"/>
      <c r="SXH4" s="1115"/>
      <c r="SXI4" s="1115"/>
      <c r="SXJ4" s="1115"/>
      <c r="SXK4" s="1115"/>
      <c r="SXL4" s="1115"/>
      <c r="SXM4" s="1115"/>
      <c r="SXN4" s="1115"/>
      <c r="SXO4" s="1115"/>
      <c r="SXP4" s="1115"/>
      <c r="SXQ4" s="1115"/>
      <c r="SXR4" s="1115"/>
      <c r="SXS4" s="1115"/>
      <c r="SXT4" s="1115"/>
      <c r="SXU4" s="1115"/>
      <c r="SXV4" s="1115"/>
      <c r="SXW4" s="1115"/>
      <c r="SXX4" s="1115"/>
      <c r="SXY4" s="1115"/>
      <c r="SXZ4" s="1115"/>
      <c r="SYA4" s="1115"/>
      <c r="SYB4" s="1115"/>
      <c r="SYC4" s="1115"/>
      <c r="SYD4" s="1115"/>
      <c r="SYE4" s="1115"/>
      <c r="SYF4" s="1115"/>
      <c r="SYG4" s="1115"/>
      <c r="SYH4" s="1115"/>
      <c r="SYI4" s="1115"/>
      <c r="SYJ4" s="1115"/>
      <c r="SYK4" s="1115"/>
      <c r="SYL4" s="1115"/>
      <c r="SYM4" s="1115"/>
      <c r="SYN4" s="1115"/>
      <c r="SYO4" s="1115"/>
      <c r="SYP4" s="1115"/>
      <c r="SYQ4" s="1115"/>
      <c r="SYR4" s="1115"/>
      <c r="SYS4" s="1115"/>
      <c r="SYT4" s="1115"/>
      <c r="SYU4" s="1115"/>
      <c r="SYV4" s="1115"/>
      <c r="SYW4" s="1115"/>
      <c r="SYX4" s="1115"/>
      <c r="SYY4" s="1115"/>
      <c r="SYZ4" s="1115"/>
      <c r="SZA4" s="1115"/>
      <c r="SZB4" s="1115"/>
      <c r="SZC4" s="1115"/>
      <c r="SZD4" s="1115"/>
      <c r="SZE4" s="1115"/>
      <c r="SZF4" s="1115"/>
      <c r="SZG4" s="1115"/>
      <c r="SZH4" s="1115"/>
      <c r="SZI4" s="1115"/>
      <c r="SZJ4" s="1115"/>
      <c r="SZK4" s="1115"/>
      <c r="SZL4" s="1115"/>
      <c r="SZM4" s="1115"/>
      <c r="SZN4" s="1115"/>
      <c r="SZO4" s="1115"/>
      <c r="SZP4" s="1115"/>
      <c r="SZQ4" s="1115"/>
      <c r="SZR4" s="1115"/>
      <c r="SZS4" s="1115"/>
      <c r="SZT4" s="1115"/>
      <c r="SZU4" s="1115"/>
      <c r="SZV4" s="1115"/>
      <c r="SZW4" s="1115"/>
      <c r="SZX4" s="1115"/>
      <c r="SZY4" s="1115"/>
      <c r="SZZ4" s="1115"/>
      <c r="TAA4" s="1115"/>
      <c r="TAB4" s="1115"/>
      <c r="TAC4" s="1115"/>
      <c r="TAD4" s="1115"/>
      <c r="TAE4" s="1115"/>
      <c r="TAF4" s="1115"/>
      <c r="TAG4" s="1115"/>
      <c r="TAH4" s="1115"/>
      <c r="TAI4" s="1115"/>
      <c r="TAJ4" s="1115"/>
      <c r="TAK4" s="1115"/>
      <c r="TAL4" s="1115"/>
      <c r="TAM4" s="1115"/>
      <c r="TAN4" s="1115"/>
      <c r="TAO4" s="1115"/>
      <c r="TAP4" s="1115"/>
      <c r="TAQ4" s="1115"/>
      <c r="TAR4" s="1115"/>
      <c r="TAS4" s="1115"/>
      <c r="TAT4" s="1115"/>
      <c r="TAU4" s="1115"/>
      <c r="TAV4" s="1115"/>
      <c r="TAW4" s="1115"/>
      <c r="TAX4" s="1115"/>
      <c r="TAY4" s="1115"/>
      <c r="TAZ4" s="1115"/>
      <c r="TBA4" s="1115"/>
      <c r="TBB4" s="1115"/>
      <c r="TBC4" s="1115"/>
      <c r="TBD4" s="1115"/>
      <c r="TBE4" s="1115"/>
      <c r="TBF4" s="1115"/>
      <c r="TBG4" s="1115"/>
      <c r="TBH4" s="1115"/>
      <c r="TBI4" s="1115"/>
      <c r="TBJ4" s="1115"/>
      <c r="TBK4" s="1115"/>
      <c r="TBL4" s="1115"/>
      <c r="TBM4" s="1115"/>
      <c r="TBN4" s="1115"/>
      <c r="TBO4" s="1115"/>
      <c r="TBP4" s="1115"/>
      <c r="TBQ4" s="1115"/>
      <c r="TBR4" s="1115"/>
      <c r="TBS4" s="1115"/>
      <c r="TBT4" s="1115"/>
      <c r="TBU4" s="1115"/>
      <c r="TBV4" s="1115"/>
      <c r="TBW4" s="1115"/>
      <c r="TBX4" s="1115"/>
      <c r="TBY4" s="1115"/>
      <c r="TBZ4" s="1115"/>
      <c r="TCA4" s="1115"/>
      <c r="TCB4" s="1115"/>
      <c r="TCC4" s="1115"/>
      <c r="TCD4" s="1115"/>
      <c r="TCE4" s="1115"/>
      <c r="TCF4" s="1115"/>
      <c r="TCG4" s="1115"/>
      <c r="TCH4" s="1115"/>
      <c r="TCI4" s="1115"/>
      <c r="TCJ4" s="1115"/>
      <c r="TCK4" s="1115"/>
      <c r="TCL4" s="1115"/>
      <c r="TCM4" s="1115"/>
      <c r="TCN4" s="1115"/>
      <c r="TCO4" s="1115"/>
      <c r="TCP4" s="1115"/>
      <c r="TCQ4" s="1115"/>
      <c r="TCR4" s="1115"/>
      <c r="TCS4" s="1115"/>
      <c r="TCT4" s="1115"/>
      <c r="TCU4" s="1115"/>
      <c r="TCV4" s="1115"/>
      <c r="TCW4" s="1115"/>
      <c r="TCX4" s="1115"/>
      <c r="TCY4" s="1115"/>
      <c r="TCZ4" s="1115"/>
      <c r="TDA4" s="1115"/>
      <c r="TDB4" s="1115"/>
      <c r="TDC4" s="1115"/>
      <c r="TDD4" s="1115"/>
      <c r="TDE4" s="1115"/>
      <c r="TDF4" s="1115"/>
      <c r="TDG4" s="1115"/>
      <c r="TDH4" s="1115"/>
      <c r="TDI4" s="1115"/>
      <c r="TDJ4" s="1115"/>
      <c r="TDK4" s="1115"/>
      <c r="TDL4" s="1115"/>
      <c r="TDM4" s="1115"/>
      <c r="TDN4" s="1115"/>
      <c r="TDO4" s="1115"/>
      <c r="TDP4" s="1115"/>
      <c r="TDQ4" s="1115"/>
      <c r="TDR4" s="1115"/>
      <c r="TDS4" s="1115"/>
      <c r="TDT4" s="1115"/>
      <c r="TDU4" s="1115"/>
      <c r="TDV4" s="1115"/>
      <c r="TDW4" s="1115"/>
      <c r="TDX4" s="1115"/>
      <c r="TDY4" s="1115"/>
      <c r="TDZ4" s="1115"/>
      <c r="TEA4" s="1115"/>
      <c r="TEB4" s="1115"/>
      <c r="TEC4" s="1115"/>
      <c r="TED4" s="1115"/>
      <c r="TEE4" s="1115"/>
      <c r="TEF4" s="1115"/>
      <c r="TEG4" s="1115"/>
      <c r="TEH4" s="1115"/>
      <c r="TEI4" s="1115"/>
      <c r="TEJ4" s="1115"/>
      <c r="TEK4" s="1115"/>
      <c r="TEL4" s="1115"/>
      <c r="TEM4" s="1115"/>
      <c r="TEN4" s="1115"/>
      <c r="TEO4" s="1115"/>
      <c r="TEP4" s="1115"/>
      <c r="TEQ4" s="1115"/>
      <c r="TER4" s="1115"/>
      <c r="TES4" s="1115"/>
      <c r="TET4" s="1115"/>
      <c r="TEU4" s="1115"/>
      <c r="TEV4" s="1115"/>
      <c r="TEW4" s="1115"/>
      <c r="TEX4" s="1115"/>
      <c r="TEY4" s="1115"/>
      <c r="TEZ4" s="1115"/>
      <c r="TFA4" s="1115"/>
      <c r="TFB4" s="1115"/>
      <c r="TFC4" s="1115"/>
      <c r="TFD4" s="1115"/>
      <c r="TFE4" s="1115"/>
      <c r="TFF4" s="1115"/>
      <c r="TFG4" s="1115"/>
      <c r="TFH4" s="1115"/>
      <c r="TFI4" s="1115"/>
      <c r="TFJ4" s="1115"/>
      <c r="TFK4" s="1115"/>
      <c r="TFL4" s="1115"/>
      <c r="TFM4" s="1115"/>
      <c r="TFN4" s="1115"/>
      <c r="TFO4" s="1115"/>
      <c r="TFP4" s="1115"/>
      <c r="TFQ4" s="1115"/>
      <c r="TFR4" s="1115"/>
      <c r="TFS4" s="1115"/>
      <c r="TFT4" s="1115"/>
      <c r="TFU4" s="1115"/>
      <c r="TFV4" s="1115"/>
      <c r="TFW4" s="1115"/>
      <c r="TFX4" s="1115"/>
      <c r="TFY4" s="1115"/>
      <c r="TFZ4" s="1115"/>
      <c r="TGA4" s="1115"/>
      <c r="TGB4" s="1115"/>
      <c r="TGC4" s="1115"/>
      <c r="TGD4" s="1115"/>
      <c r="TGE4" s="1115"/>
      <c r="TGF4" s="1115"/>
      <c r="TGG4" s="1115"/>
      <c r="TGH4" s="1115"/>
      <c r="TGI4" s="1115"/>
      <c r="TGJ4" s="1115"/>
      <c r="TGK4" s="1115"/>
      <c r="TGL4" s="1115"/>
      <c r="TGM4" s="1115"/>
      <c r="TGN4" s="1115"/>
      <c r="TGO4" s="1115"/>
      <c r="TGP4" s="1115"/>
      <c r="TGQ4" s="1115"/>
      <c r="TGR4" s="1115"/>
      <c r="TGS4" s="1115"/>
      <c r="TGT4" s="1115"/>
      <c r="TGU4" s="1115"/>
      <c r="TGV4" s="1115"/>
      <c r="TGW4" s="1115"/>
      <c r="TGX4" s="1115"/>
      <c r="TGY4" s="1115"/>
      <c r="TGZ4" s="1115"/>
      <c r="THA4" s="1115"/>
      <c r="THB4" s="1115"/>
      <c r="THC4" s="1115"/>
      <c r="THD4" s="1115"/>
      <c r="THE4" s="1115"/>
      <c r="THF4" s="1115"/>
      <c r="THG4" s="1115"/>
      <c r="THH4" s="1115"/>
      <c r="THI4" s="1115"/>
      <c r="THJ4" s="1115"/>
      <c r="THK4" s="1115"/>
      <c r="THL4" s="1115"/>
      <c r="THM4" s="1115"/>
      <c r="THN4" s="1115"/>
      <c r="THO4" s="1115"/>
      <c r="THP4" s="1115"/>
      <c r="THQ4" s="1115"/>
      <c r="THR4" s="1115"/>
      <c r="THS4" s="1115"/>
      <c r="THT4" s="1115"/>
      <c r="THU4" s="1115"/>
      <c r="THV4" s="1115"/>
      <c r="THW4" s="1115"/>
      <c r="THX4" s="1115"/>
      <c r="THY4" s="1115"/>
      <c r="THZ4" s="1115"/>
      <c r="TIA4" s="1115"/>
      <c r="TIB4" s="1115"/>
      <c r="TIC4" s="1115"/>
      <c r="TID4" s="1115"/>
      <c r="TIE4" s="1115"/>
      <c r="TIF4" s="1115"/>
      <c r="TIG4" s="1115"/>
      <c r="TIH4" s="1115"/>
      <c r="TII4" s="1115"/>
      <c r="TIJ4" s="1115"/>
      <c r="TIK4" s="1115"/>
      <c r="TIL4" s="1115"/>
      <c r="TIM4" s="1115"/>
      <c r="TIN4" s="1115"/>
      <c r="TIO4" s="1115"/>
      <c r="TIP4" s="1115"/>
      <c r="TIQ4" s="1115"/>
      <c r="TIR4" s="1115"/>
      <c r="TIS4" s="1115"/>
      <c r="TIT4" s="1115"/>
      <c r="TIU4" s="1115"/>
      <c r="TIV4" s="1115"/>
      <c r="TIW4" s="1115"/>
      <c r="TIX4" s="1115"/>
      <c r="TIY4" s="1115"/>
      <c r="TIZ4" s="1115"/>
      <c r="TJA4" s="1115"/>
      <c r="TJB4" s="1115"/>
      <c r="TJC4" s="1115"/>
      <c r="TJD4" s="1115"/>
      <c r="TJE4" s="1115"/>
      <c r="TJF4" s="1115"/>
      <c r="TJG4" s="1115"/>
      <c r="TJH4" s="1115"/>
      <c r="TJI4" s="1115"/>
      <c r="TJJ4" s="1115"/>
      <c r="TJK4" s="1115"/>
      <c r="TJL4" s="1115"/>
      <c r="TJM4" s="1115"/>
      <c r="TJN4" s="1115"/>
      <c r="TJO4" s="1115"/>
      <c r="TJP4" s="1115"/>
      <c r="TJQ4" s="1115"/>
      <c r="TJR4" s="1115"/>
      <c r="TJS4" s="1115"/>
      <c r="TJT4" s="1115"/>
      <c r="TJU4" s="1115"/>
      <c r="TJV4" s="1115"/>
      <c r="TJW4" s="1115"/>
      <c r="TJX4" s="1115"/>
      <c r="TJY4" s="1115"/>
      <c r="TJZ4" s="1115"/>
      <c r="TKA4" s="1115"/>
      <c r="TKB4" s="1115"/>
      <c r="TKC4" s="1115"/>
      <c r="TKD4" s="1115"/>
      <c r="TKE4" s="1115"/>
      <c r="TKF4" s="1115"/>
      <c r="TKG4" s="1115"/>
      <c r="TKH4" s="1115"/>
      <c r="TKI4" s="1115"/>
      <c r="TKJ4" s="1115"/>
      <c r="TKK4" s="1115"/>
      <c r="TKL4" s="1115"/>
      <c r="TKM4" s="1115"/>
      <c r="TKN4" s="1115"/>
      <c r="TKO4" s="1115"/>
      <c r="TKP4" s="1115"/>
      <c r="TKQ4" s="1115"/>
      <c r="TKR4" s="1115"/>
      <c r="TKS4" s="1115"/>
      <c r="TKT4" s="1115"/>
      <c r="TKU4" s="1115"/>
      <c r="TKV4" s="1115"/>
      <c r="TKW4" s="1115"/>
      <c r="TKX4" s="1115"/>
      <c r="TKY4" s="1115"/>
      <c r="TKZ4" s="1115"/>
      <c r="TLA4" s="1115"/>
      <c r="TLB4" s="1115"/>
      <c r="TLC4" s="1115"/>
      <c r="TLD4" s="1115"/>
      <c r="TLE4" s="1115"/>
      <c r="TLF4" s="1115"/>
      <c r="TLG4" s="1115"/>
      <c r="TLH4" s="1115"/>
      <c r="TLI4" s="1115"/>
      <c r="TLJ4" s="1115"/>
      <c r="TLK4" s="1115"/>
      <c r="TLL4" s="1115"/>
      <c r="TLM4" s="1115"/>
      <c r="TLN4" s="1115"/>
      <c r="TLO4" s="1115"/>
      <c r="TLP4" s="1115"/>
      <c r="TLQ4" s="1115"/>
      <c r="TLR4" s="1115"/>
      <c r="TLS4" s="1115"/>
      <c r="TLT4" s="1115"/>
      <c r="TLU4" s="1115"/>
      <c r="TLV4" s="1115"/>
      <c r="TLW4" s="1115"/>
      <c r="TLX4" s="1115"/>
      <c r="TLY4" s="1115"/>
      <c r="TLZ4" s="1115"/>
      <c r="TMA4" s="1115"/>
      <c r="TMB4" s="1115"/>
      <c r="TMC4" s="1115"/>
      <c r="TMD4" s="1115"/>
      <c r="TME4" s="1115"/>
      <c r="TMF4" s="1115"/>
      <c r="TMG4" s="1115"/>
      <c r="TMH4" s="1115"/>
      <c r="TMI4" s="1115"/>
      <c r="TMJ4" s="1115"/>
      <c r="TMK4" s="1115"/>
      <c r="TML4" s="1115"/>
      <c r="TMM4" s="1115"/>
      <c r="TMN4" s="1115"/>
      <c r="TMO4" s="1115"/>
      <c r="TMP4" s="1115"/>
      <c r="TMQ4" s="1115"/>
      <c r="TMR4" s="1115"/>
      <c r="TMS4" s="1115"/>
      <c r="TMT4" s="1115"/>
      <c r="TMU4" s="1115"/>
      <c r="TMV4" s="1115"/>
      <c r="TMW4" s="1115"/>
      <c r="TMX4" s="1115"/>
      <c r="TMY4" s="1115"/>
      <c r="TMZ4" s="1115"/>
      <c r="TNA4" s="1115"/>
      <c r="TNB4" s="1115"/>
      <c r="TNC4" s="1115"/>
      <c r="TND4" s="1115"/>
      <c r="TNE4" s="1115"/>
      <c r="TNF4" s="1115"/>
      <c r="TNG4" s="1115"/>
      <c r="TNH4" s="1115"/>
      <c r="TNI4" s="1115"/>
      <c r="TNJ4" s="1115"/>
      <c r="TNK4" s="1115"/>
      <c r="TNL4" s="1115"/>
      <c r="TNM4" s="1115"/>
      <c r="TNN4" s="1115"/>
      <c r="TNO4" s="1115"/>
      <c r="TNP4" s="1115"/>
      <c r="TNQ4" s="1115"/>
      <c r="TNR4" s="1115"/>
      <c r="TNS4" s="1115"/>
      <c r="TNT4" s="1115"/>
      <c r="TNU4" s="1115"/>
      <c r="TNV4" s="1115"/>
      <c r="TNW4" s="1115"/>
      <c r="TNX4" s="1115"/>
      <c r="TNY4" s="1115"/>
      <c r="TNZ4" s="1115"/>
      <c r="TOA4" s="1115"/>
      <c r="TOB4" s="1115"/>
      <c r="TOC4" s="1115"/>
      <c r="TOD4" s="1115"/>
      <c r="TOE4" s="1115"/>
      <c r="TOF4" s="1115"/>
      <c r="TOG4" s="1115"/>
      <c r="TOH4" s="1115"/>
      <c r="TOI4" s="1115"/>
      <c r="TOJ4" s="1115"/>
      <c r="TOK4" s="1115"/>
      <c r="TOL4" s="1115"/>
      <c r="TOM4" s="1115"/>
      <c r="TON4" s="1115"/>
      <c r="TOO4" s="1115"/>
      <c r="TOP4" s="1115"/>
      <c r="TOQ4" s="1115"/>
      <c r="TOR4" s="1115"/>
      <c r="TOS4" s="1115"/>
      <c r="TOT4" s="1115"/>
      <c r="TOU4" s="1115"/>
      <c r="TOV4" s="1115"/>
      <c r="TOW4" s="1115"/>
      <c r="TOX4" s="1115"/>
      <c r="TOY4" s="1115"/>
      <c r="TOZ4" s="1115"/>
      <c r="TPA4" s="1115"/>
      <c r="TPB4" s="1115"/>
      <c r="TPC4" s="1115"/>
      <c r="TPD4" s="1115"/>
      <c r="TPE4" s="1115"/>
      <c r="TPF4" s="1115"/>
      <c r="TPG4" s="1115"/>
      <c r="TPH4" s="1115"/>
      <c r="TPI4" s="1115"/>
      <c r="TPJ4" s="1115"/>
      <c r="TPK4" s="1115"/>
      <c r="TPL4" s="1115"/>
      <c r="TPM4" s="1115"/>
      <c r="TPN4" s="1115"/>
      <c r="TPO4" s="1115"/>
      <c r="TPP4" s="1115"/>
      <c r="TPQ4" s="1115"/>
      <c r="TPR4" s="1115"/>
      <c r="TPS4" s="1115"/>
      <c r="TPT4" s="1115"/>
      <c r="TPU4" s="1115"/>
      <c r="TPV4" s="1115"/>
      <c r="TPW4" s="1115"/>
      <c r="TPX4" s="1115"/>
      <c r="TPY4" s="1115"/>
      <c r="TPZ4" s="1115"/>
      <c r="TQA4" s="1115"/>
      <c r="TQB4" s="1115"/>
      <c r="TQC4" s="1115"/>
      <c r="TQD4" s="1115"/>
      <c r="TQE4" s="1115"/>
      <c r="TQF4" s="1115"/>
      <c r="TQG4" s="1115"/>
      <c r="TQH4" s="1115"/>
      <c r="TQI4" s="1115"/>
      <c r="TQJ4" s="1115"/>
      <c r="TQK4" s="1115"/>
      <c r="TQL4" s="1115"/>
      <c r="TQM4" s="1115"/>
      <c r="TQN4" s="1115"/>
      <c r="TQO4" s="1115"/>
      <c r="TQP4" s="1115"/>
      <c r="TQQ4" s="1115"/>
      <c r="TQR4" s="1115"/>
      <c r="TQS4" s="1115"/>
      <c r="TQT4" s="1115"/>
      <c r="TQU4" s="1115"/>
      <c r="TQV4" s="1115"/>
      <c r="TQW4" s="1115"/>
      <c r="TQX4" s="1115"/>
      <c r="TQY4" s="1115"/>
      <c r="TQZ4" s="1115"/>
      <c r="TRA4" s="1115"/>
      <c r="TRB4" s="1115"/>
      <c r="TRC4" s="1115"/>
      <c r="TRD4" s="1115"/>
      <c r="TRE4" s="1115"/>
      <c r="TRF4" s="1115"/>
      <c r="TRG4" s="1115"/>
      <c r="TRH4" s="1115"/>
      <c r="TRI4" s="1115"/>
      <c r="TRJ4" s="1115"/>
      <c r="TRK4" s="1115"/>
      <c r="TRL4" s="1115"/>
      <c r="TRM4" s="1115"/>
      <c r="TRN4" s="1115"/>
      <c r="TRO4" s="1115"/>
      <c r="TRP4" s="1115"/>
      <c r="TRQ4" s="1115"/>
      <c r="TRR4" s="1115"/>
      <c r="TRS4" s="1115"/>
      <c r="TRT4" s="1115"/>
      <c r="TRU4" s="1115"/>
      <c r="TRV4" s="1115"/>
      <c r="TRW4" s="1115"/>
      <c r="TRX4" s="1115"/>
      <c r="TRY4" s="1115"/>
      <c r="TRZ4" s="1115"/>
      <c r="TSA4" s="1115"/>
      <c r="TSB4" s="1115"/>
      <c r="TSC4" s="1115"/>
      <c r="TSD4" s="1115"/>
      <c r="TSE4" s="1115"/>
      <c r="TSF4" s="1115"/>
      <c r="TSG4" s="1115"/>
      <c r="TSH4" s="1115"/>
      <c r="TSI4" s="1115"/>
      <c r="TSJ4" s="1115"/>
      <c r="TSK4" s="1115"/>
      <c r="TSL4" s="1115"/>
      <c r="TSM4" s="1115"/>
      <c r="TSN4" s="1115"/>
      <c r="TSO4" s="1115"/>
      <c r="TSP4" s="1115"/>
      <c r="TSQ4" s="1115"/>
      <c r="TSR4" s="1115"/>
      <c r="TSS4" s="1115"/>
      <c r="TST4" s="1115"/>
      <c r="TSU4" s="1115"/>
      <c r="TSV4" s="1115"/>
      <c r="TSW4" s="1115"/>
      <c r="TSX4" s="1115"/>
      <c r="TSY4" s="1115"/>
      <c r="TSZ4" s="1115"/>
      <c r="TTA4" s="1115"/>
      <c r="TTB4" s="1115"/>
      <c r="TTC4" s="1115"/>
      <c r="TTD4" s="1115"/>
      <c r="TTE4" s="1115"/>
      <c r="TTF4" s="1115"/>
      <c r="TTG4" s="1115"/>
      <c r="TTH4" s="1115"/>
      <c r="TTI4" s="1115"/>
      <c r="TTJ4" s="1115"/>
      <c r="TTK4" s="1115"/>
      <c r="TTL4" s="1115"/>
      <c r="TTM4" s="1115"/>
      <c r="TTN4" s="1115"/>
      <c r="TTO4" s="1115"/>
      <c r="TTP4" s="1115"/>
      <c r="TTQ4" s="1115"/>
      <c r="TTR4" s="1115"/>
      <c r="TTS4" s="1115"/>
      <c r="TTT4" s="1115"/>
      <c r="TTU4" s="1115"/>
      <c r="TTV4" s="1115"/>
      <c r="TTW4" s="1115"/>
      <c r="TTX4" s="1115"/>
      <c r="TTY4" s="1115"/>
      <c r="TTZ4" s="1115"/>
      <c r="TUA4" s="1115"/>
      <c r="TUB4" s="1115"/>
      <c r="TUC4" s="1115"/>
      <c r="TUD4" s="1115"/>
      <c r="TUE4" s="1115"/>
      <c r="TUF4" s="1115"/>
      <c r="TUG4" s="1115"/>
      <c r="TUH4" s="1115"/>
      <c r="TUI4" s="1115"/>
      <c r="TUJ4" s="1115"/>
      <c r="TUK4" s="1115"/>
      <c r="TUL4" s="1115"/>
      <c r="TUM4" s="1115"/>
      <c r="TUN4" s="1115"/>
      <c r="TUO4" s="1115"/>
      <c r="TUP4" s="1115"/>
      <c r="TUQ4" s="1115"/>
      <c r="TUR4" s="1115"/>
      <c r="TUS4" s="1115"/>
      <c r="TUT4" s="1115"/>
      <c r="TUU4" s="1115"/>
      <c r="TUV4" s="1115"/>
      <c r="TUW4" s="1115"/>
      <c r="TUX4" s="1115"/>
      <c r="TUY4" s="1115"/>
      <c r="TUZ4" s="1115"/>
      <c r="TVA4" s="1115"/>
      <c r="TVB4" s="1115"/>
      <c r="TVC4" s="1115"/>
      <c r="TVD4" s="1115"/>
      <c r="TVE4" s="1115"/>
      <c r="TVF4" s="1115"/>
      <c r="TVG4" s="1115"/>
      <c r="TVH4" s="1115"/>
      <c r="TVI4" s="1115"/>
      <c r="TVJ4" s="1115"/>
      <c r="TVK4" s="1115"/>
      <c r="TVL4" s="1115"/>
      <c r="TVM4" s="1115"/>
      <c r="TVN4" s="1115"/>
      <c r="TVO4" s="1115"/>
      <c r="TVP4" s="1115"/>
      <c r="TVQ4" s="1115"/>
      <c r="TVR4" s="1115"/>
      <c r="TVS4" s="1115"/>
      <c r="TVT4" s="1115"/>
      <c r="TVU4" s="1115"/>
      <c r="TVV4" s="1115"/>
      <c r="TVW4" s="1115"/>
      <c r="TVX4" s="1115"/>
      <c r="TVY4" s="1115"/>
      <c r="TVZ4" s="1115"/>
      <c r="TWA4" s="1115"/>
      <c r="TWB4" s="1115"/>
      <c r="TWC4" s="1115"/>
      <c r="TWD4" s="1115"/>
      <c r="TWE4" s="1115"/>
      <c r="TWF4" s="1115"/>
      <c r="TWG4" s="1115"/>
      <c r="TWH4" s="1115"/>
      <c r="TWI4" s="1115"/>
      <c r="TWJ4" s="1115"/>
      <c r="TWK4" s="1115"/>
      <c r="TWL4" s="1115"/>
      <c r="TWM4" s="1115"/>
      <c r="TWN4" s="1115"/>
      <c r="TWO4" s="1115"/>
      <c r="TWP4" s="1115"/>
      <c r="TWQ4" s="1115"/>
      <c r="TWR4" s="1115"/>
      <c r="TWS4" s="1115"/>
      <c r="TWT4" s="1115"/>
      <c r="TWU4" s="1115"/>
      <c r="TWV4" s="1115"/>
      <c r="TWW4" s="1115"/>
      <c r="TWX4" s="1115"/>
      <c r="TWY4" s="1115"/>
      <c r="TWZ4" s="1115"/>
      <c r="TXA4" s="1115"/>
      <c r="TXB4" s="1115"/>
      <c r="TXC4" s="1115"/>
      <c r="TXD4" s="1115"/>
      <c r="TXE4" s="1115"/>
      <c r="TXF4" s="1115"/>
      <c r="TXG4" s="1115"/>
      <c r="TXH4" s="1115"/>
      <c r="TXI4" s="1115"/>
      <c r="TXJ4" s="1115"/>
      <c r="TXK4" s="1115"/>
      <c r="TXL4" s="1115"/>
      <c r="TXM4" s="1115"/>
      <c r="TXN4" s="1115"/>
      <c r="TXO4" s="1115"/>
      <c r="TXP4" s="1115"/>
      <c r="TXQ4" s="1115"/>
      <c r="TXR4" s="1115"/>
      <c r="TXS4" s="1115"/>
      <c r="TXT4" s="1115"/>
      <c r="TXU4" s="1115"/>
      <c r="TXV4" s="1115"/>
      <c r="TXW4" s="1115"/>
      <c r="TXX4" s="1115"/>
      <c r="TXY4" s="1115"/>
      <c r="TXZ4" s="1115"/>
      <c r="TYA4" s="1115"/>
      <c r="TYB4" s="1115"/>
      <c r="TYC4" s="1115"/>
      <c r="TYD4" s="1115"/>
      <c r="TYE4" s="1115"/>
      <c r="TYF4" s="1115"/>
      <c r="TYG4" s="1115"/>
      <c r="TYH4" s="1115"/>
      <c r="TYI4" s="1115"/>
      <c r="TYJ4" s="1115"/>
      <c r="TYK4" s="1115"/>
      <c r="TYL4" s="1115"/>
      <c r="TYM4" s="1115"/>
      <c r="TYN4" s="1115"/>
      <c r="TYO4" s="1115"/>
      <c r="TYP4" s="1115"/>
      <c r="TYQ4" s="1115"/>
      <c r="TYR4" s="1115"/>
      <c r="TYS4" s="1115"/>
      <c r="TYT4" s="1115"/>
      <c r="TYU4" s="1115"/>
      <c r="TYV4" s="1115"/>
      <c r="TYW4" s="1115"/>
      <c r="TYX4" s="1115"/>
      <c r="TYY4" s="1115"/>
      <c r="TYZ4" s="1115"/>
      <c r="TZA4" s="1115"/>
      <c r="TZB4" s="1115"/>
      <c r="TZC4" s="1115"/>
      <c r="TZD4" s="1115"/>
      <c r="TZE4" s="1115"/>
      <c r="TZF4" s="1115"/>
      <c r="TZG4" s="1115"/>
      <c r="TZH4" s="1115"/>
      <c r="TZI4" s="1115"/>
      <c r="TZJ4" s="1115"/>
      <c r="TZK4" s="1115"/>
      <c r="TZL4" s="1115"/>
      <c r="TZM4" s="1115"/>
      <c r="TZN4" s="1115"/>
      <c r="TZO4" s="1115"/>
      <c r="TZP4" s="1115"/>
      <c r="TZQ4" s="1115"/>
      <c r="TZR4" s="1115"/>
      <c r="TZS4" s="1115"/>
      <c r="TZT4" s="1115"/>
      <c r="TZU4" s="1115"/>
      <c r="TZV4" s="1115"/>
      <c r="TZW4" s="1115"/>
      <c r="TZX4" s="1115"/>
      <c r="TZY4" s="1115"/>
      <c r="TZZ4" s="1115"/>
      <c r="UAA4" s="1115"/>
      <c r="UAB4" s="1115"/>
      <c r="UAC4" s="1115"/>
      <c r="UAD4" s="1115"/>
      <c r="UAE4" s="1115"/>
      <c r="UAF4" s="1115"/>
      <c r="UAG4" s="1115"/>
      <c r="UAH4" s="1115"/>
      <c r="UAI4" s="1115"/>
      <c r="UAJ4" s="1115"/>
      <c r="UAK4" s="1115"/>
      <c r="UAL4" s="1115"/>
      <c r="UAM4" s="1115"/>
      <c r="UAN4" s="1115"/>
      <c r="UAO4" s="1115"/>
      <c r="UAP4" s="1115"/>
      <c r="UAQ4" s="1115"/>
      <c r="UAR4" s="1115"/>
      <c r="UAS4" s="1115"/>
      <c r="UAT4" s="1115"/>
      <c r="UAU4" s="1115"/>
      <c r="UAV4" s="1115"/>
      <c r="UAW4" s="1115"/>
      <c r="UAX4" s="1115"/>
      <c r="UAY4" s="1115"/>
      <c r="UAZ4" s="1115"/>
      <c r="UBA4" s="1115"/>
      <c r="UBB4" s="1115"/>
      <c r="UBC4" s="1115"/>
      <c r="UBD4" s="1115"/>
      <c r="UBE4" s="1115"/>
      <c r="UBF4" s="1115"/>
      <c r="UBG4" s="1115"/>
      <c r="UBH4" s="1115"/>
      <c r="UBI4" s="1115"/>
      <c r="UBJ4" s="1115"/>
      <c r="UBK4" s="1115"/>
      <c r="UBL4" s="1115"/>
      <c r="UBM4" s="1115"/>
      <c r="UBN4" s="1115"/>
      <c r="UBO4" s="1115"/>
      <c r="UBP4" s="1115"/>
      <c r="UBQ4" s="1115"/>
      <c r="UBR4" s="1115"/>
      <c r="UBS4" s="1115"/>
      <c r="UBT4" s="1115"/>
      <c r="UBU4" s="1115"/>
      <c r="UBV4" s="1115"/>
      <c r="UBW4" s="1115"/>
      <c r="UBX4" s="1115"/>
      <c r="UBY4" s="1115"/>
      <c r="UBZ4" s="1115"/>
      <c r="UCA4" s="1115"/>
      <c r="UCB4" s="1115"/>
      <c r="UCC4" s="1115"/>
      <c r="UCD4" s="1115"/>
      <c r="UCE4" s="1115"/>
      <c r="UCF4" s="1115"/>
      <c r="UCG4" s="1115"/>
      <c r="UCH4" s="1115"/>
      <c r="UCI4" s="1115"/>
      <c r="UCJ4" s="1115"/>
      <c r="UCK4" s="1115"/>
      <c r="UCL4" s="1115"/>
      <c r="UCM4" s="1115"/>
      <c r="UCN4" s="1115"/>
      <c r="UCO4" s="1115"/>
      <c r="UCP4" s="1115"/>
      <c r="UCQ4" s="1115"/>
      <c r="UCR4" s="1115"/>
      <c r="UCS4" s="1115"/>
      <c r="UCT4" s="1115"/>
      <c r="UCU4" s="1115"/>
      <c r="UCV4" s="1115"/>
      <c r="UCW4" s="1115"/>
      <c r="UCX4" s="1115"/>
      <c r="UCY4" s="1115"/>
      <c r="UCZ4" s="1115"/>
      <c r="UDA4" s="1115"/>
      <c r="UDB4" s="1115"/>
      <c r="UDC4" s="1115"/>
      <c r="UDD4" s="1115"/>
      <c r="UDE4" s="1115"/>
      <c r="UDF4" s="1115"/>
      <c r="UDG4" s="1115"/>
      <c r="UDH4" s="1115"/>
      <c r="UDI4" s="1115"/>
      <c r="UDJ4" s="1115"/>
      <c r="UDK4" s="1115"/>
      <c r="UDL4" s="1115"/>
      <c r="UDM4" s="1115"/>
      <c r="UDN4" s="1115"/>
      <c r="UDO4" s="1115"/>
      <c r="UDP4" s="1115"/>
      <c r="UDQ4" s="1115"/>
      <c r="UDR4" s="1115"/>
      <c r="UDS4" s="1115"/>
      <c r="UDT4" s="1115"/>
      <c r="UDU4" s="1115"/>
      <c r="UDV4" s="1115"/>
      <c r="UDW4" s="1115"/>
      <c r="UDX4" s="1115"/>
      <c r="UDY4" s="1115"/>
      <c r="UDZ4" s="1115"/>
      <c r="UEA4" s="1115"/>
      <c r="UEB4" s="1115"/>
      <c r="UEC4" s="1115"/>
      <c r="UED4" s="1115"/>
      <c r="UEE4" s="1115"/>
      <c r="UEF4" s="1115"/>
      <c r="UEG4" s="1115"/>
      <c r="UEH4" s="1115"/>
      <c r="UEI4" s="1115"/>
      <c r="UEJ4" s="1115"/>
      <c r="UEK4" s="1115"/>
      <c r="UEL4" s="1115"/>
      <c r="UEM4" s="1115"/>
      <c r="UEN4" s="1115"/>
      <c r="UEO4" s="1115"/>
      <c r="UEP4" s="1115"/>
      <c r="UEQ4" s="1115"/>
      <c r="UER4" s="1115"/>
      <c r="UES4" s="1115"/>
      <c r="UET4" s="1115"/>
      <c r="UEU4" s="1115"/>
      <c r="UEV4" s="1115"/>
      <c r="UEW4" s="1115"/>
      <c r="UEX4" s="1115"/>
      <c r="UEY4" s="1115"/>
      <c r="UEZ4" s="1115"/>
      <c r="UFA4" s="1115"/>
      <c r="UFB4" s="1115"/>
      <c r="UFC4" s="1115"/>
      <c r="UFD4" s="1115"/>
      <c r="UFE4" s="1115"/>
      <c r="UFF4" s="1115"/>
      <c r="UFG4" s="1115"/>
      <c r="UFH4" s="1115"/>
      <c r="UFI4" s="1115"/>
      <c r="UFJ4" s="1115"/>
      <c r="UFK4" s="1115"/>
      <c r="UFL4" s="1115"/>
      <c r="UFM4" s="1115"/>
      <c r="UFN4" s="1115"/>
      <c r="UFO4" s="1115"/>
      <c r="UFP4" s="1115"/>
      <c r="UFQ4" s="1115"/>
      <c r="UFR4" s="1115"/>
      <c r="UFS4" s="1115"/>
      <c r="UFT4" s="1115"/>
      <c r="UFU4" s="1115"/>
      <c r="UFV4" s="1115"/>
      <c r="UFW4" s="1115"/>
      <c r="UFX4" s="1115"/>
      <c r="UFY4" s="1115"/>
      <c r="UFZ4" s="1115"/>
      <c r="UGA4" s="1115"/>
      <c r="UGB4" s="1115"/>
      <c r="UGC4" s="1115"/>
      <c r="UGD4" s="1115"/>
      <c r="UGE4" s="1115"/>
      <c r="UGF4" s="1115"/>
      <c r="UGG4" s="1115"/>
      <c r="UGH4" s="1115"/>
      <c r="UGI4" s="1115"/>
      <c r="UGJ4" s="1115"/>
      <c r="UGK4" s="1115"/>
      <c r="UGL4" s="1115"/>
      <c r="UGM4" s="1115"/>
      <c r="UGN4" s="1115"/>
      <c r="UGO4" s="1115"/>
      <c r="UGP4" s="1115"/>
      <c r="UGQ4" s="1115"/>
      <c r="UGR4" s="1115"/>
      <c r="UGS4" s="1115"/>
      <c r="UGT4" s="1115"/>
      <c r="UGU4" s="1115"/>
      <c r="UGV4" s="1115"/>
      <c r="UGW4" s="1115"/>
      <c r="UGX4" s="1115"/>
      <c r="UGY4" s="1115"/>
      <c r="UGZ4" s="1115"/>
      <c r="UHA4" s="1115"/>
      <c r="UHB4" s="1115"/>
      <c r="UHC4" s="1115"/>
      <c r="UHD4" s="1115"/>
      <c r="UHE4" s="1115"/>
      <c r="UHF4" s="1115"/>
      <c r="UHG4" s="1115"/>
      <c r="UHH4" s="1115"/>
      <c r="UHI4" s="1115"/>
      <c r="UHJ4" s="1115"/>
      <c r="UHK4" s="1115"/>
      <c r="UHL4" s="1115"/>
      <c r="UHM4" s="1115"/>
      <c r="UHN4" s="1115"/>
      <c r="UHO4" s="1115"/>
      <c r="UHP4" s="1115"/>
      <c r="UHQ4" s="1115"/>
      <c r="UHR4" s="1115"/>
      <c r="UHS4" s="1115"/>
      <c r="UHT4" s="1115"/>
      <c r="UHU4" s="1115"/>
      <c r="UHV4" s="1115"/>
      <c r="UHW4" s="1115"/>
      <c r="UHX4" s="1115"/>
      <c r="UHY4" s="1115"/>
      <c r="UHZ4" s="1115"/>
      <c r="UIA4" s="1115"/>
      <c r="UIB4" s="1115"/>
      <c r="UIC4" s="1115"/>
      <c r="UID4" s="1115"/>
      <c r="UIE4" s="1115"/>
      <c r="UIF4" s="1115"/>
      <c r="UIG4" s="1115"/>
      <c r="UIH4" s="1115"/>
      <c r="UII4" s="1115"/>
      <c r="UIJ4" s="1115"/>
      <c r="UIK4" s="1115"/>
      <c r="UIL4" s="1115"/>
      <c r="UIM4" s="1115"/>
      <c r="UIN4" s="1115"/>
      <c r="UIO4" s="1115"/>
      <c r="UIP4" s="1115"/>
      <c r="UIQ4" s="1115"/>
      <c r="UIR4" s="1115"/>
      <c r="UIS4" s="1115"/>
      <c r="UIT4" s="1115"/>
      <c r="UIU4" s="1115"/>
      <c r="UIV4" s="1115"/>
      <c r="UIW4" s="1115"/>
      <c r="UIX4" s="1115"/>
      <c r="UIY4" s="1115"/>
      <c r="UIZ4" s="1115"/>
      <c r="UJA4" s="1115"/>
      <c r="UJB4" s="1115"/>
      <c r="UJC4" s="1115"/>
      <c r="UJD4" s="1115"/>
      <c r="UJE4" s="1115"/>
      <c r="UJF4" s="1115"/>
      <c r="UJG4" s="1115"/>
      <c r="UJH4" s="1115"/>
      <c r="UJI4" s="1115"/>
      <c r="UJJ4" s="1115"/>
      <c r="UJK4" s="1115"/>
      <c r="UJL4" s="1115"/>
      <c r="UJM4" s="1115"/>
      <c r="UJN4" s="1115"/>
      <c r="UJO4" s="1115"/>
      <c r="UJP4" s="1115"/>
      <c r="UJQ4" s="1115"/>
      <c r="UJR4" s="1115"/>
      <c r="UJS4" s="1115"/>
      <c r="UJT4" s="1115"/>
      <c r="UJU4" s="1115"/>
      <c r="UJV4" s="1115"/>
      <c r="UJW4" s="1115"/>
      <c r="UJX4" s="1115"/>
      <c r="UJY4" s="1115"/>
      <c r="UJZ4" s="1115"/>
      <c r="UKA4" s="1115"/>
      <c r="UKB4" s="1115"/>
      <c r="UKC4" s="1115"/>
      <c r="UKD4" s="1115"/>
      <c r="UKE4" s="1115"/>
      <c r="UKF4" s="1115"/>
      <c r="UKG4" s="1115"/>
      <c r="UKH4" s="1115"/>
      <c r="UKI4" s="1115"/>
      <c r="UKJ4" s="1115"/>
      <c r="UKK4" s="1115"/>
      <c r="UKL4" s="1115"/>
      <c r="UKM4" s="1115"/>
      <c r="UKN4" s="1115"/>
      <c r="UKO4" s="1115"/>
      <c r="UKP4" s="1115"/>
      <c r="UKQ4" s="1115"/>
      <c r="UKR4" s="1115"/>
      <c r="UKS4" s="1115"/>
      <c r="UKT4" s="1115"/>
      <c r="UKU4" s="1115"/>
      <c r="UKV4" s="1115"/>
      <c r="UKW4" s="1115"/>
      <c r="UKX4" s="1115"/>
      <c r="UKY4" s="1115"/>
      <c r="UKZ4" s="1115"/>
      <c r="ULA4" s="1115"/>
      <c r="ULB4" s="1115"/>
      <c r="ULC4" s="1115"/>
      <c r="ULD4" s="1115"/>
      <c r="ULE4" s="1115"/>
      <c r="ULF4" s="1115"/>
      <c r="ULG4" s="1115"/>
      <c r="ULH4" s="1115"/>
      <c r="ULI4" s="1115"/>
      <c r="ULJ4" s="1115"/>
      <c r="ULK4" s="1115"/>
      <c r="ULL4" s="1115"/>
      <c r="ULM4" s="1115"/>
      <c r="ULN4" s="1115"/>
      <c r="ULO4" s="1115"/>
      <c r="ULP4" s="1115"/>
      <c r="ULQ4" s="1115"/>
      <c r="ULR4" s="1115"/>
      <c r="ULS4" s="1115"/>
      <c r="ULT4" s="1115"/>
      <c r="ULU4" s="1115"/>
      <c r="ULV4" s="1115"/>
      <c r="ULW4" s="1115"/>
      <c r="ULX4" s="1115"/>
      <c r="ULY4" s="1115"/>
      <c r="ULZ4" s="1115"/>
      <c r="UMA4" s="1115"/>
      <c r="UMB4" s="1115"/>
      <c r="UMC4" s="1115"/>
      <c r="UMD4" s="1115"/>
      <c r="UME4" s="1115"/>
      <c r="UMF4" s="1115"/>
      <c r="UMG4" s="1115"/>
      <c r="UMH4" s="1115"/>
      <c r="UMI4" s="1115"/>
      <c r="UMJ4" s="1115"/>
      <c r="UMK4" s="1115"/>
      <c r="UML4" s="1115"/>
      <c r="UMM4" s="1115"/>
      <c r="UMN4" s="1115"/>
      <c r="UMO4" s="1115"/>
      <c r="UMP4" s="1115"/>
      <c r="UMQ4" s="1115"/>
      <c r="UMR4" s="1115"/>
      <c r="UMS4" s="1115"/>
      <c r="UMT4" s="1115"/>
      <c r="UMU4" s="1115"/>
      <c r="UMV4" s="1115"/>
      <c r="UMW4" s="1115"/>
      <c r="UMX4" s="1115"/>
      <c r="UMY4" s="1115"/>
      <c r="UMZ4" s="1115"/>
      <c r="UNA4" s="1115"/>
      <c r="UNB4" s="1115"/>
      <c r="UNC4" s="1115"/>
      <c r="UND4" s="1115"/>
      <c r="UNE4" s="1115"/>
      <c r="UNF4" s="1115"/>
      <c r="UNG4" s="1115"/>
      <c r="UNH4" s="1115"/>
      <c r="UNI4" s="1115"/>
      <c r="UNJ4" s="1115"/>
      <c r="UNK4" s="1115"/>
      <c r="UNL4" s="1115"/>
      <c r="UNM4" s="1115"/>
      <c r="UNN4" s="1115"/>
      <c r="UNO4" s="1115"/>
      <c r="UNP4" s="1115"/>
      <c r="UNQ4" s="1115"/>
      <c r="UNR4" s="1115"/>
      <c r="UNS4" s="1115"/>
      <c r="UNT4" s="1115"/>
      <c r="UNU4" s="1115"/>
      <c r="UNV4" s="1115"/>
      <c r="UNW4" s="1115"/>
      <c r="UNX4" s="1115"/>
      <c r="UNY4" s="1115"/>
      <c r="UNZ4" s="1115"/>
      <c r="UOA4" s="1115"/>
      <c r="UOB4" s="1115"/>
      <c r="UOC4" s="1115"/>
      <c r="UOD4" s="1115"/>
      <c r="UOE4" s="1115"/>
      <c r="UOF4" s="1115"/>
      <c r="UOG4" s="1115"/>
      <c r="UOH4" s="1115"/>
      <c r="UOI4" s="1115"/>
      <c r="UOJ4" s="1115"/>
      <c r="UOK4" s="1115"/>
      <c r="UOL4" s="1115"/>
      <c r="UOM4" s="1115"/>
      <c r="UON4" s="1115"/>
      <c r="UOO4" s="1115"/>
      <c r="UOP4" s="1115"/>
      <c r="UOQ4" s="1115"/>
      <c r="UOR4" s="1115"/>
      <c r="UOS4" s="1115"/>
      <c r="UOT4" s="1115"/>
      <c r="UOU4" s="1115"/>
      <c r="UOV4" s="1115"/>
      <c r="UOW4" s="1115"/>
      <c r="UOX4" s="1115"/>
      <c r="UOY4" s="1115"/>
      <c r="UOZ4" s="1115"/>
      <c r="UPA4" s="1115"/>
      <c r="UPB4" s="1115"/>
      <c r="UPC4" s="1115"/>
      <c r="UPD4" s="1115"/>
      <c r="UPE4" s="1115"/>
      <c r="UPF4" s="1115"/>
      <c r="UPG4" s="1115"/>
      <c r="UPH4" s="1115"/>
      <c r="UPI4" s="1115"/>
      <c r="UPJ4" s="1115"/>
      <c r="UPK4" s="1115"/>
      <c r="UPL4" s="1115"/>
      <c r="UPM4" s="1115"/>
      <c r="UPN4" s="1115"/>
      <c r="UPO4" s="1115"/>
      <c r="UPP4" s="1115"/>
      <c r="UPQ4" s="1115"/>
      <c r="UPR4" s="1115"/>
      <c r="UPS4" s="1115"/>
      <c r="UPT4" s="1115"/>
      <c r="UPU4" s="1115"/>
      <c r="UPV4" s="1115"/>
      <c r="UPW4" s="1115"/>
      <c r="UPX4" s="1115"/>
      <c r="UPY4" s="1115"/>
      <c r="UPZ4" s="1115"/>
      <c r="UQA4" s="1115"/>
      <c r="UQB4" s="1115"/>
      <c r="UQC4" s="1115"/>
      <c r="UQD4" s="1115"/>
      <c r="UQE4" s="1115"/>
      <c r="UQF4" s="1115"/>
      <c r="UQG4" s="1115"/>
      <c r="UQH4" s="1115"/>
      <c r="UQI4" s="1115"/>
      <c r="UQJ4" s="1115"/>
      <c r="UQK4" s="1115"/>
      <c r="UQL4" s="1115"/>
      <c r="UQM4" s="1115"/>
      <c r="UQN4" s="1115"/>
      <c r="UQO4" s="1115"/>
      <c r="UQP4" s="1115"/>
      <c r="UQQ4" s="1115"/>
      <c r="UQR4" s="1115"/>
      <c r="UQS4" s="1115"/>
      <c r="UQT4" s="1115"/>
      <c r="UQU4" s="1115"/>
      <c r="UQV4" s="1115"/>
      <c r="UQW4" s="1115"/>
      <c r="UQX4" s="1115"/>
      <c r="UQY4" s="1115"/>
      <c r="UQZ4" s="1115"/>
      <c r="URA4" s="1115"/>
      <c r="URB4" s="1115"/>
      <c r="URC4" s="1115"/>
      <c r="URD4" s="1115"/>
      <c r="URE4" s="1115"/>
      <c r="URF4" s="1115"/>
      <c r="URG4" s="1115"/>
      <c r="URH4" s="1115"/>
      <c r="URI4" s="1115"/>
      <c r="URJ4" s="1115"/>
      <c r="URK4" s="1115"/>
      <c r="URL4" s="1115"/>
      <c r="URM4" s="1115"/>
      <c r="URN4" s="1115"/>
      <c r="URO4" s="1115"/>
      <c r="URP4" s="1115"/>
      <c r="URQ4" s="1115"/>
      <c r="URR4" s="1115"/>
      <c r="URS4" s="1115"/>
      <c r="URT4" s="1115"/>
      <c r="URU4" s="1115"/>
      <c r="URV4" s="1115"/>
      <c r="URW4" s="1115"/>
      <c r="URX4" s="1115"/>
      <c r="URY4" s="1115"/>
      <c r="URZ4" s="1115"/>
      <c r="USA4" s="1115"/>
      <c r="USB4" s="1115"/>
      <c r="USC4" s="1115"/>
      <c r="USD4" s="1115"/>
      <c r="USE4" s="1115"/>
      <c r="USF4" s="1115"/>
      <c r="USG4" s="1115"/>
      <c r="USH4" s="1115"/>
      <c r="USI4" s="1115"/>
      <c r="USJ4" s="1115"/>
      <c r="USK4" s="1115"/>
      <c r="USL4" s="1115"/>
      <c r="USM4" s="1115"/>
      <c r="USN4" s="1115"/>
      <c r="USO4" s="1115"/>
      <c r="USP4" s="1115"/>
      <c r="USQ4" s="1115"/>
      <c r="USR4" s="1115"/>
      <c r="USS4" s="1115"/>
      <c r="UST4" s="1115"/>
      <c r="USU4" s="1115"/>
      <c r="USV4" s="1115"/>
      <c r="USW4" s="1115"/>
      <c r="USX4" s="1115"/>
      <c r="USY4" s="1115"/>
      <c r="USZ4" s="1115"/>
      <c r="UTA4" s="1115"/>
      <c r="UTB4" s="1115"/>
      <c r="UTC4" s="1115"/>
      <c r="UTD4" s="1115"/>
      <c r="UTE4" s="1115"/>
      <c r="UTF4" s="1115"/>
      <c r="UTG4" s="1115"/>
      <c r="UTH4" s="1115"/>
      <c r="UTI4" s="1115"/>
      <c r="UTJ4" s="1115"/>
      <c r="UTK4" s="1115"/>
      <c r="UTL4" s="1115"/>
      <c r="UTM4" s="1115"/>
      <c r="UTN4" s="1115"/>
      <c r="UTO4" s="1115"/>
      <c r="UTP4" s="1115"/>
      <c r="UTQ4" s="1115"/>
      <c r="UTR4" s="1115"/>
      <c r="UTS4" s="1115"/>
      <c r="UTT4" s="1115"/>
      <c r="UTU4" s="1115"/>
      <c r="UTV4" s="1115"/>
      <c r="UTW4" s="1115"/>
      <c r="UTX4" s="1115"/>
      <c r="UTY4" s="1115"/>
      <c r="UTZ4" s="1115"/>
      <c r="UUA4" s="1115"/>
      <c r="UUB4" s="1115"/>
      <c r="UUC4" s="1115"/>
      <c r="UUD4" s="1115"/>
      <c r="UUE4" s="1115"/>
      <c r="UUF4" s="1115"/>
      <c r="UUG4" s="1115"/>
      <c r="UUH4" s="1115"/>
      <c r="UUI4" s="1115"/>
      <c r="UUJ4" s="1115"/>
      <c r="UUK4" s="1115"/>
      <c r="UUL4" s="1115"/>
      <c r="UUM4" s="1115"/>
      <c r="UUN4" s="1115"/>
      <c r="UUO4" s="1115"/>
      <c r="UUP4" s="1115"/>
      <c r="UUQ4" s="1115"/>
      <c r="UUR4" s="1115"/>
      <c r="UUS4" s="1115"/>
      <c r="UUT4" s="1115"/>
      <c r="UUU4" s="1115"/>
      <c r="UUV4" s="1115"/>
      <c r="UUW4" s="1115"/>
      <c r="UUX4" s="1115"/>
      <c r="UUY4" s="1115"/>
      <c r="UUZ4" s="1115"/>
      <c r="UVA4" s="1115"/>
      <c r="UVB4" s="1115"/>
      <c r="UVC4" s="1115"/>
      <c r="UVD4" s="1115"/>
      <c r="UVE4" s="1115"/>
      <c r="UVF4" s="1115"/>
      <c r="UVG4" s="1115"/>
      <c r="UVH4" s="1115"/>
      <c r="UVI4" s="1115"/>
      <c r="UVJ4" s="1115"/>
      <c r="UVK4" s="1115"/>
      <c r="UVL4" s="1115"/>
      <c r="UVM4" s="1115"/>
      <c r="UVN4" s="1115"/>
      <c r="UVO4" s="1115"/>
      <c r="UVP4" s="1115"/>
      <c r="UVQ4" s="1115"/>
      <c r="UVR4" s="1115"/>
      <c r="UVS4" s="1115"/>
      <c r="UVT4" s="1115"/>
      <c r="UVU4" s="1115"/>
      <c r="UVV4" s="1115"/>
      <c r="UVW4" s="1115"/>
      <c r="UVX4" s="1115"/>
      <c r="UVY4" s="1115"/>
      <c r="UVZ4" s="1115"/>
      <c r="UWA4" s="1115"/>
      <c r="UWB4" s="1115"/>
      <c r="UWC4" s="1115"/>
      <c r="UWD4" s="1115"/>
      <c r="UWE4" s="1115"/>
      <c r="UWF4" s="1115"/>
      <c r="UWG4" s="1115"/>
      <c r="UWH4" s="1115"/>
      <c r="UWI4" s="1115"/>
      <c r="UWJ4" s="1115"/>
      <c r="UWK4" s="1115"/>
      <c r="UWL4" s="1115"/>
      <c r="UWM4" s="1115"/>
      <c r="UWN4" s="1115"/>
      <c r="UWO4" s="1115"/>
      <c r="UWP4" s="1115"/>
      <c r="UWQ4" s="1115"/>
      <c r="UWR4" s="1115"/>
      <c r="UWS4" s="1115"/>
      <c r="UWT4" s="1115"/>
      <c r="UWU4" s="1115"/>
      <c r="UWV4" s="1115"/>
      <c r="UWW4" s="1115"/>
      <c r="UWX4" s="1115"/>
      <c r="UWY4" s="1115"/>
      <c r="UWZ4" s="1115"/>
      <c r="UXA4" s="1115"/>
      <c r="UXB4" s="1115"/>
      <c r="UXC4" s="1115"/>
      <c r="UXD4" s="1115"/>
      <c r="UXE4" s="1115"/>
      <c r="UXF4" s="1115"/>
      <c r="UXG4" s="1115"/>
      <c r="UXH4" s="1115"/>
      <c r="UXI4" s="1115"/>
      <c r="UXJ4" s="1115"/>
      <c r="UXK4" s="1115"/>
      <c r="UXL4" s="1115"/>
      <c r="UXM4" s="1115"/>
      <c r="UXN4" s="1115"/>
      <c r="UXO4" s="1115"/>
      <c r="UXP4" s="1115"/>
      <c r="UXQ4" s="1115"/>
      <c r="UXR4" s="1115"/>
      <c r="UXS4" s="1115"/>
      <c r="UXT4" s="1115"/>
      <c r="UXU4" s="1115"/>
      <c r="UXV4" s="1115"/>
      <c r="UXW4" s="1115"/>
      <c r="UXX4" s="1115"/>
      <c r="UXY4" s="1115"/>
      <c r="UXZ4" s="1115"/>
      <c r="UYA4" s="1115"/>
      <c r="UYB4" s="1115"/>
      <c r="UYC4" s="1115"/>
      <c r="UYD4" s="1115"/>
      <c r="UYE4" s="1115"/>
      <c r="UYF4" s="1115"/>
      <c r="UYG4" s="1115"/>
      <c r="UYH4" s="1115"/>
      <c r="UYI4" s="1115"/>
      <c r="UYJ4" s="1115"/>
      <c r="UYK4" s="1115"/>
      <c r="UYL4" s="1115"/>
      <c r="UYM4" s="1115"/>
      <c r="UYN4" s="1115"/>
      <c r="UYO4" s="1115"/>
      <c r="UYP4" s="1115"/>
      <c r="UYQ4" s="1115"/>
      <c r="UYR4" s="1115"/>
      <c r="UYS4" s="1115"/>
      <c r="UYT4" s="1115"/>
      <c r="UYU4" s="1115"/>
      <c r="UYV4" s="1115"/>
      <c r="UYW4" s="1115"/>
      <c r="UYX4" s="1115"/>
      <c r="UYY4" s="1115"/>
      <c r="UYZ4" s="1115"/>
      <c r="UZA4" s="1115"/>
      <c r="UZB4" s="1115"/>
      <c r="UZC4" s="1115"/>
      <c r="UZD4" s="1115"/>
      <c r="UZE4" s="1115"/>
      <c r="UZF4" s="1115"/>
      <c r="UZG4" s="1115"/>
      <c r="UZH4" s="1115"/>
      <c r="UZI4" s="1115"/>
      <c r="UZJ4" s="1115"/>
      <c r="UZK4" s="1115"/>
      <c r="UZL4" s="1115"/>
      <c r="UZM4" s="1115"/>
      <c r="UZN4" s="1115"/>
      <c r="UZO4" s="1115"/>
      <c r="UZP4" s="1115"/>
      <c r="UZQ4" s="1115"/>
      <c r="UZR4" s="1115"/>
      <c r="UZS4" s="1115"/>
      <c r="UZT4" s="1115"/>
      <c r="UZU4" s="1115"/>
      <c r="UZV4" s="1115"/>
      <c r="UZW4" s="1115"/>
      <c r="UZX4" s="1115"/>
      <c r="UZY4" s="1115"/>
      <c r="UZZ4" s="1115"/>
      <c r="VAA4" s="1115"/>
      <c r="VAB4" s="1115"/>
      <c r="VAC4" s="1115"/>
      <c r="VAD4" s="1115"/>
      <c r="VAE4" s="1115"/>
      <c r="VAF4" s="1115"/>
      <c r="VAG4" s="1115"/>
      <c r="VAH4" s="1115"/>
      <c r="VAI4" s="1115"/>
      <c r="VAJ4" s="1115"/>
      <c r="VAK4" s="1115"/>
      <c r="VAL4" s="1115"/>
      <c r="VAM4" s="1115"/>
      <c r="VAN4" s="1115"/>
      <c r="VAO4" s="1115"/>
      <c r="VAP4" s="1115"/>
      <c r="VAQ4" s="1115"/>
      <c r="VAR4" s="1115"/>
      <c r="VAS4" s="1115"/>
      <c r="VAT4" s="1115"/>
      <c r="VAU4" s="1115"/>
      <c r="VAV4" s="1115"/>
      <c r="VAW4" s="1115"/>
      <c r="VAX4" s="1115"/>
      <c r="VAY4" s="1115"/>
      <c r="VAZ4" s="1115"/>
      <c r="VBA4" s="1115"/>
      <c r="VBB4" s="1115"/>
      <c r="VBC4" s="1115"/>
      <c r="VBD4" s="1115"/>
      <c r="VBE4" s="1115"/>
      <c r="VBF4" s="1115"/>
      <c r="VBG4" s="1115"/>
      <c r="VBH4" s="1115"/>
      <c r="VBI4" s="1115"/>
      <c r="VBJ4" s="1115"/>
      <c r="VBK4" s="1115"/>
      <c r="VBL4" s="1115"/>
      <c r="VBM4" s="1115"/>
      <c r="VBN4" s="1115"/>
      <c r="VBO4" s="1115"/>
      <c r="VBP4" s="1115"/>
      <c r="VBQ4" s="1115"/>
      <c r="VBR4" s="1115"/>
      <c r="VBS4" s="1115"/>
      <c r="VBT4" s="1115"/>
      <c r="VBU4" s="1115"/>
      <c r="VBV4" s="1115"/>
      <c r="VBW4" s="1115"/>
      <c r="VBX4" s="1115"/>
      <c r="VBY4" s="1115"/>
      <c r="VBZ4" s="1115"/>
      <c r="VCA4" s="1115"/>
      <c r="VCB4" s="1115"/>
      <c r="VCC4" s="1115"/>
      <c r="VCD4" s="1115"/>
      <c r="VCE4" s="1115"/>
      <c r="VCF4" s="1115"/>
      <c r="VCG4" s="1115"/>
      <c r="VCH4" s="1115"/>
      <c r="VCI4" s="1115"/>
      <c r="VCJ4" s="1115"/>
      <c r="VCK4" s="1115"/>
      <c r="VCL4" s="1115"/>
      <c r="VCM4" s="1115"/>
      <c r="VCN4" s="1115"/>
      <c r="VCO4" s="1115"/>
      <c r="VCP4" s="1115"/>
      <c r="VCQ4" s="1115"/>
      <c r="VCR4" s="1115"/>
      <c r="VCS4" s="1115"/>
      <c r="VCT4" s="1115"/>
      <c r="VCU4" s="1115"/>
      <c r="VCV4" s="1115"/>
      <c r="VCW4" s="1115"/>
      <c r="VCX4" s="1115"/>
      <c r="VCY4" s="1115"/>
      <c r="VCZ4" s="1115"/>
      <c r="VDA4" s="1115"/>
      <c r="VDB4" s="1115"/>
      <c r="VDC4" s="1115"/>
      <c r="VDD4" s="1115"/>
      <c r="VDE4" s="1115"/>
      <c r="VDF4" s="1115"/>
      <c r="VDG4" s="1115"/>
      <c r="VDH4" s="1115"/>
      <c r="VDI4" s="1115"/>
      <c r="VDJ4" s="1115"/>
      <c r="VDK4" s="1115"/>
      <c r="VDL4" s="1115"/>
      <c r="VDM4" s="1115"/>
      <c r="VDN4" s="1115"/>
      <c r="VDO4" s="1115"/>
      <c r="VDP4" s="1115"/>
      <c r="VDQ4" s="1115"/>
      <c r="VDR4" s="1115"/>
      <c r="VDS4" s="1115"/>
      <c r="VDT4" s="1115"/>
      <c r="VDU4" s="1115"/>
      <c r="VDV4" s="1115"/>
      <c r="VDW4" s="1115"/>
      <c r="VDX4" s="1115"/>
      <c r="VDY4" s="1115"/>
      <c r="VDZ4" s="1115"/>
      <c r="VEA4" s="1115"/>
      <c r="VEB4" s="1115"/>
      <c r="VEC4" s="1115"/>
      <c r="VED4" s="1115"/>
      <c r="VEE4" s="1115"/>
      <c r="VEF4" s="1115"/>
      <c r="VEG4" s="1115"/>
      <c r="VEH4" s="1115"/>
      <c r="VEI4" s="1115"/>
      <c r="VEJ4" s="1115"/>
      <c r="VEK4" s="1115"/>
      <c r="VEL4" s="1115"/>
      <c r="VEM4" s="1115"/>
      <c r="VEN4" s="1115"/>
      <c r="VEO4" s="1115"/>
      <c r="VEP4" s="1115"/>
      <c r="VEQ4" s="1115"/>
      <c r="VER4" s="1115"/>
      <c r="VES4" s="1115"/>
      <c r="VET4" s="1115"/>
      <c r="VEU4" s="1115"/>
      <c r="VEV4" s="1115"/>
      <c r="VEW4" s="1115"/>
      <c r="VEX4" s="1115"/>
      <c r="VEY4" s="1115"/>
      <c r="VEZ4" s="1115"/>
      <c r="VFA4" s="1115"/>
      <c r="VFB4" s="1115"/>
      <c r="VFC4" s="1115"/>
      <c r="VFD4" s="1115"/>
      <c r="VFE4" s="1115"/>
      <c r="VFF4" s="1115"/>
      <c r="VFG4" s="1115"/>
      <c r="VFH4" s="1115"/>
      <c r="VFI4" s="1115"/>
      <c r="VFJ4" s="1115"/>
      <c r="VFK4" s="1115"/>
      <c r="VFL4" s="1115"/>
      <c r="VFM4" s="1115"/>
      <c r="VFN4" s="1115"/>
      <c r="VFO4" s="1115"/>
      <c r="VFP4" s="1115"/>
      <c r="VFQ4" s="1115"/>
      <c r="VFR4" s="1115"/>
      <c r="VFS4" s="1115"/>
      <c r="VFT4" s="1115"/>
      <c r="VFU4" s="1115"/>
      <c r="VFV4" s="1115"/>
      <c r="VFW4" s="1115"/>
      <c r="VFX4" s="1115"/>
      <c r="VFY4" s="1115"/>
      <c r="VFZ4" s="1115"/>
      <c r="VGA4" s="1115"/>
      <c r="VGB4" s="1115"/>
      <c r="VGC4" s="1115"/>
      <c r="VGD4" s="1115"/>
      <c r="VGE4" s="1115"/>
      <c r="VGF4" s="1115"/>
      <c r="VGG4" s="1115"/>
      <c r="VGH4" s="1115"/>
      <c r="VGI4" s="1115"/>
      <c r="VGJ4" s="1115"/>
      <c r="VGK4" s="1115"/>
      <c r="VGL4" s="1115"/>
      <c r="VGM4" s="1115"/>
      <c r="VGN4" s="1115"/>
      <c r="VGO4" s="1115"/>
      <c r="VGP4" s="1115"/>
      <c r="VGQ4" s="1115"/>
      <c r="VGR4" s="1115"/>
      <c r="VGS4" s="1115"/>
      <c r="VGT4" s="1115"/>
      <c r="VGU4" s="1115"/>
      <c r="VGV4" s="1115"/>
      <c r="VGW4" s="1115"/>
      <c r="VGX4" s="1115"/>
      <c r="VGY4" s="1115"/>
      <c r="VGZ4" s="1115"/>
      <c r="VHA4" s="1115"/>
      <c r="VHB4" s="1115"/>
      <c r="VHC4" s="1115"/>
      <c r="VHD4" s="1115"/>
      <c r="VHE4" s="1115"/>
      <c r="VHF4" s="1115"/>
      <c r="VHG4" s="1115"/>
      <c r="VHH4" s="1115"/>
      <c r="VHI4" s="1115"/>
      <c r="VHJ4" s="1115"/>
      <c r="VHK4" s="1115"/>
      <c r="VHL4" s="1115"/>
      <c r="VHM4" s="1115"/>
      <c r="VHN4" s="1115"/>
      <c r="VHO4" s="1115"/>
      <c r="VHP4" s="1115"/>
      <c r="VHQ4" s="1115"/>
      <c r="VHR4" s="1115"/>
      <c r="VHS4" s="1115"/>
      <c r="VHT4" s="1115"/>
      <c r="VHU4" s="1115"/>
      <c r="VHV4" s="1115"/>
      <c r="VHW4" s="1115"/>
      <c r="VHX4" s="1115"/>
      <c r="VHY4" s="1115"/>
      <c r="VHZ4" s="1115"/>
      <c r="VIA4" s="1115"/>
      <c r="VIB4" s="1115"/>
      <c r="VIC4" s="1115"/>
      <c r="VID4" s="1115"/>
      <c r="VIE4" s="1115"/>
      <c r="VIF4" s="1115"/>
      <c r="VIG4" s="1115"/>
      <c r="VIH4" s="1115"/>
      <c r="VII4" s="1115"/>
      <c r="VIJ4" s="1115"/>
      <c r="VIK4" s="1115"/>
      <c r="VIL4" s="1115"/>
      <c r="VIM4" s="1115"/>
      <c r="VIN4" s="1115"/>
      <c r="VIO4" s="1115"/>
      <c r="VIP4" s="1115"/>
      <c r="VIQ4" s="1115"/>
      <c r="VIR4" s="1115"/>
      <c r="VIS4" s="1115"/>
      <c r="VIT4" s="1115"/>
      <c r="VIU4" s="1115"/>
      <c r="VIV4" s="1115"/>
      <c r="VIW4" s="1115"/>
      <c r="VIX4" s="1115"/>
      <c r="VIY4" s="1115"/>
      <c r="VIZ4" s="1115"/>
      <c r="VJA4" s="1115"/>
      <c r="VJB4" s="1115"/>
      <c r="VJC4" s="1115"/>
      <c r="VJD4" s="1115"/>
      <c r="VJE4" s="1115"/>
      <c r="VJF4" s="1115"/>
      <c r="VJG4" s="1115"/>
      <c r="VJH4" s="1115"/>
      <c r="VJI4" s="1115"/>
      <c r="VJJ4" s="1115"/>
      <c r="VJK4" s="1115"/>
      <c r="VJL4" s="1115"/>
      <c r="VJM4" s="1115"/>
      <c r="VJN4" s="1115"/>
      <c r="VJO4" s="1115"/>
      <c r="VJP4" s="1115"/>
      <c r="VJQ4" s="1115"/>
      <c r="VJR4" s="1115"/>
      <c r="VJS4" s="1115"/>
      <c r="VJT4" s="1115"/>
      <c r="VJU4" s="1115"/>
      <c r="VJV4" s="1115"/>
      <c r="VJW4" s="1115"/>
      <c r="VJX4" s="1115"/>
      <c r="VJY4" s="1115"/>
      <c r="VJZ4" s="1115"/>
      <c r="VKA4" s="1115"/>
      <c r="VKB4" s="1115"/>
      <c r="VKC4" s="1115"/>
      <c r="VKD4" s="1115"/>
      <c r="VKE4" s="1115"/>
      <c r="VKF4" s="1115"/>
      <c r="VKG4" s="1115"/>
      <c r="VKH4" s="1115"/>
      <c r="VKI4" s="1115"/>
      <c r="VKJ4" s="1115"/>
      <c r="VKK4" s="1115"/>
      <c r="VKL4" s="1115"/>
      <c r="VKM4" s="1115"/>
      <c r="VKN4" s="1115"/>
      <c r="VKO4" s="1115"/>
      <c r="VKP4" s="1115"/>
      <c r="VKQ4" s="1115"/>
      <c r="VKR4" s="1115"/>
      <c r="VKS4" s="1115"/>
      <c r="VKT4" s="1115"/>
      <c r="VKU4" s="1115"/>
      <c r="VKV4" s="1115"/>
      <c r="VKW4" s="1115"/>
      <c r="VKX4" s="1115"/>
      <c r="VKY4" s="1115"/>
      <c r="VKZ4" s="1115"/>
      <c r="VLA4" s="1115"/>
      <c r="VLB4" s="1115"/>
      <c r="VLC4" s="1115"/>
      <c r="VLD4" s="1115"/>
      <c r="VLE4" s="1115"/>
      <c r="VLF4" s="1115"/>
      <c r="VLG4" s="1115"/>
      <c r="VLH4" s="1115"/>
      <c r="VLI4" s="1115"/>
      <c r="VLJ4" s="1115"/>
      <c r="VLK4" s="1115"/>
      <c r="VLL4" s="1115"/>
      <c r="VLM4" s="1115"/>
      <c r="VLN4" s="1115"/>
      <c r="VLO4" s="1115"/>
      <c r="VLP4" s="1115"/>
      <c r="VLQ4" s="1115"/>
      <c r="VLR4" s="1115"/>
      <c r="VLS4" s="1115"/>
      <c r="VLT4" s="1115"/>
      <c r="VLU4" s="1115"/>
      <c r="VLV4" s="1115"/>
      <c r="VLW4" s="1115"/>
      <c r="VLX4" s="1115"/>
      <c r="VLY4" s="1115"/>
      <c r="VLZ4" s="1115"/>
      <c r="VMA4" s="1115"/>
      <c r="VMB4" s="1115"/>
      <c r="VMC4" s="1115"/>
      <c r="VMD4" s="1115"/>
      <c r="VME4" s="1115"/>
      <c r="VMF4" s="1115"/>
      <c r="VMG4" s="1115"/>
      <c r="VMH4" s="1115"/>
      <c r="VMI4" s="1115"/>
      <c r="VMJ4" s="1115"/>
      <c r="VMK4" s="1115"/>
      <c r="VML4" s="1115"/>
      <c r="VMM4" s="1115"/>
      <c r="VMN4" s="1115"/>
      <c r="VMO4" s="1115"/>
      <c r="VMP4" s="1115"/>
      <c r="VMQ4" s="1115"/>
      <c r="VMR4" s="1115"/>
      <c r="VMS4" s="1115"/>
      <c r="VMT4" s="1115"/>
      <c r="VMU4" s="1115"/>
      <c r="VMV4" s="1115"/>
      <c r="VMW4" s="1115"/>
      <c r="VMX4" s="1115"/>
      <c r="VMY4" s="1115"/>
      <c r="VMZ4" s="1115"/>
      <c r="VNA4" s="1115"/>
      <c r="VNB4" s="1115"/>
      <c r="VNC4" s="1115"/>
      <c r="VND4" s="1115"/>
      <c r="VNE4" s="1115"/>
      <c r="VNF4" s="1115"/>
      <c r="VNG4" s="1115"/>
      <c r="VNH4" s="1115"/>
      <c r="VNI4" s="1115"/>
      <c r="VNJ4" s="1115"/>
      <c r="VNK4" s="1115"/>
      <c r="VNL4" s="1115"/>
      <c r="VNM4" s="1115"/>
      <c r="VNN4" s="1115"/>
      <c r="VNO4" s="1115"/>
      <c r="VNP4" s="1115"/>
      <c r="VNQ4" s="1115"/>
      <c r="VNR4" s="1115"/>
      <c r="VNS4" s="1115"/>
      <c r="VNT4" s="1115"/>
      <c r="VNU4" s="1115"/>
      <c r="VNV4" s="1115"/>
      <c r="VNW4" s="1115"/>
      <c r="VNX4" s="1115"/>
      <c r="VNY4" s="1115"/>
      <c r="VNZ4" s="1115"/>
      <c r="VOA4" s="1115"/>
      <c r="VOB4" s="1115"/>
      <c r="VOC4" s="1115"/>
      <c r="VOD4" s="1115"/>
      <c r="VOE4" s="1115"/>
      <c r="VOF4" s="1115"/>
      <c r="VOG4" s="1115"/>
      <c r="VOH4" s="1115"/>
      <c r="VOI4" s="1115"/>
      <c r="VOJ4" s="1115"/>
      <c r="VOK4" s="1115"/>
      <c r="VOL4" s="1115"/>
      <c r="VOM4" s="1115"/>
      <c r="VON4" s="1115"/>
      <c r="VOO4" s="1115"/>
      <c r="VOP4" s="1115"/>
      <c r="VOQ4" s="1115"/>
      <c r="VOR4" s="1115"/>
      <c r="VOS4" s="1115"/>
      <c r="VOT4" s="1115"/>
      <c r="VOU4" s="1115"/>
      <c r="VOV4" s="1115"/>
      <c r="VOW4" s="1115"/>
      <c r="VOX4" s="1115"/>
      <c r="VOY4" s="1115"/>
      <c r="VOZ4" s="1115"/>
      <c r="VPA4" s="1115"/>
      <c r="VPB4" s="1115"/>
      <c r="VPC4" s="1115"/>
      <c r="VPD4" s="1115"/>
      <c r="VPE4" s="1115"/>
      <c r="VPF4" s="1115"/>
      <c r="VPG4" s="1115"/>
      <c r="VPH4" s="1115"/>
      <c r="VPI4" s="1115"/>
      <c r="VPJ4" s="1115"/>
      <c r="VPK4" s="1115"/>
      <c r="VPL4" s="1115"/>
      <c r="VPM4" s="1115"/>
      <c r="VPN4" s="1115"/>
      <c r="VPO4" s="1115"/>
      <c r="VPP4" s="1115"/>
      <c r="VPQ4" s="1115"/>
      <c r="VPR4" s="1115"/>
      <c r="VPS4" s="1115"/>
      <c r="VPT4" s="1115"/>
      <c r="VPU4" s="1115"/>
      <c r="VPV4" s="1115"/>
      <c r="VPW4" s="1115"/>
      <c r="VPX4" s="1115"/>
      <c r="VPY4" s="1115"/>
      <c r="VPZ4" s="1115"/>
      <c r="VQA4" s="1115"/>
      <c r="VQB4" s="1115"/>
      <c r="VQC4" s="1115"/>
      <c r="VQD4" s="1115"/>
      <c r="VQE4" s="1115"/>
      <c r="VQF4" s="1115"/>
      <c r="VQG4" s="1115"/>
      <c r="VQH4" s="1115"/>
      <c r="VQI4" s="1115"/>
      <c r="VQJ4" s="1115"/>
      <c r="VQK4" s="1115"/>
      <c r="VQL4" s="1115"/>
      <c r="VQM4" s="1115"/>
      <c r="VQN4" s="1115"/>
      <c r="VQO4" s="1115"/>
      <c r="VQP4" s="1115"/>
      <c r="VQQ4" s="1115"/>
      <c r="VQR4" s="1115"/>
      <c r="VQS4" s="1115"/>
      <c r="VQT4" s="1115"/>
      <c r="VQU4" s="1115"/>
      <c r="VQV4" s="1115"/>
      <c r="VQW4" s="1115"/>
      <c r="VQX4" s="1115"/>
      <c r="VQY4" s="1115"/>
      <c r="VQZ4" s="1115"/>
      <c r="VRA4" s="1115"/>
      <c r="VRB4" s="1115"/>
      <c r="VRC4" s="1115"/>
      <c r="VRD4" s="1115"/>
      <c r="VRE4" s="1115"/>
      <c r="VRF4" s="1115"/>
      <c r="VRG4" s="1115"/>
      <c r="VRH4" s="1115"/>
      <c r="VRI4" s="1115"/>
      <c r="VRJ4" s="1115"/>
      <c r="VRK4" s="1115"/>
      <c r="VRL4" s="1115"/>
      <c r="VRM4" s="1115"/>
      <c r="VRN4" s="1115"/>
      <c r="VRO4" s="1115"/>
      <c r="VRP4" s="1115"/>
      <c r="VRQ4" s="1115"/>
      <c r="VRR4" s="1115"/>
      <c r="VRS4" s="1115"/>
      <c r="VRT4" s="1115"/>
      <c r="VRU4" s="1115"/>
      <c r="VRV4" s="1115"/>
      <c r="VRW4" s="1115"/>
      <c r="VRX4" s="1115"/>
      <c r="VRY4" s="1115"/>
      <c r="VRZ4" s="1115"/>
      <c r="VSA4" s="1115"/>
      <c r="VSB4" s="1115"/>
      <c r="VSC4" s="1115"/>
      <c r="VSD4" s="1115"/>
      <c r="VSE4" s="1115"/>
      <c r="VSF4" s="1115"/>
      <c r="VSG4" s="1115"/>
      <c r="VSH4" s="1115"/>
      <c r="VSI4" s="1115"/>
      <c r="VSJ4" s="1115"/>
      <c r="VSK4" s="1115"/>
      <c r="VSL4" s="1115"/>
      <c r="VSM4" s="1115"/>
      <c r="VSN4" s="1115"/>
      <c r="VSO4" s="1115"/>
      <c r="VSP4" s="1115"/>
      <c r="VSQ4" s="1115"/>
      <c r="VSR4" s="1115"/>
      <c r="VSS4" s="1115"/>
      <c r="VST4" s="1115"/>
      <c r="VSU4" s="1115"/>
      <c r="VSV4" s="1115"/>
      <c r="VSW4" s="1115"/>
      <c r="VSX4" s="1115"/>
      <c r="VSY4" s="1115"/>
      <c r="VSZ4" s="1115"/>
      <c r="VTA4" s="1115"/>
      <c r="VTB4" s="1115"/>
      <c r="VTC4" s="1115"/>
      <c r="VTD4" s="1115"/>
      <c r="VTE4" s="1115"/>
      <c r="VTF4" s="1115"/>
      <c r="VTG4" s="1115"/>
      <c r="VTH4" s="1115"/>
      <c r="VTI4" s="1115"/>
      <c r="VTJ4" s="1115"/>
      <c r="VTK4" s="1115"/>
      <c r="VTL4" s="1115"/>
      <c r="VTM4" s="1115"/>
      <c r="VTN4" s="1115"/>
      <c r="VTO4" s="1115"/>
      <c r="VTP4" s="1115"/>
      <c r="VTQ4" s="1115"/>
      <c r="VTR4" s="1115"/>
      <c r="VTS4" s="1115"/>
      <c r="VTT4" s="1115"/>
      <c r="VTU4" s="1115"/>
      <c r="VTV4" s="1115"/>
      <c r="VTW4" s="1115"/>
      <c r="VTX4" s="1115"/>
      <c r="VTY4" s="1115"/>
      <c r="VTZ4" s="1115"/>
      <c r="VUA4" s="1115"/>
      <c r="VUB4" s="1115"/>
      <c r="VUC4" s="1115"/>
      <c r="VUD4" s="1115"/>
      <c r="VUE4" s="1115"/>
      <c r="VUF4" s="1115"/>
      <c r="VUG4" s="1115"/>
      <c r="VUH4" s="1115"/>
      <c r="VUI4" s="1115"/>
      <c r="VUJ4" s="1115"/>
      <c r="VUK4" s="1115"/>
      <c r="VUL4" s="1115"/>
      <c r="VUM4" s="1115"/>
      <c r="VUN4" s="1115"/>
      <c r="VUO4" s="1115"/>
      <c r="VUP4" s="1115"/>
      <c r="VUQ4" s="1115"/>
      <c r="VUR4" s="1115"/>
      <c r="VUS4" s="1115"/>
      <c r="VUT4" s="1115"/>
      <c r="VUU4" s="1115"/>
      <c r="VUV4" s="1115"/>
      <c r="VUW4" s="1115"/>
      <c r="VUX4" s="1115"/>
      <c r="VUY4" s="1115"/>
      <c r="VUZ4" s="1115"/>
      <c r="VVA4" s="1115"/>
      <c r="VVB4" s="1115"/>
      <c r="VVC4" s="1115"/>
      <c r="VVD4" s="1115"/>
      <c r="VVE4" s="1115"/>
      <c r="VVF4" s="1115"/>
      <c r="VVG4" s="1115"/>
      <c r="VVH4" s="1115"/>
      <c r="VVI4" s="1115"/>
      <c r="VVJ4" s="1115"/>
      <c r="VVK4" s="1115"/>
      <c r="VVL4" s="1115"/>
      <c r="VVM4" s="1115"/>
      <c r="VVN4" s="1115"/>
      <c r="VVO4" s="1115"/>
      <c r="VVP4" s="1115"/>
      <c r="VVQ4" s="1115"/>
      <c r="VVR4" s="1115"/>
      <c r="VVS4" s="1115"/>
      <c r="VVT4" s="1115"/>
      <c r="VVU4" s="1115"/>
      <c r="VVV4" s="1115"/>
      <c r="VVW4" s="1115"/>
      <c r="VVX4" s="1115"/>
      <c r="VVY4" s="1115"/>
      <c r="VVZ4" s="1115"/>
      <c r="VWA4" s="1115"/>
      <c r="VWB4" s="1115"/>
      <c r="VWC4" s="1115"/>
      <c r="VWD4" s="1115"/>
      <c r="VWE4" s="1115"/>
      <c r="VWF4" s="1115"/>
      <c r="VWG4" s="1115"/>
      <c r="VWH4" s="1115"/>
      <c r="VWI4" s="1115"/>
      <c r="VWJ4" s="1115"/>
      <c r="VWK4" s="1115"/>
      <c r="VWL4" s="1115"/>
      <c r="VWM4" s="1115"/>
      <c r="VWN4" s="1115"/>
      <c r="VWO4" s="1115"/>
      <c r="VWP4" s="1115"/>
      <c r="VWQ4" s="1115"/>
      <c r="VWR4" s="1115"/>
      <c r="VWS4" s="1115"/>
      <c r="VWT4" s="1115"/>
      <c r="VWU4" s="1115"/>
      <c r="VWV4" s="1115"/>
      <c r="VWW4" s="1115"/>
      <c r="VWX4" s="1115"/>
      <c r="VWY4" s="1115"/>
      <c r="VWZ4" s="1115"/>
      <c r="VXA4" s="1115"/>
      <c r="VXB4" s="1115"/>
      <c r="VXC4" s="1115"/>
      <c r="VXD4" s="1115"/>
      <c r="VXE4" s="1115"/>
      <c r="VXF4" s="1115"/>
      <c r="VXG4" s="1115"/>
      <c r="VXH4" s="1115"/>
      <c r="VXI4" s="1115"/>
      <c r="VXJ4" s="1115"/>
      <c r="VXK4" s="1115"/>
      <c r="VXL4" s="1115"/>
      <c r="VXM4" s="1115"/>
      <c r="VXN4" s="1115"/>
      <c r="VXO4" s="1115"/>
      <c r="VXP4" s="1115"/>
      <c r="VXQ4" s="1115"/>
      <c r="VXR4" s="1115"/>
      <c r="VXS4" s="1115"/>
      <c r="VXT4" s="1115"/>
      <c r="VXU4" s="1115"/>
      <c r="VXV4" s="1115"/>
      <c r="VXW4" s="1115"/>
      <c r="VXX4" s="1115"/>
      <c r="VXY4" s="1115"/>
      <c r="VXZ4" s="1115"/>
      <c r="VYA4" s="1115"/>
      <c r="VYB4" s="1115"/>
      <c r="VYC4" s="1115"/>
      <c r="VYD4" s="1115"/>
      <c r="VYE4" s="1115"/>
      <c r="VYF4" s="1115"/>
      <c r="VYG4" s="1115"/>
      <c r="VYH4" s="1115"/>
      <c r="VYI4" s="1115"/>
      <c r="VYJ4" s="1115"/>
      <c r="VYK4" s="1115"/>
      <c r="VYL4" s="1115"/>
      <c r="VYM4" s="1115"/>
      <c r="VYN4" s="1115"/>
      <c r="VYO4" s="1115"/>
      <c r="VYP4" s="1115"/>
      <c r="VYQ4" s="1115"/>
      <c r="VYR4" s="1115"/>
      <c r="VYS4" s="1115"/>
      <c r="VYT4" s="1115"/>
      <c r="VYU4" s="1115"/>
      <c r="VYV4" s="1115"/>
      <c r="VYW4" s="1115"/>
      <c r="VYX4" s="1115"/>
      <c r="VYY4" s="1115"/>
      <c r="VYZ4" s="1115"/>
      <c r="VZA4" s="1115"/>
      <c r="VZB4" s="1115"/>
      <c r="VZC4" s="1115"/>
      <c r="VZD4" s="1115"/>
      <c r="VZE4" s="1115"/>
      <c r="VZF4" s="1115"/>
      <c r="VZG4" s="1115"/>
      <c r="VZH4" s="1115"/>
      <c r="VZI4" s="1115"/>
      <c r="VZJ4" s="1115"/>
      <c r="VZK4" s="1115"/>
      <c r="VZL4" s="1115"/>
      <c r="VZM4" s="1115"/>
      <c r="VZN4" s="1115"/>
      <c r="VZO4" s="1115"/>
      <c r="VZP4" s="1115"/>
      <c r="VZQ4" s="1115"/>
      <c r="VZR4" s="1115"/>
      <c r="VZS4" s="1115"/>
      <c r="VZT4" s="1115"/>
      <c r="VZU4" s="1115"/>
      <c r="VZV4" s="1115"/>
      <c r="VZW4" s="1115"/>
      <c r="VZX4" s="1115"/>
      <c r="VZY4" s="1115"/>
      <c r="VZZ4" s="1115"/>
      <c r="WAA4" s="1115"/>
      <c r="WAB4" s="1115"/>
      <c r="WAC4" s="1115"/>
      <c r="WAD4" s="1115"/>
      <c r="WAE4" s="1115"/>
      <c r="WAF4" s="1115"/>
      <c r="WAG4" s="1115"/>
      <c r="WAH4" s="1115"/>
      <c r="WAI4" s="1115"/>
      <c r="WAJ4" s="1115"/>
      <c r="WAK4" s="1115"/>
      <c r="WAL4" s="1115"/>
      <c r="WAM4" s="1115"/>
      <c r="WAN4" s="1115"/>
      <c r="WAO4" s="1115"/>
      <c r="WAP4" s="1115"/>
      <c r="WAQ4" s="1115"/>
      <c r="WAR4" s="1115"/>
      <c r="WAS4" s="1115"/>
      <c r="WAT4" s="1115"/>
      <c r="WAU4" s="1115"/>
      <c r="WAV4" s="1115"/>
      <c r="WAW4" s="1115"/>
      <c r="WAX4" s="1115"/>
      <c r="WAY4" s="1115"/>
      <c r="WAZ4" s="1115"/>
      <c r="WBA4" s="1115"/>
      <c r="WBB4" s="1115"/>
      <c r="WBC4" s="1115"/>
      <c r="WBD4" s="1115"/>
      <c r="WBE4" s="1115"/>
      <c r="WBF4" s="1115"/>
      <c r="WBG4" s="1115"/>
      <c r="WBH4" s="1115"/>
      <c r="WBI4" s="1115"/>
      <c r="WBJ4" s="1115"/>
      <c r="WBK4" s="1115"/>
      <c r="WBL4" s="1115"/>
      <c r="WBM4" s="1115"/>
      <c r="WBN4" s="1115"/>
      <c r="WBO4" s="1115"/>
      <c r="WBP4" s="1115"/>
      <c r="WBQ4" s="1115"/>
      <c r="WBR4" s="1115"/>
      <c r="WBS4" s="1115"/>
      <c r="WBT4" s="1115"/>
      <c r="WBU4" s="1115"/>
      <c r="WBV4" s="1115"/>
      <c r="WBW4" s="1115"/>
      <c r="WBX4" s="1115"/>
      <c r="WBY4" s="1115"/>
      <c r="WBZ4" s="1115"/>
      <c r="WCA4" s="1115"/>
      <c r="WCB4" s="1115"/>
      <c r="WCC4" s="1115"/>
      <c r="WCD4" s="1115"/>
      <c r="WCE4" s="1115"/>
      <c r="WCF4" s="1115"/>
      <c r="WCG4" s="1115"/>
      <c r="WCH4" s="1115"/>
      <c r="WCI4" s="1115"/>
      <c r="WCJ4" s="1115"/>
      <c r="WCK4" s="1115"/>
      <c r="WCL4" s="1115"/>
      <c r="WCM4" s="1115"/>
      <c r="WCN4" s="1115"/>
      <c r="WCO4" s="1115"/>
      <c r="WCP4" s="1115"/>
      <c r="WCQ4" s="1115"/>
      <c r="WCR4" s="1115"/>
      <c r="WCS4" s="1115"/>
      <c r="WCT4" s="1115"/>
      <c r="WCU4" s="1115"/>
      <c r="WCV4" s="1115"/>
      <c r="WCW4" s="1115"/>
      <c r="WCX4" s="1115"/>
      <c r="WCY4" s="1115"/>
      <c r="WCZ4" s="1115"/>
      <c r="WDA4" s="1115"/>
      <c r="WDB4" s="1115"/>
      <c r="WDC4" s="1115"/>
      <c r="WDD4" s="1115"/>
      <c r="WDE4" s="1115"/>
      <c r="WDF4" s="1115"/>
      <c r="WDG4" s="1115"/>
      <c r="WDH4" s="1115"/>
      <c r="WDI4" s="1115"/>
      <c r="WDJ4" s="1115"/>
      <c r="WDK4" s="1115"/>
      <c r="WDL4" s="1115"/>
      <c r="WDM4" s="1115"/>
      <c r="WDN4" s="1115"/>
      <c r="WDO4" s="1115"/>
      <c r="WDP4" s="1115"/>
      <c r="WDQ4" s="1115"/>
      <c r="WDR4" s="1115"/>
      <c r="WDS4" s="1115"/>
      <c r="WDT4" s="1115"/>
      <c r="WDU4" s="1115"/>
      <c r="WDV4" s="1115"/>
      <c r="WDW4" s="1115"/>
      <c r="WDX4" s="1115"/>
      <c r="WDY4" s="1115"/>
      <c r="WDZ4" s="1115"/>
      <c r="WEA4" s="1115"/>
      <c r="WEB4" s="1115"/>
      <c r="WEC4" s="1115"/>
      <c r="WED4" s="1115"/>
      <c r="WEE4" s="1115"/>
      <c r="WEF4" s="1115"/>
      <c r="WEG4" s="1115"/>
      <c r="WEH4" s="1115"/>
      <c r="WEI4" s="1115"/>
      <c r="WEJ4" s="1115"/>
      <c r="WEK4" s="1115"/>
      <c r="WEL4" s="1115"/>
      <c r="WEM4" s="1115"/>
      <c r="WEN4" s="1115"/>
      <c r="WEO4" s="1115"/>
      <c r="WEP4" s="1115"/>
      <c r="WEQ4" s="1115"/>
      <c r="WER4" s="1115"/>
      <c r="WES4" s="1115"/>
      <c r="WET4" s="1115"/>
      <c r="WEU4" s="1115"/>
      <c r="WEV4" s="1115"/>
      <c r="WEW4" s="1115"/>
      <c r="WEX4" s="1115"/>
      <c r="WEY4" s="1115"/>
      <c r="WEZ4" s="1115"/>
      <c r="WFA4" s="1115"/>
      <c r="WFB4" s="1115"/>
      <c r="WFC4" s="1115"/>
      <c r="WFD4" s="1115"/>
      <c r="WFE4" s="1115"/>
      <c r="WFF4" s="1115"/>
      <c r="WFG4" s="1115"/>
      <c r="WFH4" s="1115"/>
      <c r="WFI4" s="1115"/>
      <c r="WFJ4" s="1115"/>
      <c r="WFK4" s="1115"/>
      <c r="WFL4" s="1115"/>
      <c r="WFM4" s="1115"/>
      <c r="WFN4" s="1115"/>
      <c r="WFO4" s="1115"/>
      <c r="WFP4" s="1115"/>
      <c r="WFQ4" s="1115"/>
      <c r="WFR4" s="1115"/>
      <c r="WFS4" s="1115"/>
      <c r="WFT4" s="1115"/>
      <c r="WFU4" s="1115"/>
      <c r="WFV4" s="1115"/>
      <c r="WFW4" s="1115"/>
      <c r="WFX4" s="1115"/>
      <c r="WFY4" s="1115"/>
      <c r="WFZ4" s="1115"/>
      <c r="WGA4" s="1115"/>
      <c r="WGB4" s="1115"/>
      <c r="WGC4" s="1115"/>
      <c r="WGD4" s="1115"/>
      <c r="WGE4" s="1115"/>
      <c r="WGF4" s="1115"/>
      <c r="WGG4" s="1115"/>
      <c r="WGH4" s="1115"/>
      <c r="WGI4" s="1115"/>
      <c r="WGJ4" s="1115"/>
      <c r="WGK4" s="1115"/>
      <c r="WGL4" s="1115"/>
      <c r="WGM4" s="1115"/>
      <c r="WGN4" s="1115"/>
      <c r="WGO4" s="1115"/>
      <c r="WGP4" s="1115"/>
      <c r="WGQ4" s="1115"/>
      <c r="WGR4" s="1115"/>
      <c r="WGS4" s="1115"/>
      <c r="WGT4" s="1115"/>
      <c r="WGU4" s="1115"/>
      <c r="WGV4" s="1115"/>
      <c r="WGW4" s="1115"/>
      <c r="WGX4" s="1115"/>
      <c r="WGY4" s="1115"/>
      <c r="WGZ4" s="1115"/>
      <c r="WHA4" s="1115"/>
      <c r="WHB4" s="1115"/>
      <c r="WHC4" s="1115"/>
      <c r="WHD4" s="1115"/>
      <c r="WHE4" s="1115"/>
      <c r="WHF4" s="1115"/>
      <c r="WHG4" s="1115"/>
      <c r="WHH4" s="1115"/>
      <c r="WHI4" s="1115"/>
      <c r="WHJ4" s="1115"/>
      <c r="WHK4" s="1115"/>
      <c r="WHL4" s="1115"/>
      <c r="WHM4" s="1115"/>
      <c r="WHN4" s="1115"/>
      <c r="WHO4" s="1115"/>
      <c r="WHP4" s="1115"/>
      <c r="WHQ4" s="1115"/>
      <c r="WHR4" s="1115"/>
      <c r="WHS4" s="1115"/>
      <c r="WHT4" s="1115"/>
      <c r="WHU4" s="1115"/>
      <c r="WHV4" s="1115"/>
      <c r="WHW4" s="1115"/>
      <c r="WHX4" s="1115"/>
      <c r="WHY4" s="1115"/>
      <c r="WHZ4" s="1115"/>
      <c r="WIA4" s="1115"/>
      <c r="WIB4" s="1115"/>
      <c r="WIC4" s="1115"/>
      <c r="WID4" s="1115"/>
      <c r="WIE4" s="1115"/>
      <c r="WIF4" s="1115"/>
      <c r="WIG4" s="1115"/>
      <c r="WIH4" s="1115"/>
      <c r="WII4" s="1115"/>
      <c r="WIJ4" s="1115"/>
      <c r="WIK4" s="1115"/>
      <c r="WIL4" s="1115"/>
      <c r="WIM4" s="1115"/>
      <c r="WIN4" s="1115"/>
      <c r="WIO4" s="1115"/>
      <c r="WIP4" s="1115"/>
      <c r="WIQ4" s="1115"/>
      <c r="WIR4" s="1115"/>
      <c r="WIS4" s="1115"/>
      <c r="WIT4" s="1115"/>
      <c r="WIU4" s="1115"/>
      <c r="WIV4" s="1115"/>
      <c r="WIW4" s="1115"/>
      <c r="WIX4" s="1115"/>
      <c r="WIY4" s="1115"/>
      <c r="WIZ4" s="1115"/>
      <c r="WJA4" s="1115"/>
      <c r="WJB4" s="1115"/>
      <c r="WJC4" s="1115"/>
      <c r="WJD4" s="1115"/>
      <c r="WJE4" s="1115"/>
      <c r="WJF4" s="1115"/>
      <c r="WJG4" s="1115"/>
      <c r="WJH4" s="1115"/>
      <c r="WJI4" s="1115"/>
      <c r="WJJ4" s="1115"/>
      <c r="WJK4" s="1115"/>
      <c r="WJL4" s="1115"/>
      <c r="WJM4" s="1115"/>
      <c r="WJN4" s="1115"/>
      <c r="WJO4" s="1115"/>
      <c r="WJP4" s="1115"/>
      <c r="WJQ4" s="1115"/>
      <c r="WJR4" s="1115"/>
      <c r="WJS4" s="1115"/>
      <c r="WJT4" s="1115"/>
      <c r="WJU4" s="1115"/>
      <c r="WJV4" s="1115"/>
      <c r="WJW4" s="1115"/>
      <c r="WJX4" s="1115"/>
      <c r="WJY4" s="1115"/>
      <c r="WJZ4" s="1115"/>
      <c r="WKA4" s="1115"/>
      <c r="WKB4" s="1115"/>
      <c r="WKC4" s="1115"/>
      <c r="WKD4" s="1115"/>
      <c r="WKE4" s="1115"/>
      <c r="WKF4" s="1115"/>
      <c r="WKG4" s="1115"/>
      <c r="WKH4" s="1115"/>
      <c r="WKI4" s="1115"/>
      <c r="WKJ4" s="1115"/>
      <c r="WKK4" s="1115"/>
      <c r="WKL4" s="1115"/>
      <c r="WKM4" s="1115"/>
      <c r="WKN4" s="1115"/>
      <c r="WKO4" s="1115"/>
      <c r="WKP4" s="1115"/>
      <c r="WKQ4" s="1115"/>
      <c r="WKR4" s="1115"/>
      <c r="WKS4" s="1115"/>
      <c r="WKT4" s="1115"/>
      <c r="WKU4" s="1115"/>
      <c r="WKV4" s="1115"/>
      <c r="WKW4" s="1115"/>
      <c r="WKX4" s="1115"/>
      <c r="WKY4" s="1115"/>
      <c r="WKZ4" s="1115"/>
      <c r="WLA4" s="1115"/>
      <c r="WLB4" s="1115"/>
      <c r="WLC4" s="1115"/>
      <c r="WLD4" s="1115"/>
      <c r="WLE4" s="1115"/>
      <c r="WLF4" s="1115"/>
      <c r="WLG4" s="1115"/>
      <c r="WLH4" s="1115"/>
      <c r="WLI4" s="1115"/>
      <c r="WLJ4" s="1115"/>
      <c r="WLK4" s="1115"/>
      <c r="WLL4" s="1115"/>
      <c r="WLM4" s="1115"/>
      <c r="WLN4" s="1115"/>
      <c r="WLO4" s="1115"/>
      <c r="WLP4" s="1115"/>
      <c r="WLQ4" s="1115"/>
      <c r="WLR4" s="1115"/>
      <c r="WLS4" s="1115"/>
      <c r="WLT4" s="1115"/>
      <c r="WLU4" s="1115"/>
      <c r="WLV4" s="1115"/>
      <c r="WLW4" s="1115"/>
      <c r="WLX4" s="1115"/>
      <c r="WLY4" s="1115"/>
      <c r="WLZ4" s="1115"/>
      <c r="WMA4" s="1115"/>
      <c r="WMB4" s="1115"/>
      <c r="WMC4" s="1115"/>
      <c r="WMD4" s="1115"/>
      <c r="WME4" s="1115"/>
      <c r="WMF4" s="1115"/>
      <c r="WMG4" s="1115"/>
      <c r="WMH4" s="1115"/>
      <c r="WMI4" s="1115"/>
      <c r="WMJ4" s="1115"/>
      <c r="WMK4" s="1115"/>
      <c r="WML4" s="1115"/>
      <c r="WMM4" s="1115"/>
      <c r="WMN4" s="1115"/>
      <c r="WMO4" s="1115"/>
      <c r="WMP4" s="1115"/>
      <c r="WMQ4" s="1115"/>
      <c r="WMR4" s="1115"/>
      <c r="WMS4" s="1115"/>
      <c r="WMT4" s="1115"/>
      <c r="WMU4" s="1115"/>
      <c r="WMV4" s="1115"/>
      <c r="WMW4" s="1115"/>
      <c r="WMX4" s="1115"/>
      <c r="WMY4" s="1115"/>
      <c r="WMZ4" s="1115"/>
      <c r="WNA4" s="1115"/>
      <c r="WNB4" s="1115"/>
      <c r="WNC4" s="1115"/>
      <c r="WND4" s="1115"/>
      <c r="WNE4" s="1115"/>
      <c r="WNF4" s="1115"/>
      <c r="WNG4" s="1115"/>
      <c r="WNH4" s="1115"/>
      <c r="WNI4" s="1115"/>
      <c r="WNJ4" s="1115"/>
      <c r="WNK4" s="1115"/>
      <c r="WNL4" s="1115"/>
      <c r="WNM4" s="1115"/>
      <c r="WNN4" s="1115"/>
      <c r="WNO4" s="1115"/>
      <c r="WNP4" s="1115"/>
      <c r="WNQ4" s="1115"/>
      <c r="WNR4" s="1115"/>
      <c r="WNS4" s="1115"/>
      <c r="WNT4" s="1115"/>
      <c r="WNU4" s="1115"/>
      <c r="WNV4" s="1115"/>
      <c r="WNW4" s="1115"/>
      <c r="WNX4" s="1115"/>
      <c r="WNY4" s="1115"/>
      <c r="WNZ4" s="1115"/>
      <c r="WOA4" s="1115"/>
      <c r="WOB4" s="1115"/>
      <c r="WOC4" s="1115"/>
      <c r="WOD4" s="1115"/>
      <c r="WOE4" s="1115"/>
      <c r="WOF4" s="1115"/>
      <c r="WOG4" s="1115"/>
      <c r="WOH4" s="1115"/>
      <c r="WOI4" s="1115"/>
      <c r="WOJ4" s="1115"/>
      <c r="WOK4" s="1115"/>
      <c r="WOL4" s="1115"/>
      <c r="WOM4" s="1115"/>
      <c r="WON4" s="1115"/>
      <c r="WOO4" s="1115"/>
      <c r="WOP4" s="1115"/>
      <c r="WOQ4" s="1115"/>
      <c r="WOR4" s="1115"/>
      <c r="WOS4" s="1115"/>
      <c r="WOT4" s="1115"/>
      <c r="WOU4" s="1115"/>
      <c r="WOV4" s="1115"/>
      <c r="WOW4" s="1115"/>
      <c r="WOX4" s="1115"/>
      <c r="WOY4" s="1115"/>
      <c r="WOZ4" s="1115"/>
      <c r="WPA4" s="1115"/>
      <c r="WPB4" s="1115"/>
      <c r="WPC4" s="1115"/>
      <c r="WPD4" s="1115"/>
      <c r="WPE4" s="1115"/>
      <c r="WPF4" s="1115"/>
      <c r="WPG4" s="1115"/>
      <c r="WPH4" s="1115"/>
      <c r="WPI4" s="1115"/>
      <c r="WPJ4" s="1115"/>
      <c r="WPK4" s="1115"/>
      <c r="WPL4" s="1115"/>
      <c r="WPM4" s="1115"/>
      <c r="WPN4" s="1115"/>
      <c r="WPO4" s="1115"/>
      <c r="WPP4" s="1115"/>
      <c r="WPQ4" s="1115"/>
      <c r="WPR4" s="1115"/>
      <c r="WPS4" s="1115"/>
      <c r="WPT4" s="1115"/>
      <c r="WPU4" s="1115"/>
      <c r="WPV4" s="1115"/>
      <c r="WPW4" s="1115"/>
      <c r="WPX4" s="1115"/>
      <c r="WPY4" s="1115"/>
      <c r="WPZ4" s="1115"/>
      <c r="WQA4" s="1115"/>
      <c r="WQB4" s="1115"/>
      <c r="WQC4" s="1115"/>
      <c r="WQD4" s="1115"/>
      <c r="WQE4" s="1115"/>
      <c r="WQF4" s="1115"/>
      <c r="WQG4" s="1115"/>
      <c r="WQH4" s="1115"/>
      <c r="WQI4" s="1115"/>
      <c r="WQJ4" s="1115"/>
      <c r="WQK4" s="1115"/>
      <c r="WQL4" s="1115"/>
      <c r="WQM4" s="1115"/>
      <c r="WQN4" s="1115"/>
      <c r="WQO4" s="1115"/>
      <c r="WQP4" s="1115"/>
      <c r="WQQ4" s="1115"/>
      <c r="WQR4" s="1115"/>
      <c r="WQS4" s="1115"/>
      <c r="WQT4" s="1115"/>
      <c r="WQU4" s="1115"/>
      <c r="WQV4" s="1115"/>
      <c r="WQW4" s="1115"/>
      <c r="WQX4" s="1115"/>
      <c r="WQY4" s="1115"/>
      <c r="WQZ4" s="1115"/>
      <c r="WRA4" s="1115"/>
      <c r="WRB4" s="1115"/>
      <c r="WRC4" s="1115"/>
      <c r="WRD4" s="1115"/>
      <c r="WRE4" s="1115"/>
      <c r="WRF4" s="1115"/>
      <c r="WRG4" s="1115"/>
      <c r="WRH4" s="1115"/>
      <c r="WRI4" s="1115"/>
      <c r="WRJ4" s="1115"/>
      <c r="WRK4" s="1115"/>
      <c r="WRL4" s="1115"/>
      <c r="WRM4" s="1115"/>
      <c r="WRN4" s="1115"/>
      <c r="WRO4" s="1115"/>
      <c r="WRP4" s="1115"/>
      <c r="WRQ4" s="1115"/>
      <c r="WRR4" s="1115"/>
      <c r="WRS4" s="1115"/>
      <c r="WRT4" s="1115"/>
      <c r="WRU4" s="1115"/>
      <c r="WRV4" s="1115"/>
      <c r="WRW4" s="1115"/>
      <c r="WRX4" s="1115"/>
      <c r="WRY4" s="1115"/>
      <c r="WRZ4" s="1115"/>
      <c r="WSA4" s="1115"/>
      <c r="WSB4" s="1115"/>
      <c r="WSC4" s="1115"/>
      <c r="WSD4" s="1115"/>
      <c r="WSE4" s="1115"/>
      <c r="WSF4" s="1115"/>
      <c r="WSG4" s="1115"/>
      <c r="WSH4" s="1115"/>
      <c r="WSI4" s="1115"/>
      <c r="WSJ4" s="1115"/>
      <c r="WSK4" s="1115"/>
      <c r="WSL4" s="1115"/>
      <c r="WSM4" s="1115"/>
      <c r="WSN4" s="1115"/>
      <c r="WSO4" s="1115"/>
      <c r="WSP4" s="1115"/>
      <c r="WSQ4" s="1115"/>
      <c r="WSR4" s="1115"/>
      <c r="WSS4" s="1115"/>
      <c r="WST4" s="1115"/>
      <c r="WSU4" s="1115"/>
      <c r="WSV4" s="1115"/>
      <c r="WSW4" s="1115"/>
      <c r="WSX4" s="1115"/>
      <c r="WSY4" s="1115"/>
      <c r="WSZ4" s="1115"/>
      <c r="WTA4" s="1115"/>
      <c r="WTB4" s="1115"/>
      <c r="WTC4" s="1115"/>
      <c r="WTD4" s="1115"/>
      <c r="WTE4" s="1115"/>
      <c r="WTF4" s="1115"/>
      <c r="WTG4" s="1115"/>
      <c r="WTH4" s="1115"/>
      <c r="WTI4" s="1115"/>
      <c r="WTJ4" s="1115"/>
      <c r="WTK4" s="1115"/>
      <c r="WTL4" s="1115"/>
      <c r="WTM4" s="1115"/>
      <c r="WTN4" s="1115"/>
      <c r="WTO4" s="1115"/>
      <c r="WTP4" s="1115"/>
      <c r="WTQ4" s="1115"/>
      <c r="WTR4" s="1115"/>
      <c r="WTS4" s="1115"/>
      <c r="WTT4" s="1115"/>
      <c r="WTU4" s="1115"/>
      <c r="WTV4" s="1115"/>
      <c r="WTW4" s="1115"/>
      <c r="WTX4" s="1115"/>
      <c r="WTY4" s="1115"/>
      <c r="WTZ4" s="1115"/>
      <c r="WUA4" s="1115"/>
      <c r="WUB4" s="1115"/>
      <c r="WUC4" s="1115"/>
      <c r="WUD4" s="1115"/>
      <c r="WUE4" s="1115"/>
      <c r="WUF4" s="1115"/>
      <c r="WUG4" s="1115"/>
      <c r="WUH4" s="1115"/>
      <c r="WUI4" s="1115"/>
      <c r="WUJ4" s="1115"/>
      <c r="WUK4" s="1115"/>
      <c r="WUL4" s="1115"/>
      <c r="WUM4" s="1115"/>
      <c r="WUN4" s="1115"/>
      <c r="WUO4" s="1115"/>
      <c r="WUP4" s="1115"/>
      <c r="WUQ4" s="1115"/>
      <c r="WUR4" s="1115"/>
      <c r="WUS4" s="1115"/>
      <c r="WUT4" s="1115"/>
      <c r="WUU4" s="1115"/>
      <c r="WUV4" s="1115"/>
      <c r="WUW4" s="1115"/>
      <c r="WUX4" s="1115"/>
      <c r="WUY4" s="1115"/>
      <c r="WUZ4" s="1115"/>
      <c r="WVA4" s="1115"/>
      <c r="WVB4" s="1115"/>
      <c r="WVC4" s="1115"/>
      <c r="WVD4" s="1115"/>
      <c r="WVE4" s="1115"/>
      <c r="WVF4" s="1115"/>
      <c r="WVG4" s="1115"/>
      <c r="WVH4" s="1115"/>
      <c r="WVI4" s="1115"/>
      <c r="WVJ4" s="1115"/>
      <c r="WVK4" s="1115"/>
      <c r="WVL4" s="1115"/>
      <c r="WVM4" s="1115"/>
      <c r="WVN4" s="1115"/>
      <c r="WVO4" s="1115"/>
      <c r="WVP4" s="1115"/>
      <c r="WVQ4" s="1115"/>
      <c r="WVR4" s="1115"/>
      <c r="WVS4" s="1115"/>
      <c r="WVT4" s="1115"/>
      <c r="WVU4" s="1115"/>
      <c r="WVV4" s="1115"/>
      <c r="WVW4" s="1115"/>
      <c r="WVX4" s="1115"/>
      <c r="WVY4" s="1115"/>
      <c r="WVZ4" s="1115"/>
      <c r="WWA4" s="1115"/>
      <c r="WWB4" s="1115"/>
      <c r="WWC4" s="1115"/>
      <c r="WWD4" s="1115"/>
      <c r="WWE4" s="1115"/>
      <c r="WWF4" s="1115"/>
      <c r="WWG4" s="1115"/>
      <c r="WWH4" s="1115"/>
      <c r="WWI4" s="1115"/>
      <c r="WWJ4" s="1115"/>
      <c r="WWK4" s="1115"/>
      <c r="WWL4" s="1115"/>
      <c r="WWM4" s="1115"/>
      <c r="WWN4" s="1115"/>
      <c r="WWO4" s="1115"/>
      <c r="WWP4" s="1115"/>
      <c r="WWQ4" s="1115"/>
      <c r="WWR4" s="1115"/>
      <c r="WWS4" s="1115"/>
      <c r="WWT4" s="1115"/>
      <c r="WWU4" s="1115"/>
      <c r="WWV4" s="1115"/>
      <c r="WWW4" s="1115"/>
      <c r="WWX4" s="1115"/>
      <c r="WWY4" s="1115"/>
      <c r="WWZ4" s="1115"/>
      <c r="WXA4" s="1115"/>
      <c r="WXB4" s="1115"/>
      <c r="WXC4" s="1115"/>
      <c r="WXD4" s="1115"/>
      <c r="WXE4" s="1115"/>
      <c r="WXF4" s="1115"/>
      <c r="WXG4" s="1115"/>
      <c r="WXH4" s="1115"/>
      <c r="WXI4" s="1115"/>
      <c r="WXJ4" s="1115"/>
      <c r="WXK4" s="1115"/>
      <c r="WXL4" s="1115"/>
      <c r="WXM4" s="1115"/>
      <c r="WXN4" s="1115"/>
      <c r="WXO4" s="1115"/>
      <c r="WXP4" s="1115"/>
      <c r="WXQ4" s="1115"/>
      <c r="WXR4" s="1115"/>
      <c r="WXS4" s="1115"/>
      <c r="WXT4" s="1115"/>
      <c r="WXU4" s="1115"/>
      <c r="WXV4" s="1115"/>
      <c r="WXW4" s="1115"/>
      <c r="WXX4" s="1115"/>
      <c r="WXY4" s="1115"/>
      <c r="WXZ4" s="1115"/>
      <c r="WYA4" s="1115"/>
      <c r="WYB4" s="1115"/>
      <c r="WYC4" s="1115"/>
      <c r="WYD4" s="1115"/>
      <c r="WYE4" s="1115"/>
      <c r="WYF4" s="1115"/>
      <c r="WYG4" s="1115"/>
      <c r="WYH4" s="1115"/>
      <c r="WYI4" s="1115"/>
      <c r="WYJ4" s="1115"/>
      <c r="WYK4" s="1115"/>
      <c r="WYL4" s="1115"/>
      <c r="WYM4" s="1115"/>
      <c r="WYN4" s="1115"/>
      <c r="WYO4" s="1115"/>
      <c r="WYP4" s="1115"/>
      <c r="WYQ4" s="1115"/>
      <c r="WYR4" s="1115"/>
      <c r="WYS4" s="1115"/>
      <c r="WYT4" s="1115"/>
      <c r="WYU4" s="1115"/>
      <c r="WYV4" s="1115"/>
      <c r="WYW4" s="1115"/>
      <c r="WYX4" s="1115"/>
      <c r="WYY4" s="1115"/>
      <c r="WYZ4" s="1115"/>
      <c r="WZA4" s="1115"/>
      <c r="WZB4" s="1115"/>
      <c r="WZC4" s="1115"/>
      <c r="WZD4" s="1115"/>
      <c r="WZE4" s="1115"/>
      <c r="WZF4" s="1115"/>
      <c r="WZG4" s="1115"/>
      <c r="WZH4" s="1115"/>
      <c r="WZI4" s="1115"/>
      <c r="WZJ4" s="1115"/>
      <c r="WZK4" s="1115"/>
      <c r="WZL4" s="1115"/>
      <c r="WZM4" s="1115"/>
      <c r="WZN4" s="1115"/>
      <c r="WZO4" s="1115"/>
      <c r="WZP4" s="1115"/>
      <c r="WZQ4" s="1115"/>
      <c r="WZR4" s="1115"/>
      <c r="WZS4" s="1115"/>
      <c r="WZT4" s="1115"/>
      <c r="WZU4" s="1115"/>
      <c r="WZV4" s="1115"/>
      <c r="WZW4" s="1115"/>
      <c r="WZX4" s="1115"/>
      <c r="WZY4" s="1115"/>
      <c r="WZZ4" s="1115"/>
      <c r="XAA4" s="1115"/>
      <c r="XAB4" s="1115"/>
      <c r="XAC4" s="1115"/>
      <c r="XAD4" s="1115"/>
      <c r="XAE4" s="1115"/>
      <c r="XAF4" s="1115"/>
      <c r="XAG4" s="1115"/>
      <c r="XAH4" s="1115"/>
      <c r="XAI4" s="1115"/>
      <c r="XAJ4" s="1115"/>
      <c r="XAK4" s="1115"/>
      <c r="XAL4" s="1115"/>
      <c r="XAM4" s="1115"/>
      <c r="XAN4" s="1115"/>
      <c r="XAO4" s="1115"/>
      <c r="XAP4" s="1115"/>
      <c r="XAQ4" s="1115"/>
      <c r="XAR4" s="1115"/>
      <c r="XAS4" s="1115"/>
      <c r="XAT4" s="1115"/>
      <c r="XAU4" s="1115"/>
      <c r="XAV4" s="1115"/>
      <c r="XAW4" s="1115"/>
      <c r="XAX4" s="1115"/>
      <c r="XAY4" s="1115"/>
      <c r="XAZ4" s="1115"/>
      <c r="XBA4" s="1115"/>
      <c r="XBB4" s="1115"/>
      <c r="XBC4" s="1115"/>
      <c r="XBD4" s="1115"/>
      <c r="XBE4" s="1115"/>
      <c r="XBF4" s="1115"/>
      <c r="XBG4" s="1115"/>
      <c r="XBH4" s="1115"/>
      <c r="XBI4" s="1115"/>
      <c r="XBJ4" s="1115"/>
      <c r="XBK4" s="1115"/>
      <c r="XBL4" s="1115"/>
      <c r="XBM4" s="1115"/>
      <c r="XBN4" s="1115"/>
      <c r="XBO4" s="1115"/>
      <c r="XBP4" s="1115"/>
      <c r="XBQ4" s="1115"/>
      <c r="XBR4" s="1115"/>
      <c r="XBS4" s="1115"/>
      <c r="XBT4" s="1115"/>
      <c r="XBU4" s="1115"/>
      <c r="XBV4" s="1115"/>
      <c r="XBW4" s="1115"/>
      <c r="XBX4" s="1115"/>
      <c r="XBY4" s="1115"/>
      <c r="XBZ4" s="1115"/>
      <c r="XCA4" s="1115"/>
      <c r="XCB4" s="1115"/>
      <c r="XCC4" s="1115"/>
      <c r="XCD4" s="1115"/>
      <c r="XCE4" s="1115"/>
      <c r="XCF4" s="1115"/>
      <c r="XCG4" s="1115"/>
      <c r="XCH4" s="1115"/>
      <c r="XCI4" s="1115"/>
      <c r="XCJ4" s="1115"/>
      <c r="XCK4" s="1115"/>
      <c r="XCL4" s="1115"/>
      <c r="XCM4" s="1115"/>
      <c r="XCN4" s="1115"/>
      <c r="XCO4" s="1115"/>
      <c r="XCP4" s="1115"/>
      <c r="XCQ4" s="1115"/>
      <c r="XCR4" s="1115"/>
      <c r="XCS4" s="1115"/>
      <c r="XCT4" s="1115"/>
      <c r="XCU4" s="1115"/>
      <c r="XCV4" s="1115"/>
      <c r="XCW4" s="1115"/>
      <c r="XCX4" s="1115"/>
      <c r="XCY4" s="1115"/>
      <c r="XCZ4" s="1115"/>
      <c r="XDA4" s="1115"/>
      <c r="XDB4" s="1115"/>
      <c r="XDC4" s="1115"/>
      <c r="XDD4" s="1115"/>
      <c r="XDE4" s="1115"/>
      <c r="XDF4" s="1115"/>
      <c r="XDG4" s="1115"/>
      <c r="XDH4" s="1115"/>
      <c r="XDI4" s="1115"/>
      <c r="XDJ4" s="1115"/>
      <c r="XDK4" s="1115"/>
      <c r="XDL4" s="1115"/>
      <c r="XDM4" s="1115"/>
      <c r="XDN4" s="1115"/>
      <c r="XDO4" s="1115"/>
      <c r="XDP4" s="1115"/>
      <c r="XDQ4" s="1115"/>
      <c r="XDR4" s="1115"/>
      <c r="XDS4" s="1115"/>
      <c r="XDT4" s="1115"/>
      <c r="XDU4" s="1115"/>
      <c r="XDV4" s="1115"/>
      <c r="XDW4" s="1115"/>
      <c r="XDX4" s="1115"/>
      <c r="XDY4" s="1115"/>
      <c r="XDZ4" s="1115"/>
      <c r="XEA4" s="1115"/>
      <c r="XEB4" s="1115"/>
      <c r="XEC4" s="1115"/>
      <c r="XED4" s="1115"/>
      <c r="XEE4" s="1115"/>
      <c r="XEF4" s="1115"/>
      <c r="XEG4" s="1115"/>
      <c r="XEH4" s="1115"/>
      <c r="XEI4" s="1115"/>
      <c r="XEJ4" s="1115"/>
      <c r="XEK4" s="1115"/>
      <c r="XEL4" s="1115"/>
      <c r="XEM4" s="1115"/>
      <c r="XEN4" s="1115"/>
      <c r="XEO4" s="1115"/>
      <c r="XEP4" s="1115"/>
      <c r="XEQ4" s="1115"/>
      <c r="XER4" s="1115"/>
      <c r="XES4" s="1115"/>
      <c r="XET4" s="1115"/>
      <c r="XEU4" s="1115"/>
      <c r="XEV4" s="1115"/>
      <c r="XEW4" s="1115"/>
      <c r="XEX4" s="1115"/>
      <c r="XEY4" s="1115"/>
      <c r="XEZ4" s="1115"/>
      <c r="XFA4" s="1115"/>
      <c r="XFB4" s="1115"/>
      <c r="XFC4" s="1115"/>
      <c r="XFD4" s="1115"/>
    </row>
    <row r="5" spans="1:19">
      <c r="A5" s="1116" t="s">
        <v>1688</v>
      </c>
      <c r="B5" s="1116" t="s">
        <v>1672</v>
      </c>
      <c r="C5" s="1116" t="s">
        <v>1689</v>
      </c>
      <c r="D5" s="1116">
        <v>119299.9</v>
      </c>
      <c r="E5" s="1116">
        <v>298249.75</v>
      </c>
      <c r="F5" s="1116" t="s">
        <v>1674</v>
      </c>
      <c r="G5" s="1116" t="s">
        <v>1690</v>
      </c>
      <c r="H5" s="1116">
        <v>50</v>
      </c>
      <c r="I5" s="1116" t="s">
        <v>1691</v>
      </c>
      <c r="J5" s="1116" t="s">
        <v>1677</v>
      </c>
      <c r="K5" s="1119">
        <v>45504.0004976852</v>
      </c>
      <c r="L5" s="1119">
        <v>45504.0004976852</v>
      </c>
      <c r="M5" s="1116" t="s">
        <v>1678</v>
      </c>
      <c r="N5" s="1116" t="s">
        <v>1692</v>
      </c>
      <c r="O5" s="1116">
        <v>5730</v>
      </c>
      <c r="P5" s="1116">
        <v>5730</v>
      </c>
      <c r="Q5" s="1116">
        <v>32.02</v>
      </c>
      <c r="R5" s="1116">
        <v>192</v>
      </c>
      <c r="S5" s="1116">
        <v>0</v>
      </c>
    </row>
    <row r="6" spans="1:19">
      <c r="A6" s="1116" t="s">
        <v>1693</v>
      </c>
      <c r="B6" s="1116" t="s">
        <v>1672</v>
      </c>
      <c r="C6" s="1116" t="s">
        <v>1694</v>
      </c>
      <c r="D6" s="1116">
        <v>60581.6</v>
      </c>
      <c r="E6" s="1116">
        <v>72697.92</v>
      </c>
      <c r="F6" s="1116" t="s">
        <v>1674</v>
      </c>
      <c r="G6" s="1116" t="s">
        <v>1674</v>
      </c>
      <c r="H6" s="1116">
        <v>50</v>
      </c>
      <c r="I6" s="1116" t="s">
        <v>1695</v>
      </c>
      <c r="J6" s="1116" t="s">
        <v>1677</v>
      </c>
      <c r="K6" s="1119">
        <v>45471.0004976852</v>
      </c>
      <c r="L6" s="1119">
        <v>45471.0004976852</v>
      </c>
      <c r="M6" s="1116" t="s">
        <v>1678</v>
      </c>
      <c r="N6" s="1116" t="s">
        <v>1696</v>
      </c>
      <c r="O6" s="1116">
        <v>3340</v>
      </c>
      <c r="P6" s="1116">
        <v>3340</v>
      </c>
      <c r="Q6" s="1116">
        <v>36.75</v>
      </c>
      <c r="R6" s="1116">
        <v>459</v>
      </c>
      <c r="S6" s="1116">
        <v>0</v>
      </c>
    </row>
    <row r="7" spans="1:19">
      <c r="A7" s="1116" t="s">
        <v>1697</v>
      </c>
      <c r="B7" s="1116" t="s">
        <v>1672</v>
      </c>
      <c r="C7" s="1116" t="s">
        <v>1698</v>
      </c>
      <c r="D7" s="1116">
        <v>30000</v>
      </c>
      <c r="E7" s="1116">
        <v>60000</v>
      </c>
      <c r="F7" s="1116" t="s">
        <v>1674</v>
      </c>
      <c r="G7" s="1116" t="s">
        <v>1674</v>
      </c>
      <c r="H7" s="1116" t="s">
        <v>1675</v>
      </c>
      <c r="I7" s="1116" t="s">
        <v>1699</v>
      </c>
      <c r="J7" s="1116" t="s">
        <v>1677</v>
      </c>
      <c r="K7" s="1119">
        <v>45471.0004976852</v>
      </c>
      <c r="L7" s="1119">
        <v>45471.0004976852</v>
      </c>
      <c r="M7" s="1116" t="s">
        <v>1678</v>
      </c>
      <c r="N7" s="1116" t="s">
        <v>1700</v>
      </c>
      <c r="O7" s="1116">
        <v>1530</v>
      </c>
      <c r="P7" s="1116">
        <v>1530</v>
      </c>
      <c r="Q7" s="1116">
        <v>34</v>
      </c>
      <c r="R7" s="1116">
        <v>255</v>
      </c>
      <c r="S7" s="1116">
        <v>0</v>
      </c>
    </row>
    <row r="8" spans="1:19">
      <c r="A8" s="1116" t="s">
        <v>1701</v>
      </c>
      <c r="B8" s="1116" t="s">
        <v>1672</v>
      </c>
      <c r="C8" s="1116" t="s">
        <v>1702</v>
      </c>
      <c r="D8" s="1116">
        <v>28332.7</v>
      </c>
      <c r="E8" s="1116">
        <v>22666.16</v>
      </c>
      <c r="F8" s="1116" t="s">
        <v>1674</v>
      </c>
      <c r="G8" s="1116" t="s">
        <v>1674</v>
      </c>
      <c r="H8" s="1116">
        <v>20</v>
      </c>
      <c r="I8" s="1116" t="s">
        <v>1703</v>
      </c>
      <c r="J8" s="1116" t="s">
        <v>1677</v>
      </c>
      <c r="K8" s="1119">
        <v>45471.0004976852</v>
      </c>
      <c r="L8" s="1119">
        <v>45471.0004976852</v>
      </c>
      <c r="M8" s="1116" t="s">
        <v>1678</v>
      </c>
      <c r="N8" s="1116" t="s">
        <v>1704</v>
      </c>
      <c r="O8" s="1116">
        <v>640</v>
      </c>
      <c r="P8" s="1116">
        <v>640</v>
      </c>
      <c r="Q8" s="1116">
        <v>15.06</v>
      </c>
      <c r="R8" s="1116">
        <v>282</v>
      </c>
      <c r="S8" s="1116">
        <v>0</v>
      </c>
    </row>
    <row r="9" spans="1:19">
      <c r="A9" s="1116" t="s">
        <v>1705</v>
      </c>
      <c r="B9" s="1116" t="s">
        <v>1672</v>
      </c>
      <c r="C9" s="1116" t="s">
        <v>1706</v>
      </c>
      <c r="D9" s="1116">
        <v>10584.4</v>
      </c>
      <c r="E9" s="1116">
        <v>26461</v>
      </c>
      <c r="F9" s="1116" t="s">
        <v>1674</v>
      </c>
      <c r="G9" s="1116" t="s">
        <v>1674</v>
      </c>
      <c r="H9" s="1116" t="s">
        <v>1675</v>
      </c>
      <c r="I9" s="1116" t="s">
        <v>1707</v>
      </c>
      <c r="J9" s="1116" t="s">
        <v>1677</v>
      </c>
      <c r="K9" s="1119">
        <v>45471.0004976852</v>
      </c>
      <c r="L9" s="1119">
        <v>45471.0004976852</v>
      </c>
      <c r="M9" s="1116" t="s">
        <v>1678</v>
      </c>
      <c r="N9" s="1116" t="s">
        <v>1708</v>
      </c>
      <c r="O9" s="1116">
        <v>1410</v>
      </c>
      <c r="P9" s="1116">
        <v>1410</v>
      </c>
      <c r="Q9" s="1116">
        <v>88.81</v>
      </c>
      <c r="R9" s="1116">
        <v>533</v>
      </c>
      <c r="S9" s="1116">
        <v>0</v>
      </c>
    </row>
    <row r="10" s="1113" customFormat="1" spans="1:16384">
      <c r="A10" s="1115" t="s">
        <v>1709</v>
      </c>
      <c r="B10" s="1115" t="s">
        <v>1672</v>
      </c>
      <c r="C10" s="1115" t="s">
        <v>1710</v>
      </c>
      <c r="D10" s="1115">
        <v>35718.6</v>
      </c>
      <c r="E10" s="1115">
        <v>71437.2</v>
      </c>
      <c r="F10" s="1115" t="s">
        <v>1674</v>
      </c>
      <c r="G10" s="1115" t="s">
        <v>1674</v>
      </c>
      <c r="H10" s="1115" t="s">
        <v>1711</v>
      </c>
      <c r="I10" s="1115" t="s">
        <v>1699</v>
      </c>
      <c r="J10" s="1115" t="s">
        <v>1677</v>
      </c>
      <c r="K10" s="1120">
        <v>45471.0004976852</v>
      </c>
      <c r="L10" s="1120">
        <v>45471.0004976852</v>
      </c>
      <c r="M10" s="1115" t="s">
        <v>1678</v>
      </c>
      <c r="N10" s="1115" t="s">
        <v>1712</v>
      </c>
      <c r="O10" s="1115">
        <v>660</v>
      </c>
      <c r="P10" s="1115">
        <v>660</v>
      </c>
      <c r="Q10" s="1115">
        <v>12.32</v>
      </c>
      <c r="R10" s="1115">
        <v>92</v>
      </c>
      <c r="S10" s="1115">
        <v>0</v>
      </c>
      <c r="T10" s="1115">
        <f>R10*1.4649</f>
        <v>134.7708</v>
      </c>
      <c r="U10" s="1115"/>
      <c r="V10" s="1115"/>
      <c r="W10" s="1115"/>
      <c r="X10" s="1115"/>
      <c r="Y10" s="1115"/>
      <c r="Z10" s="1115"/>
      <c r="AA10" s="1115"/>
      <c r="AB10" s="1115"/>
      <c r="AC10" s="1115"/>
      <c r="AD10" s="1115"/>
      <c r="AE10" s="1115"/>
      <c r="AF10" s="1115"/>
      <c r="AG10" s="1115"/>
      <c r="AH10" s="1115"/>
      <c r="AI10" s="1115"/>
      <c r="AJ10" s="1115"/>
      <c r="AK10" s="1115"/>
      <c r="AL10" s="1115"/>
      <c r="AM10" s="1115"/>
      <c r="AN10" s="1115"/>
      <c r="AO10" s="1115"/>
      <c r="AP10" s="1115"/>
      <c r="AQ10" s="1115"/>
      <c r="AR10" s="1115"/>
      <c r="AS10" s="1115"/>
      <c r="AT10" s="1115"/>
      <c r="AU10" s="1115"/>
      <c r="AV10" s="1115"/>
      <c r="AW10" s="1115"/>
      <c r="AX10" s="1115"/>
      <c r="AY10" s="1115"/>
      <c r="AZ10" s="1115"/>
      <c r="BA10" s="1115"/>
      <c r="BB10" s="1115"/>
      <c r="BC10" s="1115"/>
      <c r="BD10" s="1115"/>
      <c r="BE10" s="1115"/>
      <c r="BF10" s="1115"/>
      <c r="BG10" s="1115"/>
      <c r="BH10" s="1115"/>
      <c r="BI10" s="1115"/>
      <c r="BJ10" s="1115"/>
      <c r="BK10" s="1115"/>
      <c r="BL10" s="1115"/>
      <c r="BM10" s="1115"/>
      <c r="BN10" s="1115"/>
      <c r="BO10" s="1115"/>
      <c r="BP10" s="1115"/>
      <c r="BQ10" s="1115"/>
      <c r="BR10" s="1115"/>
      <c r="BS10" s="1115"/>
      <c r="BT10" s="1115"/>
      <c r="BU10" s="1115"/>
      <c r="BV10" s="1115"/>
      <c r="BW10" s="1115"/>
      <c r="BX10" s="1115"/>
      <c r="BY10" s="1115"/>
      <c r="BZ10" s="1115"/>
      <c r="CA10" s="1115"/>
      <c r="CB10" s="1115"/>
      <c r="CC10" s="1115"/>
      <c r="CD10" s="1115"/>
      <c r="CE10" s="1115"/>
      <c r="CF10" s="1115"/>
      <c r="CG10" s="1115"/>
      <c r="CH10" s="1115"/>
      <c r="CI10" s="1115"/>
      <c r="CJ10" s="1115"/>
      <c r="CK10" s="1115"/>
      <c r="CL10" s="1115"/>
      <c r="CM10" s="1115"/>
      <c r="CN10" s="1115"/>
      <c r="CO10" s="1115"/>
      <c r="CP10" s="1115"/>
      <c r="CQ10" s="1115"/>
      <c r="CR10" s="1115"/>
      <c r="CS10" s="1115"/>
      <c r="CT10" s="1115"/>
      <c r="CU10" s="1115"/>
      <c r="CV10" s="1115"/>
      <c r="CW10" s="1115"/>
      <c r="CX10" s="1115"/>
      <c r="CY10" s="1115"/>
      <c r="CZ10" s="1115"/>
      <c r="DA10" s="1115"/>
      <c r="DB10" s="1115"/>
      <c r="DC10" s="1115"/>
      <c r="DD10" s="1115"/>
      <c r="DE10" s="1115"/>
      <c r="DF10" s="1115"/>
      <c r="DG10" s="1115"/>
      <c r="DH10" s="1115"/>
      <c r="DI10" s="1115"/>
      <c r="DJ10" s="1115"/>
      <c r="DK10" s="1115"/>
      <c r="DL10" s="1115"/>
      <c r="DM10" s="1115"/>
      <c r="DN10" s="1115"/>
      <c r="DO10" s="1115"/>
      <c r="DP10" s="1115"/>
      <c r="DQ10" s="1115"/>
      <c r="DR10" s="1115"/>
      <c r="DS10" s="1115"/>
      <c r="DT10" s="1115"/>
      <c r="DU10" s="1115"/>
      <c r="DV10" s="1115"/>
      <c r="DW10" s="1115"/>
      <c r="DX10" s="1115"/>
      <c r="DY10" s="1115"/>
      <c r="DZ10" s="1115"/>
      <c r="EA10" s="1115"/>
      <c r="EB10" s="1115"/>
      <c r="EC10" s="1115"/>
      <c r="ED10" s="1115"/>
      <c r="EE10" s="1115"/>
      <c r="EF10" s="1115"/>
      <c r="EG10" s="1115"/>
      <c r="EH10" s="1115"/>
      <c r="EI10" s="1115"/>
      <c r="EJ10" s="1115"/>
      <c r="EK10" s="1115"/>
      <c r="EL10" s="1115"/>
      <c r="EM10" s="1115"/>
      <c r="EN10" s="1115"/>
      <c r="EO10" s="1115"/>
      <c r="EP10" s="1115"/>
      <c r="EQ10" s="1115"/>
      <c r="ER10" s="1115"/>
      <c r="ES10" s="1115"/>
      <c r="ET10" s="1115"/>
      <c r="EU10" s="1115"/>
      <c r="EV10" s="1115"/>
      <c r="EW10" s="1115"/>
      <c r="EX10" s="1115"/>
      <c r="EY10" s="1115"/>
      <c r="EZ10" s="1115"/>
      <c r="FA10" s="1115"/>
      <c r="FB10" s="1115"/>
      <c r="FC10" s="1115"/>
      <c r="FD10" s="1115"/>
      <c r="FE10" s="1115"/>
      <c r="FF10" s="1115"/>
      <c r="FG10" s="1115"/>
      <c r="FH10" s="1115"/>
      <c r="FI10" s="1115"/>
      <c r="FJ10" s="1115"/>
      <c r="FK10" s="1115"/>
      <c r="FL10" s="1115"/>
      <c r="FM10" s="1115"/>
      <c r="FN10" s="1115"/>
      <c r="FO10" s="1115"/>
      <c r="FP10" s="1115"/>
      <c r="FQ10" s="1115"/>
      <c r="FR10" s="1115"/>
      <c r="FS10" s="1115"/>
      <c r="FT10" s="1115"/>
      <c r="FU10" s="1115"/>
      <c r="FV10" s="1115"/>
      <c r="FW10" s="1115"/>
      <c r="FX10" s="1115"/>
      <c r="FY10" s="1115"/>
      <c r="FZ10" s="1115"/>
      <c r="GA10" s="1115"/>
      <c r="GB10" s="1115"/>
      <c r="GC10" s="1115"/>
      <c r="GD10" s="1115"/>
      <c r="GE10" s="1115"/>
      <c r="GF10" s="1115"/>
      <c r="GG10" s="1115"/>
      <c r="GH10" s="1115"/>
      <c r="GI10" s="1115"/>
      <c r="GJ10" s="1115"/>
      <c r="GK10" s="1115"/>
      <c r="GL10" s="1115"/>
      <c r="GM10" s="1115"/>
      <c r="GN10" s="1115"/>
      <c r="GO10" s="1115"/>
      <c r="GP10" s="1115"/>
      <c r="GQ10" s="1115"/>
      <c r="GR10" s="1115"/>
      <c r="GS10" s="1115"/>
      <c r="GT10" s="1115"/>
      <c r="GU10" s="1115"/>
      <c r="GV10" s="1115"/>
      <c r="GW10" s="1115"/>
      <c r="GX10" s="1115"/>
      <c r="GY10" s="1115"/>
      <c r="GZ10" s="1115"/>
      <c r="HA10" s="1115"/>
      <c r="HB10" s="1115"/>
      <c r="HC10" s="1115"/>
      <c r="HD10" s="1115"/>
      <c r="HE10" s="1115"/>
      <c r="HF10" s="1115"/>
      <c r="HG10" s="1115"/>
      <c r="HH10" s="1115"/>
      <c r="HI10" s="1115"/>
      <c r="HJ10" s="1115"/>
      <c r="HK10" s="1115"/>
      <c r="HL10" s="1115"/>
      <c r="HM10" s="1115"/>
      <c r="HN10" s="1115"/>
      <c r="HO10" s="1115"/>
      <c r="HP10" s="1115"/>
      <c r="HQ10" s="1115"/>
      <c r="HR10" s="1115"/>
      <c r="HS10" s="1115"/>
      <c r="HT10" s="1115"/>
      <c r="HU10" s="1115"/>
      <c r="HV10" s="1115"/>
      <c r="HW10" s="1115"/>
      <c r="HX10" s="1115"/>
      <c r="HY10" s="1115"/>
      <c r="HZ10" s="1115"/>
      <c r="IA10" s="1115"/>
      <c r="IB10" s="1115"/>
      <c r="IC10" s="1115"/>
      <c r="ID10" s="1115"/>
      <c r="IE10" s="1115"/>
      <c r="IF10" s="1115"/>
      <c r="IG10" s="1115"/>
      <c r="IH10" s="1115"/>
      <c r="II10" s="1115"/>
      <c r="IJ10" s="1115"/>
      <c r="IK10" s="1115"/>
      <c r="IL10" s="1115"/>
      <c r="IM10" s="1115"/>
      <c r="IN10" s="1115"/>
      <c r="IO10" s="1115"/>
      <c r="IP10" s="1115"/>
      <c r="IQ10" s="1115"/>
      <c r="IR10" s="1115"/>
      <c r="IS10" s="1115"/>
      <c r="IT10" s="1115"/>
      <c r="IU10" s="1115"/>
      <c r="IV10" s="1115"/>
      <c r="IW10" s="1115"/>
      <c r="IX10" s="1115"/>
      <c r="IY10" s="1115"/>
      <c r="IZ10" s="1115"/>
      <c r="JA10" s="1115"/>
      <c r="JB10" s="1115"/>
      <c r="JC10" s="1115"/>
      <c r="JD10" s="1115"/>
      <c r="JE10" s="1115"/>
      <c r="JF10" s="1115"/>
      <c r="JG10" s="1115"/>
      <c r="JH10" s="1115"/>
      <c r="JI10" s="1115"/>
      <c r="JJ10" s="1115"/>
      <c r="JK10" s="1115"/>
      <c r="JL10" s="1115"/>
      <c r="JM10" s="1115"/>
      <c r="JN10" s="1115"/>
      <c r="JO10" s="1115"/>
      <c r="JP10" s="1115"/>
      <c r="JQ10" s="1115"/>
      <c r="JR10" s="1115"/>
      <c r="JS10" s="1115"/>
      <c r="JT10" s="1115"/>
      <c r="JU10" s="1115"/>
      <c r="JV10" s="1115"/>
      <c r="JW10" s="1115"/>
      <c r="JX10" s="1115"/>
      <c r="JY10" s="1115"/>
      <c r="JZ10" s="1115"/>
      <c r="KA10" s="1115"/>
      <c r="KB10" s="1115"/>
      <c r="KC10" s="1115"/>
      <c r="KD10" s="1115"/>
      <c r="KE10" s="1115"/>
      <c r="KF10" s="1115"/>
      <c r="KG10" s="1115"/>
      <c r="KH10" s="1115"/>
      <c r="KI10" s="1115"/>
      <c r="KJ10" s="1115"/>
      <c r="KK10" s="1115"/>
      <c r="KL10" s="1115"/>
      <c r="KM10" s="1115"/>
      <c r="KN10" s="1115"/>
      <c r="KO10" s="1115"/>
      <c r="KP10" s="1115"/>
      <c r="KQ10" s="1115"/>
      <c r="KR10" s="1115"/>
      <c r="KS10" s="1115"/>
      <c r="KT10" s="1115"/>
      <c r="KU10" s="1115"/>
      <c r="KV10" s="1115"/>
      <c r="KW10" s="1115"/>
      <c r="KX10" s="1115"/>
      <c r="KY10" s="1115"/>
      <c r="KZ10" s="1115"/>
      <c r="LA10" s="1115"/>
      <c r="LB10" s="1115"/>
      <c r="LC10" s="1115"/>
      <c r="LD10" s="1115"/>
      <c r="LE10" s="1115"/>
      <c r="LF10" s="1115"/>
      <c r="LG10" s="1115"/>
      <c r="LH10" s="1115"/>
      <c r="LI10" s="1115"/>
      <c r="LJ10" s="1115"/>
      <c r="LK10" s="1115"/>
      <c r="LL10" s="1115"/>
      <c r="LM10" s="1115"/>
      <c r="LN10" s="1115"/>
      <c r="LO10" s="1115"/>
      <c r="LP10" s="1115"/>
      <c r="LQ10" s="1115"/>
      <c r="LR10" s="1115"/>
      <c r="LS10" s="1115"/>
      <c r="LT10" s="1115"/>
      <c r="LU10" s="1115"/>
      <c r="LV10" s="1115"/>
      <c r="LW10" s="1115"/>
      <c r="LX10" s="1115"/>
      <c r="LY10" s="1115"/>
      <c r="LZ10" s="1115"/>
      <c r="MA10" s="1115"/>
      <c r="MB10" s="1115"/>
      <c r="MC10" s="1115"/>
      <c r="MD10" s="1115"/>
      <c r="ME10" s="1115"/>
      <c r="MF10" s="1115"/>
      <c r="MG10" s="1115"/>
      <c r="MH10" s="1115"/>
      <c r="MI10" s="1115"/>
      <c r="MJ10" s="1115"/>
      <c r="MK10" s="1115"/>
      <c r="ML10" s="1115"/>
      <c r="MM10" s="1115"/>
      <c r="MN10" s="1115"/>
      <c r="MO10" s="1115"/>
      <c r="MP10" s="1115"/>
      <c r="MQ10" s="1115"/>
      <c r="MR10" s="1115"/>
      <c r="MS10" s="1115"/>
      <c r="MT10" s="1115"/>
      <c r="MU10" s="1115"/>
      <c r="MV10" s="1115"/>
      <c r="MW10" s="1115"/>
      <c r="MX10" s="1115"/>
      <c r="MY10" s="1115"/>
      <c r="MZ10" s="1115"/>
      <c r="NA10" s="1115"/>
      <c r="NB10" s="1115"/>
      <c r="NC10" s="1115"/>
      <c r="ND10" s="1115"/>
      <c r="NE10" s="1115"/>
      <c r="NF10" s="1115"/>
      <c r="NG10" s="1115"/>
      <c r="NH10" s="1115"/>
      <c r="NI10" s="1115"/>
      <c r="NJ10" s="1115"/>
      <c r="NK10" s="1115"/>
      <c r="NL10" s="1115"/>
      <c r="NM10" s="1115"/>
      <c r="NN10" s="1115"/>
      <c r="NO10" s="1115"/>
      <c r="NP10" s="1115"/>
      <c r="NQ10" s="1115"/>
      <c r="NR10" s="1115"/>
      <c r="NS10" s="1115"/>
      <c r="NT10" s="1115"/>
      <c r="NU10" s="1115"/>
      <c r="NV10" s="1115"/>
      <c r="NW10" s="1115"/>
      <c r="NX10" s="1115"/>
      <c r="NY10" s="1115"/>
      <c r="NZ10" s="1115"/>
      <c r="OA10" s="1115"/>
      <c r="OB10" s="1115"/>
      <c r="OC10" s="1115"/>
      <c r="OD10" s="1115"/>
      <c r="OE10" s="1115"/>
      <c r="OF10" s="1115"/>
      <c r="OG10" s="1115"/>
      <c r="OH10" s="1115"/>
      <c r="OI10" s="1115"/>
      <c r="OJ10" s="1115"/>
      <c r="OK10" s="1115"/>
      <c r="OL10" s="1115"/>
      <c r="OM10" s="1115"/>
      <c r="ON10" s="1115"/>
      <c r="OO10" s="1115"/>
      <c r="OP10" s="1115"/>
      <c r="OQ10" s="1115"/>
      <c r="OR10" s="1115"/>
      <c r="OS10" s="1115"/>
      <c r="OT10" s="1115"/>
      <c r="OU10" s="1115"/>
      <c r="OV10" s="1115"/>
      <c r="OW10" s="1115"/>
      <c r="OX10" s="1115"/>
      <c r="OY10" s="1115"/>
      <c r="OZ10" s="1115"/>
      <c r="PA10" s="1115"/>
      <c r="PB10" s="1115"/>
      <c r="PC10" s="1115"/>
      <c r="PD10" s="1115"/>
      <c r="PE10" s="1115"/>
      <c r="PF10" s="1115"/>
      <c r="PG10" s="1115"/>
      <c r="PH10" s="1115"/>
      <c r="PI10" s="1115"/>
      <c r="PJ10" s="1115"/>
      <c r="PK10" s="1115"/>
      <c r="PL10" s="1115"/>
      <c r="PM10" s="1115"/>
      <c r="PN10" s="1115"/>
      <c r="PO10" s="1115"/>
      <c r="PP10" s="1115"/>
      <c r="PQ10" s="1115"/>
      <c r="PR10" s="1115"/>
      <c r="PS10" s="1115"/>
      <c r="PT10" s="1115"/>
      <c r="PU10" s="1115"/>
      <c r="PV10" s="1115"/>
      <c r="PW10" s="1115"/>
      <c r="PX10" s="1115"/>
      <c r="PY10" s="1115"/>
      <c r="PZ10" s="1115"/>
      <c r="QA10" s="1115"/>
      <c r="QB10" s="1115"/>
      <c r="QC10" s="1115"/>
      <c r="QD10" s="1115"/>
      <c r="QE10" s="1115"/>
      <c r="QF10" s="1115"/>
      <c r="QG10" s="1115"/>
      <c r="QH10" s="1115"/>
      <c r="QI10" s="1115"/>
      <c r="QJ10" s="1115"/>
      <c r="QK10" s="1115"/>
      <c r="QL10" s="1115"/>
      <c r="QM10" s="1115"/>
      <c r="QN10" s="1115"/>
      <c r="QO10" s="1115"/>
      <c r="QP10" s="1115"/>
      <c r="QQ10" s="1115"/>
      <c r="QR10" s="1115"/>
      <c r="QS10" s="1115"/>
      <c r="QT10" s="1115"/>
      <c r="QU10" s="1115"/>
      <c r="QV10" s="1115"/>
      <c r="QW10" s="1115"/>
      <c r="QX10" s="1115"/>
      <c r="QY10" s="1115"/>
      <c r="QZ10" s="1115"/>
      <c r="RA10" s="1115"/>
      <c r="RB10" s="1115"/>
      <c r="RC10" s="1115"/>
      <c r="RD10" s="1115"/>
      <c r="RE10" s="1115"/>
      <c r="RF10" s="1115"/>
      <c r="RG10" s="1115"/>
      <c r="RH10" s="1115"/>
      <c r="RI10" s="1115"/>
      <c r="RJ10" s="1115"/>
      <c r="RK10" s="1115"/>
      <c r="RL10" s="1115"/>
      <c r="RM10" s="1115"/>
      <c r="RN10" s="1115"/>
      <c r="RO10" s="1115"/>
      <c r="RP10" s="1115"/>
      <c r="RQ10" s="1115"/>
      <c r="RR10" s="1115"/>
      <c r="RS10" s="1115"/>
      <c r="RT10" s="1115"/>
      <c r="RU10" s="1115"/>
      <c r="RV10" s="1115"/>
      <c r="RW10" s="1115"/>
      <c r="RX10" s="1115"/>
      <c r="RY10" s="1115"/>
      <c r="RZ10" s="1115"/>
      <c r="SA10" s="1115"/>
      <c r="SB10" s="1115"/>
      <c r="SC10" s="1115"/>
      <c r="SD10" s="1115"/>
      <c r="SE10" s="1115"/>
      <c r="SF10" s="1115"/>
      <c r="SG10" s="1115"/>
      <c r="SH10" s="1115"/>
      <c r="SI10" s="1115"/>
      <c r="SJ10" s="1115"/>
      <c r="SK10" s="1115"/>
      <c r="SL10" s="1115"/>
      <c r="SM10" s="1115"/>
      <c r="SN10" s="1115"/>
      <c r="SO10" s="1115"/>
      <c r="SP10" s="1115"/>
      <c r="SQ10" s="1115"/>
      <c r="SR10" s="1115"/>
      <c r="SS10" s="1115"/>
      <c r="ST10" s="1115"/>
      <c r="SU10" s="1115"/>
      <c r="SV10" s="1115"/>
      <c r="SW10" s="1115"/>
      <c r="SX10" s="1115"/>
      <c r="SY10" s="1115"/>
      <c r="SZ10" s="1115"/>
      <c r="TA10" s="1115"/>
      <c r="TB10" s="1115"/>
      <c r="TC10" s="1115"/>
      <c r="TD10" s="1115"/>
      <c r="TE10" s="1115"/>
      <c r="TF10" s="1115"/>
      <c r="TG10" s="1115"/>
      <c r="TH10" s="1115"/>
      <c r="TI10" s="1115"/>
      <c r="TJ10" s="1115"/>
      <c r="TK10" s="1115"/>
      <c r="TL10" s="1115"/>
      <c r="TM10" s="1115"/>
      <c r="TN10" s="1115"/>
      <c r="TO10" s="1115"/>
      <c r="TP10" s="1115"/>
      <c r="TQ10" s="1115"/>
      <c r="TR10" s="1115"/>
      <c r="TS10" s="1115"/>
      <c r="TT10" s="1115"/>
      <c r="TU10" s="1115"/>
      <c r="TV10" s="1115"/>
      <c r="TW10" s="1115"/>
      <c r="TX10" s="1115"/>
      <c r="TY10" s="1115"/>
      <c r="TZ10" s="1115"/>
      <c r="UA10" s="1115"/>
      <c r="UB10" s="1115"/>
      <c r="UC10" s="1115"/>
      <c r="UD10" s="1115"/>
      <c r="UE10" s="1115"/>
      <c r="UF10" s="1115"/>
      <c r="UG10" s="1115"/>
      <c r="UH10" s="1115"/>
      <c r="UI10" s="1115"/>
      <c r="UJ10" s="1115"/>
      <c r="UK10" s="1115"/>
      <c r="UL10" s="1115"/>
      <c r="UM10" s="1115"/>
      <c r="UN10" s="1115"/>
      <c r="UO10" s="1115"/>
      <c r="UP10" s="1115"/>
      <c r="UQ10" s="1115"/>
      <c r="UR10" s="1115"/>
      <c r="US10" s="1115"/>
      <c r="UT10" s="1115"/>
      <c r="UU10" s="1115"/>
      <c r="UV10" s="1115"/>
      <c r="UW10" s="1115"/>
      <c r="UX10" s="1115"/>
      <c r="UY10" s="1115"/>
      <c r="UZ10" s="1115"/>
      <c r="VA10" s="1115"/>
      <c r="VB10" s="1115"/>
      <c r="VC10" s="1115"/>
      <c r="VD10" s="1115"/>
      <c r="VE10" s="1115"/>
      <c r="VF10" s="1115"/>
      <c r="VG10" s="1115"/>
      <c r="VH10" s="1115"/>
      <c r="VI10" s="1115"/>
      <c r="VJ10" s="1115"/>
      <c r="VK10" s="1115"/>
      <c r="VL10" s="1115"/>
      <c r="VM10" s="1115"/>
      <c r="VN10" s="1115"/>
      <c r="VO10" s="1115"/>
      <c r="VP10" s="1115"/>
      <c r="VQ10" s="1115"/>
      <c r="VR10" s="1115"/>
      <c r="VS10" s="1115"/>
      <c r="VT10" s="1115"/>
      <c r="VU10" s="1115"/>
      <c r="VV10" s="1115"/>
      <c r="VW10" s="1115"/>
      <c r="VX10" s="1115"/>
      <c r="VY10" s="1115"/>
      <c r="VZ10" s="1115"/>
      <c r="WA10" s="1115"/>
      <c r="WB10" s="1115"/>
      <c r="WC10" s="1115"/>
      <c r="WD10" s="1115"/>
      <c r="WE10" s="1115"/>
      <c r="WF10" s="1115"/>
      <c r="WG10" s="1115"/>
      <c r="WH10" s="1115"/>
      <c r="WI10" s="1115"/>
      <c r="WJ10" s="1115"/>
      <c r="WK10" s="1115"/>
      <c r="WL10" s="1115"/>
      <c r="WM10" s="1115"/>
      <c r="WN10" s="1115"/>
      <c r="WO10" s="1115"/>
      <c r="WP10" s="1115"/>
      <c r="WQ10" s="1115"/>
      <c r="WR10" s="1115"/>
      <c r="WS10" s="1115"/>
      <c r="WT10" s="1115"/>
      <c r="WU10" s="1115"/>
      <c r="WV10" s="1115"/>
      <c r="WW10" s="1115"/>
      <c r="WX10" s="1115"/>
      <c r="WY10" s="1115"/>
      <c r="WZ10" s="1115"/>
      <c r="XA10" s="1115"/>
      <c r="XB10" s="1115"/>
      <c r="XC10" s="1115"/>
      <c r="XD10" s="1115"/>
      <c r="XE10" s="1115"/>
      <c r="XF10" s="1115"/>
      <c r="XG10" s="1115"/>
      <c r="XH10" s="1115"/>
      <c r="XI10" s="1115"/>
      <c r="XJ10" s="1115"/>
      <c r="XK10" s="1115"/>
      <c r="XL10" s="1115"/>
      <c r="XM10" s="1115"/>
      <c r="XN10" s="1115"/>
      <c r="XO10" s="1115"/>
      <c r="XP10" s="1115"/>
      <c r="XQ10" s="1115"/>
      <c r="XR10" s="1115"/>
      <c r="XS10" s="1115"/>
      <c r="XT10" s="1115"/>
      <c r="XU10" s="1115"/>
      <c r="XV10" s="1115"/>
      <c r="XW10" s="1115"/>
      <c r="XX10" s="1115"/>
      <c r="XY10" s="1115"/>
      <c r="XZ10" s="1115"/>
      <c r="YA10" s="1115"/>
      <c r="YB10" s="1115"/>
      <c r="YC10" s="1115"/>
      <c r="YD10" s="1115"/>
      <c r="YE10" s="1115"/>
      <c r="YF10" s="1115"/>
      <c r="YG10" s="1115"/>
      <c r="YH10" s="1115"/>
      <c r="YI10" s="1115"/>
      <c r="YJ10" s="1115"/>
      <c r="YK10" s="1115"/>
      <c r="YL10" s="1115"/>
      <c r="YM10" s="1115"/>
      <c r="YN10" s="1115"/>
      <c r="YO10" s="1115"/>
      <c r="YP10" s="1115"/>
      <c r="YQ10" s="1115"/>
      <c r="YR10" s="1115"/>
      <c r="YS10" s="1115"/>
      <c r="YT10" s="1115"/>
      <c r="YU10" s="1115"/>
      <c r="YV10" s="1115"/>
      <c r="YW10" s="1115"/>
      <c r="YX10" s="1115"/>
      <c r="YY10" s="1115"/>
      <c r="YZ10" s="1115"/>
      <c r="ZA10" s="1115"/>
      <c r="ZB10" s="1115"/>
      <c r="ZC10" s="1115"/>
      <c r="ZD10" s="1115"/>
      <c r="ZE10" s="1115"/>
      <c r="ZF10" s="1115"/>
      <c r="ZG10" s="1115"/>
      <c r="ZH10" s="1115"/>
      <c r="ZI10" s="1115"/>
      <c r="ZJ10" s="1115"/>
      <c r="ZK10" s="1115"/>
      <c r="ZL10" s="1115"/>
      <c r="ZM10" s="1115"/>
      <c r="ZN10" s="1115"/>
      <c r="ZO10" s="1115"/>
      <c r="ZP10" s="1115"/>
      <c r="ZQ10" s="1115"/>
      <c r="ZR10" s="1115"/>
      <c r="ZS10" s="1115"/>
      <c r="ZT10" s="1115"/>
      <c r="ZU10" s="1115"/>
      <c r="ZV10" s="1115"/>
      <c r="ZW10" s="1115"/>
      <c r="ZX10" s="1115"/>
      <c r="ZY10" s="1115"/>
      <c r="ZZ10" s="1115"/>
      <c r="AAA10" s="1115"/>
      <c r="AAB10" s="1115"/>
      <c r="AAC10" s="1115"/>
      <c r="AAD10" s="1115"/>
      <c r="AAE10" s="1115"/>
      <c r="AAF10" s="1115"/>
      <c r="AAG10" s="1115"/>
      <c r="AAH10" s="1115"/>
      <c r="AAI10" s="1115"/>
      <c r="AAJ10" s="1115"/>
      <c r="AAK10" s="1115"/>
      <c r="AAL10" s="1115"/>
      <c r="AAM10" s="1115"/>
      <c r="AAN10" s="1115"/>
      <c r="AAO10" s="1115"/>
      <c r="AAP10" s="1115"/>
      <c r="AAQ10" s="1115"/>
      <c r="AAR10" s="1115"/>
      <c r="AAS10" s="1115"/>
      <c r="AAT10" s="1115"/>
      <c r="AAU10" s="1115"/>
      <c r="AAV10" s="1115"/>
      <c r="AAW10" s="1115"/>
      <c r="AAX10" s="1115"/>
      <c r="AAY10" s="1115"/>
      <c r="AAZ10" s="1115"/>
      <c r="ABA10" s="1115"/>
      <c r="ABB10" s="1115"/>
      <c r="ABC10" s="1115"/>
      <c r="ABD10" s="1115"/>
      <c r="ABE10" s="1115"/>
      <c r="ABF10" s="1115"/>
      <c r="ABG10" s="1115"/>
      <c r="ABH10" s="1115"/>
      <c r="ABI10" s="1115"/>
      <c r="ABJ10" s="1115"/>
      <c r="ABK10" s="1115"/>
      <c r="ABL10" s="1115"/>
      <c r="ABM10" s="1115"/>
      <c r="ABN10" s="1115"/>
      <c r="ABO10" s="1115"/>
      <c r="ABP10" s="1115"/>
      <c r="ABQ10" s="1115"/>
      <c r="ABR10" s="1115"/>
      <c r="ABS10" s="1115"/>
      <c r="ABT10" s="1115"/>
      <c r="ABU10" s="1115"/>
      <c r="ABV10" s="1115"/>
      <c r="ABW10" s="1115"/>
      <c r="ABX10" s="1115"/>
      <c r="ABY10" s="1115"/>
      <c r="ABZ10" s="1115"/>
      <c r="ACA10" s="1115"/>
      <c r="ACB10" s="1115"/>
      <c r="ACC10" s="1115"/>
      <c r="ACD10" s="1115"/>
      <c r="ACE10" s="1115"/>
      <c r="ACF10" s="1115"/>
      <c r="ACG10" s="1115"/>
      <c r="ACH10" s="1115"/>
      <c r="ACI10" s="1115"/>
      <c r="ACJ10" s="1115"/>
      <c r="ACK10" s="1115"/>
      <c r="ACL10" s="1115"/>
      <c r="ACM10" s="1115"/>
      <c r="ACN10" s="1115"/>
      <c r="ACO10" s="1115"/>
      <c r="ACP10" s="1115"/>
      <c r="ACQ10" s="1115"/>
      <c r="ACR10" s="1115"/>
      <c r="ACS10" s="1115"/>
      <c r="ACT10" s="1115"/>
      <c r="ACU10" s="1115"/>
      <c r="ACV10" s="1115"/>
      <c r="ACW10" s="1115"/>
      <c r="ACX10" s="1115"/>
      <c r="ACY10" s="1115"/>
      <c r="ACZ10" s="1115"/>
      <c r="ADA10" s="1115"/>
      <c r="ADB10" s="1115"/>
      <c r="ADC10" s="1115"/>
      <c r="ADD10" s="1115"/>
      <c r="ADE10" s="1115"/>
      <c r="ADF10" s="1115"/>
      <c r="ADG10" s="1115"/>
      <c r="ADH10" s="1115"/>
      <c r="ADI10" s="1115"/>
      <c r="ADJ10" s="1115"/>
      <c r="ADK10" s="1115"/>
      <c r="ADL10" s="1115"/>
      <c r="ADM10" s="1115"/>
      <c r="ADN10" s="1115"/>
      <c r="ADO10" s="1115"/>
      <c r="ADP10" s="1115"/>
      <c r="ADQ10" s="1115"/>
      <c r="ADR10" s="1115"/>
      <c r="ADS10" s="1115"/>
      <c r="ADT10" s="1115"/>
      <c r="ADU10" s="1115"/>
      <c r="ADV10" s="1115"/>
      <c r="ADW10" s="1115"/>
      <c r="ADX10" s="1115"/>
      <c r="ADY10" s="1115"/>
      <c r="ADZ10" s="1115"/>
      <c r="AEA10" s="1115"/>
      <c r="AEB10" s="1115"/>
      <c r="AEC10" s="1115"/>
      <c r="AED10" s="1115"/>
      <c r="AEE10" s="1115"/>
      <c r="AEF10" s="1115"/>
      <c r="AEG10" s="1115"/>
      <c r="AEH10" s="1115"/>
      <c r="AEI10" s="1115"/>
      <c r="AEJ10" s="1115"/>
      <c r="AEK10" s="1115"/>
      <c r="AEL10" s="1115"/>
      <c r="AEM10" s="1115"/>
      <c r="AEN10" s="1115"/>
      <c r="AEO10" s="1115"/>
      <c r="AEP10" s="1115"/>
      <c r="AEQ10" s="1115"/>
      <c r="AER10" s="1115"/>
      <c r="AES10" s="1115"/>
      <c r="AET10" s="1115"/>
      <c r="AEU10" s="1115"/>
      <c r="AEV10" s="1115"/>
      <c r="AEW10" s="1115"/>
      <c r="AEX10" s="1115"/>
      <c r="AEY10" s="1115"/>
      <c r="AEZ10" s="1115"/>
      <c r="AFA10" s="1115"/>
      <c r="AFB10" s="1115"/>
      <c r="AFC10" s="1115"/>
      <c r="AFD10" s="1115"/>
      <c r="AFE10" s="1115"/>
      <c r="AFF10" s="1115"/>
      <c r="AFG10" s="1115"/>
      <c r="AFH10" s="1115"/>
      <c r="AFI10" s="1115"/>
      <c r="AFJ10" s="1115"/>
      <c r="AFK10" s="1115"/>
      <c r="AFL10" s="1115"/>
      <c r="AFM10" s="1115"/>
      <c r="AFN10" s="1115"/>
      <c r="AFO10" s="1115"/>
      <c r="AFP10" s="1115"/>
      <c r="AFQ10" s="1115"/>
      <c r="AFR10" s="1115"/>
      <c r="AFS10" s="1115"/>
      <c r="AFT10" s="1115"/>
      <c r="AFU10" s="1115"/>
      <c r="AFV10" s="1115"/>
      <c r="AFW10" s="1115"/>
      <c r="AFX10" s="1115"/>
      <c r="AFY10" s="1115"/>
      <c r="AFZ10" s="1115"/>
      <c r="AGA10" s="1115"/>
      <c r="AGB10" s="1115"/>
      <c r="AGC10" s="1115"/>
      <c r="AGD10" s="1115"/>
      <c r="AGE10" s="1115"/>
      <c r="AGF10" s="1115"/>
      <c r="AGG10" s="1115"/>
      <c r="AGH10" s="1115"/>
      <c r="AGI10" s="1115"/>
      <c r="AGJ10" s="1115"/>
      <c r="AGK10" s="1115"/>
      <c r="AGL10" s="1115"/>
      <c r="AGM10" s="1115"/>
      <c r="AGN10" s="1115"/>
      <c r="AGO10" s="1115"/>
      <c r="AGP10" s="1115"/>
      <c r="AGQ10" s="1115"/>
      <c r="AGR10" s="1115"/>
      <c r="AGS10" s="1115"/>
      <c r="AGT10" s="1115"/>
      <c r="AGU10" s="1115"/>
      <c r="AGV10" s="1115"/>
      <c r="AGW10" s="1115"/>
      <c r="AGX10" s="1115"/>
      <c r="AGY10" s="1115"/>
      <c r="AGZ10" s="1115"/>
      <c r="AHA10" s="1115"/>
      <c r="AHB10" s="1115"/>
      <c r="AHC10" s="1115"/>
      <c r="AHD10" s="1115"/>
      <c r="AHE10" s="1115"/>
      <c r="AHF10" s="1115"/>
      <c r="AHG10" s="1115"/>
      <c r="AHH10" s="1115"/>
      <c r="AHI10" s="1115"/>
      <c r="AHJ10" s="1115"/>
      <c r="AHK10" s="1115"/>
      <c r="AHL10" s="1115"/>
      <c r="AHM10" s="1115"/>
      <c r="AHN10" s="1115"/>
      <c r="AHO10" s="1115"/>
      <c r="AHP10" s="1115"/>
      <c r="AHQ10" s="1115"/>
      <c r="AHR10" s="1115"/>
      <c r="AHS10" s="1115"/>
      <c r="AHT10" s="1115"/>
      <c r="AHU10" s="1115"/>
      <c r="AHV10" s="1115"/>
      <c r="AHW10" s="1115"/>
      <c r="AHX10" s="1115"/>
      <c r="AHY10" s="1115"/>
      <c r="AHZ10" s="1115"/>
      <c r="AIA10" s="1115"/>
      <c r="AIB10" s="1115"/>
      <c r="AIC10" s="1115"/>
      <c r="AID10" s="1115"/>
      <c r="AIE10" s="1115"/>
      <c r="AIF10" s="1115"/>
      <c r="AIG10" s="1115"/>
      <c r="AIH10" s="1115"/>
      <c r="AII10" s="1115"/>
      <c r="AIJ10" s="1115"/>
      <c r="AIK10" s="1115"/>
      <c r="AIL10" s="1115"/>
      <c r="AIM10" s="1115"/>
      <c r="AIN10" s="1115"/>
      <c r="AIO10" s="1115"/>
      <c r="AIP10" s="1115"/>
      <c r="AIQ10" s="1115"/>
      <c r="AIR10" s="1115"/>
      <c r="AIS10" s="1115"/>
      <c r="AIT10" s="1115"/>
      <c r="AIU10" s="1115"/>
      <c r="AIV10" s="1115"/>
      <c r="AIW10" s="1115"/>
      <c r="AIX10" s="1115"/>
      <c r="AIY10" s="1115"/>
      <c r="AIZ10" s="1115"/>
      <c r="AJA10" s="1115"/>
      <c r="AJB10" s="1115"/>
      <c r="AJC10" s="1115"/>
      <c r="AJD10" s="1115"/>
      <c r="AJE10" s="1115"/>
      <c r="AJF10" s="1115"/>
      <c r="AJG10" s="1115"/>
      <c r="AJH10" s="1115"/>
      <c r="AJI10" s="1115"/>
      <c r="AJJ10" s="1115"/>
      <c r="AJK10" s="1115"/>
      <c r="AJL10" s="1115"/>
      <c r="AJM10" s="1115"/>
      <c r="AJN10" s="1115"/>
      <c r="AJO10" s="1115"/>
      <c r="AJP10" s="1115"/>
      <c r="AJQ10" s="1115"/>
      <c r="AJR10" s="1115"/>
      <c r="AJS10" s="1115"/>
      <c r="AJT10" s="1115"/>
      <c r="AJU10" s="1115"/>
      <c r="AJV10" s="1115"/>
      <c r="AJW10" s="1115"/>
      <c r="AJX10" s="1115"/>
      <c r="AJY10" s="1115"/>
      <c r="AJZ10" s="1115"/>
      <c r="AKA10" s="1115"/>
      <c r="AKB10" s="1115"/>
      <c r="AKC10" s="1115"/>
      <c r="AKD10" s="1115"/>
      <c r="AKE10" s="1115"/>
      <c r="AKF10" s="1115"/>
      <c r="AKG10" s="1115"/>
      <c r="AKH10" s="1115"/>
      <c r="AKI10" s="1115"/>
      <c r="AKJ10" s="1115"/>
      <c r="AKK10" s="1115"/>
      <c r="AKL10" s="1115"/>
      <c r="AKM10" s="1115"/>
      <c r="AKN10" s="1115"/>
      <c r="AKO10" s="1115"/>
      <c r="AKP10" s="1115"/>
      <c r="AKQ10" s="1115"/>
      <c r="AKR10" s="1115"/>
      <c r="AKS10" s="1115"/>
      <c r="AKT10" s="1115"/>
      <c r="AKU10" s="1115"/>
      <c r="AKV10" s="1115"/>
      <c r="AKW10" s="1115"/>
      <c r="AKX10" s="1115"/>
      <c r="AKY10" s="1115"/>
      <c r="AKZ10" s="1115"/>
      <c r="ALA10" s="1115"/>
      <c r="ALB10" s="1115"/>
      <c r="ALC10" s="1115"/>
      <c r="ALD10" s="1115"/>
      <c r="ALE10" s="1115"/>
      <c r="ALF10" s="1115"/>
      <c r="ALG10" s="1115"/>
      <c r="ALH10" s="1115"/>
      <c r="ALI10" s="1115"/>
      <c r="ALJ10" s="1115"/>
      <c r="ALK10" s="1115"/>
      <c r="ALL10" s="1115"/>
      <c r="ALM10" s="1115"/>
      <c r="ALN10" s="1115"/>
      <c r="ALO10" s="1115"/>
      <c r="ALP10" s="1115"/>
      <c r="ALQ10" s="1115"/>
      <c r="ALR10" s="1115"/>
      <c r="ALS10" s="1115"/>
      <c r="ALT10" s="1115"/>
      <c r="ALU10" s="1115"/>
      <c r="ALV10" s="1115"/>
      <c r="ALW10" s="1115"/>
      <c r="ALX10" s="1115"/>
      <c r="ALY10" s="1115"/>
      <c r="ALZ10" s="1115"/>
      <c r="AMA10" s="1115"/>
      <c r="AMB10" s="1115"/>
      <c r="AMC10" s="1115"/>
      <c r="AMD10" s="1115"/>
      <c r="AME10" s="1115"/>
      <c r="AMF10" s="1115"/>
      <c r="AMG10" s="1115"/>
      <c r="AMH10" s="1115"/>
      <c r="AMI10" s="1115"/>
      <c r="AMJ10" s="1115"/>
      <c r="AMK10" s="1115"/>
      <c r="AML10" s="1115"/>
      <c r="AMM10" s="1115"/>
      <c r="AMN10" s="1115"/>
      <c r="AMO10" s="1115"/>
      <c r="AMP10" s="1115"/>
      <c r="AMQ10" s="1115"/>
      <c r="AMR10" s="1115"/>
      <c r="AMS10" s="1115"/>
      <c r="AMT10" s="1115"/>
      <c r="AMU10" s="1115"/>
      <c r="AMV10" s="1115"/>
      <c r="AMW10" s="1115"/>
      <c r="AMX10" s="1115"/>
      <c r="AMY10" s="1115"/>
      <c r="AMZ10" s="1115"/>
      <c r="ANA10" s="1115"/>
      <c r="ANB10" s="1115"/>
      <c r="ANC10" s="1115"/>
      <c r="AND10" s="1115"/>
      <c r="ANE10" s="1115"/>
      <c r="ANF10" s="1115"/>
      <c r="ANG10" s="1115"/>
      <c r="ANH10" s="1115"/>
      <c r="ANI10" s="1115"/>
      <c r="ANJ10" s="1115"/>
      <c r="ANK10" s="1115"/>
      <c r="ANL10" s="1115"/>
      <c r="ANM10" s="1115"/>
      <c r="ANN10" s="1115"/>
      <c r="ANO10" s="1115"/>
      <c r="ANP10" s="1115"/>
      <c r="ANQ10" s="1115"/>
      <c r="ANR10" s="1115"/>
      <c r="ANS10" s="1115"/>
      <c r="ANT10" s="1115"/>
      <c r="ANU10" s="1115"/>
      <c r="ANV10" s="1115"/>
      <c r="ANW10" s="1115"/>
      <c r="ANX10" s="1115"/>
      <c r="ANY10" s="1115"/>
      <c r="ANZ10" s="1115"/>
      <c r="AOA10" s="1115"/>
      <c r="AOB10" s="1115"/>
      <c r="AOC10" s="1115"/>
      <c r="AOD10" s="1115"/>
      <c r="AOE10" s="1115"/>
      <c r="AOF10" s="1115"/>
      <c r="AOG10" s="1115"/>
      <c r="AOH10" s="1115"/>
      <c r="AOI10" s="1115"/>
      <c r="AOJ10" s="1115"/>
      <c r="AOK10" s="1115"/>
      <c r="AOL10" s="1115"/>
      <c r="AOM10" s="1115"/>
      <c r="AON10" s="1115"/>
      <c r="AOO10" s="1115"/>
      <c r="AOP10" s="1115"/>
      <c r="AOQ10" s="1115"/>
      <c r="AOR10" s="1115"/>
      <c r="AOS10" s="1115"/>
      <c r="AOT10" s="1115"/>
      <c r="AOU10" s="1115"/>
      <c r="AOV10" s="1115"/>
      <c r="AOW10" s="1115"/>
      <c r="AOX10" s="1115"/>
      <c r="AOY10" s="1115"/>
      <c r="AOZ10" s="1115"/>
      <c r="APA10" s="1115"/>
      <c r="APB10" s="1115"/>
      <c r="APC10" s="1115"/>
      <c r="APD10" s="1115"/>
      <c r="APE10" s="1115"/>
      <c r="APF10" s="1115"/>
      <c r="APG10" s="1115"/>
      <c r="APH10" s="1115"/>
      <c r="API10" s="1115"/>
      <c r="APJ10" s="1115"/>
      <c r="APK10" s="1115"/>
      <c r="APL10" s="1115"/>
      <c r="APM10" s="1115"/>
      <c r="APN10" s="1115"/>
      <c r="APO10" s="1115"/>
      <c r="APP10" s="1115"/>
      <c r="APQ10" s="1115"/>
      <c r="APR10" s="1115"/>
      <c r="APS10" s="1115"/>
      <c r="APT10" s="1115"/>
      <c r="APU10" s="1115"/>
      <c r="APV10" s="1115"/>
      <c r="APW10" s="1115"/>
      <c r="APX10" s="1115"/>
      <c r="APY10" s="1115"/>
      <c r="APZ10" s="1115"/>
      <c r="AQA10" s="1115"/>
      <c r="AQB10" s="1115"/>
      <c r="AQC10" s="1115"/>
      <c r="AQD10" s="1115"/>
      <c r="AQE10" s="1115"/>
      <c r="AQF10" s="1115"/>
      <c r="AQG10" s="1115"/>
      <c r="AQH10" s="1115"/>
      <c r="AQI10" s="1115"/>
      <c r="AQJ10" s="1115"/>
      <c r="AQK10" s="1115"/>
      <c r="AQL10" s="1115"/>
      <c r="AQM10" s="1115"/>
      <c r="AQN10" s="1115"/>
      <c r="AQO10" s="1115"/>
      <c r="AQP10" s="1115"/>
      <c r="AQQ10" s="1115"/>
      <c r="AQR10" s="1115"/>
      <c r="AQS10" s="1115"/>
      <c r="AQT10" s="1115"/>
      <c r="AQU10" s="1115"/>
      <c r="AQV10" s="1115"/>
      <c r="AQW10" s="1115"/>
      <c r="AQX10" s="1115"/>
      <c r="AQY10" s="1115"/>
      <c r="AQZ10" s="1115"/>
      <c r="ARA10" s="1115"/>
      <c r="ARB10" s="1115"/>
      <c r="ARC10" s="1115"/>
      <c r="ARD10" s="1115"/>
      <c r="ARE10" s="1115"/>
      <c r="ARF10" s="1115"/>
      <c r="ARG10" s="1115"/>
      <c r="ARH10" s="1115"/>
      <c r="ARI10" s="1115"/>
      <c r="ARJ10" s="1115"/>
      <c r="ARK10" s="1115"/>
      <c r="ARL10" s="1115"/>
      <c r="ARM10" s="1115"/>
      <c r="ARN10" s="1115"/>
      <c r="ARO10" s="1115"/>
      <c r="ARP10" s="1115"/>
      <c r="ARQ10" s="1115"/>
      <c r="ARR10" s="1115"/>
      <c r="ARS10" s="1115"/>
      <c r="ART10" s="1115"/>
      <c r="ARU10" s="1115"/>
      <c r="ARV10" s="1115"/>
      <c r="ARW10" s="1115"/>
      <c r="ARX10" s="1115"/>
      <c r="ARY10" s="1115"/>
      <c r="ARZ10" s="1115"/>
      <c r="ASA10" s="1115"/>
      <c r="ASB10" s="1115"/>
      <c r="ASC10" s="1115"/>
      <c r="ASD10" s="1115"/>
      <c r="ASE10" s="1115"/>
      <c r="ASF10" s="1115"/>
      <c r="ASG10" s="1115"/>
      <c r="ASH10" s="1115"/>
      <c r="ASI10" s="1115"/>
      <c r="ASJ10" s="1115"/>
      <c r="ASK10" s="1115"/>
      <c r="ASL10" s="1115"/>
      <c r="ASM10" s="1115"/>
      <c r="ASN10" s="1115"/>
      <c r="ASO10" s="1115"/>
      <c r="ASP10" s="1115"/>
      <c r="ASQ10" s="1115"/>
      <c r="ASR10" s="1115"/>
      <c r="ASS10" s="1115"/>
      <c r="AST10" s="1115"/>
      <c r="ASU10" s="1115"/>
      <c r="ASV10" s="1115"/>
      <c r="ASW10" s="1115"/>
      <c r="ASX10" s="1115"/>
      <c r="ASY10" s="1115"/>
      <c r="ASZ10" s="1115"/>
      <c r="ATA10" s="1115"/>
      <c r="ATB10" s="1115"/>
      <c r="ATC10" s="1115"/>
      <c r="ATD10" s="1115"/>
      <c r="ATE10" s="1115"/>
      <c r="ATF10" s="1115"/>
      <c r="ATG10" s="1115"/>
      <c r="ATH10" s="1115"/>
      <c r="ATI10" s="1115"/>
      <c r="ATJ10" s="1115"/>
      <c r="ATK10" s="1115"/>
      <c r="ATL10" s="1115"/>
      <c r="ATM10" s="1115"/>
      <c r="ATN10" s="1115"/>
      <c r="ATO10" s="1115"/>
      <c r="ATP10" s="1115"/>
      <c r="ATQ10" s="1115"/>
      <c r="ATR10" s="1115"/>
      <c r="ATS10" s="1115"/>
      <c r="ATT10" s="1115"/>
      <c r="ATU10" s="1115"/>
      <c r="ATV10" s="1115"/>
      <c r="ATW10" s="1115"/>
      <c r="ATX10" s="1115"/>
      <c r="ATY10" s="1115"/>
      <c r="ATZ10" s="1115"/>
      <c r="AUA10" s="1115"/>
      <c r="AUB10" s="1115"/>
      <c r="AUC10" s="1115"/>
      <c r="AUD10" s="1115"/>
      <c r="AUE10" s="1115"/>
      <c r="AUF10" s="1115"/>
      <c r="AUG10" s="1115"/>
      <c r="AUH10" s="1115"/>
      <c r="AUI10" s="1115"/>
      <c r="AUJ10" s="1115"/>
      <c r="AUK10" s="1115"/>
      <c r="AUL10" s="1115"/>
      <c r="AUM10" s="1115"/>
      <c r="AUN10" s="1115"/>
      <c r="AUO10" s="1115"/>
      <c r="AUP10" s="1115"/>
      <c r="AUQ10" s="1115"/>
      <c r="AUR10" s="1115"/>
      <c r="AUS10" s="1115"/>
      <c r="AUT10" s="1115"/>
      <c r="AUU10" s="1115"/>
      <c r="AUV10" s="1115"/>
      <c r="AUW10" s="1115"/>
      <c r="AUX10" s="1115"/>
      <c r="AUY10" s="1115"/>
      <c r="AUZ10" s="1115"/>
      <c r="AVA10" s="1115"/>
      <c r="AVB10" s="1115"/>
      <c r="AVC10" s="1115"/>
      <c r="AVD10" s="1115"/>
      <c r="AVE10" s="1115"/>
      <c r="AVF10" s="1115"/>
      <c r="AVG10" s="1115"/>
      <c r="AVH10" s="1115"/>
      <c r="AVI10" s="1115"/>
      <c r="AVJ10" s="1115"/>
      <c r="AVK10" s="1115"/>
      <c r="AVL10" s="1115"/>
      <c r="AVM10" s="1115"/>
      <c r="AVN10" s="1115"/>
      <c r="AVO10" s="1115"/>
      <c r="AVP10" s="1115"/>
      <c r="AVQ10" s="1115"/>
      <c r="AVR10" s="1115"/>
      <c r="AVS10" s="1115"/>
      <c r="AVT10" s="1115"/>
      <c r="AVU10" s="1115"/>
      <c r="AVV10" s="1115"/>
      <c r="AVW10" s="1115"/>
      <c r="AVX10" s="1115"/>
      <c r="AVY10" s="1115"/>
      <c r="AVZ10" s="1115"/>
      <c r="AWA10" s="1115"/>
      <c r="AWB10" s="1115"/>
      <c r="AWC10" s="1115"/>
      <c r="AWD10" s="1115"/>
      <c r="AWE10" s="1115"/>
      <c r="AWF10" s="1115"/>
      <c r="AWG10" s="1115"/>
      <c r="AWH10" s="1115"/>
      <c r="AWI10" s="1115"/>
      <c r="AWJ10" s="1115"/>
      <c r="AWK10" s="1115"/>
      <c r="AWL10" s="1115"/>
      <c r="AWM10" s="1115"/>
      <c r="AWN10" s="1115"/>
      <c r="AWO10" s="1115"/>
      <c r="AWP10" s="1115"/>
      <c r="AWQ10" s="1115"/>
      <c r="AWR10" s="1115"/>
      <c r="AWS10" s="1115"/>
      <c r="AWT10" s="1115"/>
      <c r="AWU10" s="1115"/>
      <c r="AWV10" s="1115"/>
      <c r="AWW10" s="1115"/>
      <c r="AWX10" s="1115"/>
      <c r="AWY10" s="1115"/>
      <c r="AWZ10" s="1115"/>
      <c r="AXA10" s="1115"/>
      <c r="AXB10" s="1115"/>
      <c r="AXC10" s="1115"/>
      <c r="AXD10" s="1115"/>
      <c r="AXE10" s="1115"/>
      <c r="AXF10" s="1115"/>
      <c r="AXG10" s="1115"/>
      <c r="AXH10" s="1115"/>
      <c r="AXI10" s="1115"/>
      <c r="AXJ10" s="1115"/>
      <c r="AXK10" s="1115"/>
      <c r="AXL10" s="1115"/>
      <c r="AXM10" s="1115"/>
      <c r="AXN10" s="1115"/>
      <c r="AXO10" s="1115"/>
      <c r="AXP10" s="1115"/>
      <c r="AXQ10" s="1115"/>
      <c r="AXR10" s="1115"/>
      <c r="AXS10" s="1115"/>
      <c r="AXT10" s="1115"/>
      <c r="AXU10" s="1115"/>
      <c r="AXV10" s="1115"/>
      <c r="AXW10" s="1115"/>
      <c r="AXX10" s="1115"/>
      <c r="AXY10" s="1115"/>
      <c r="AXZ10" s="1115"/>
      <c r="AYA10" s="1115"/>
      <c r="AYB10" s="1115"/>
      <c r="AYC10" s="1115"/>
      <c r="AYD10" s="1115"/>
      <c r="AYE10" s="1115"/>
      <c r="AYF10" s="1115"/>
      <c r="AYG10" s="1115"/>
      <c r="AYH10" s="1115"/>
      <c r="AYI10" s="1115"/>
      <c r="AYJ10" s="1115"/>
      <c r="AYK10" s="1115"/>
      <c r="AYL10" s="1115"/>
      <c r="AYM10" s="1115"/>
      <c r="AYN10" s="1115"/>
      <c r="AYO10" s="1115"/>
      <c r="AYP10" s="1115"/>
      <c r="AYQ10" s="1115"/>
      <c r="AYR10" s="1115"/>
      <c r="AYS10" s="1115"/>
      <c r="AYT10" s="1115"/>
      <c r="AYU10" s="1115"/>
      <c r="AYV10" s="1115"/>
      <c r="AYW10" s="1115"/>
      <c r="AYX10" s="1115"/>
      <c r="AYY10" s="1115"/>
      <c r="AYZ10" s="1115"/>
      <c r="AZA10" s="1115"/>
      <c r="AZB10" s="1115"/>
      <c r="AZC10" s="1115"/>
      <c r="AZD10" s="1115"/>
      <c r="AZE10" s="1115"/>
      <c r="AZF10" s="1115"/>
      <c r="AZG10" s="1115"/>
      <c r="AZH10" s="1115"/>
      <c r="AZI10" s="1115"/>
      <c r="AZJ10" s="1115"/>
      <c r="AZK10" s="1115"/>
      <c r="AZL10" s="1115"/>
      <c r="AZM10" s="1115"/>
      <c r="AZN10" s="1115"/>
      <c r="AZO10" s="1115"/>
      <c r="AZP10" s="1115"/>
      <c r="AZQ10" s="1115"/>
      <c r="AZR10" s="1115"/>
      <c r="AZS10" s="1115"/>
      <c r="AZT10" s="1115"/>
      <c r="AZU10" s="1115"/>
      <c r="AZV10" s="1115"/>
      <c r="AZW10" s="1115"/>
      <c r="AZX10" s="1115"/>
      <c r="AZY10" s="1115"/>
      <c r="AZZ10" s="1115"/>
      <c r="BAA10" s="1115"/>
      <c r="BAB10" s="1115"/>
      <c r="BAC10" s="1115"/>
      <c r="BAD10" s="1115"/>
      <c r="BAE10" s="1115"/>
      <c r="BAF10" s="1115"/>
      <c r="BAG10" s="1115"/>
      <c r="BAH10" s="1115"/>
      <c r="BAI10" s="1115"/>
      <c r="BAJ10" s="1115"/>
      <c r="BAK10" s="1115"/>
      <c r="BAL10" s="1115"/>
      <c r="BAM10" s="1115"/>
      <c r="BAN10" s="1115"/>
      <c r="BAO10" s="1115"/>
      <c r="BAP10" s="1115"/>
      <c r="BAQ10" s="1115"/>
      <c r="BAR10" s="1115"/>
      <c r="BAS10" s="1115"/>
      <c r="BAT10" s="1115"/>
      <c r="BAU10" s="1115"/>
      <c r="BAV10" s="1115"/>
      <c r="BAW10" s="1115"/>
      <c r="BAX10" s="1115"/>
      <c r="BAY10" s="1115"/>
      <c r="BAZ10" s="1115"/>
      <c r="BBA10" s="1115"/>
      <c r="BBB10" s="1115"/>
      <c r="BBC10" s="1115"/>
      <c r="BBD10" s="1115"/>
      <c r="BBE10" s="1115"/>
      <c r="BBF10" s="1115"/>
      <c r="BBG10" s="1115"/>
      <c r="BBH10" s="1115"/>
      <c r="BBI10" s="1115"/>
      <c r="BBJ10" s="1115"/>
      <c r="BBK10" s="1115"/>
      <c r="BBL10" s="1115"/>
      <c r="BBM10" s="1115"/>
      <c r="BBN10" s="1115"/>
      <c r="BBO10" s="1115"/>
      <c r="BBP10" s="1115"/>
      <c r="BBQ10" s="1115"/>
      <c r="BBR10" s="1115"/>
      <c r="BBS10" s="1115"/>
      <c r="BBT10" s="1115"/>
      <c r="BBU10" s="1115"/>
      <c r="BBV10" s="1115"/>
      <c r="BBW10" s="1115"/>
      <c r="BBX10" s="1115"/>
      <c r="BBY10" s="1115"/>
      <c r="BBZ10" s="1115"/>
      <c r="BCA10" s="1115"/>
      <c r="BCB10" s="1115"/>
      <c r="BCC10" s="1115"/>
      <c r="BCD10" s="1115"/>
      <c r="BCE10" s="1115"/>
      <c r="BCF10" s="1115"/>
      <c r="BCG10" s="1115"/>
      <c r="BCH10" s="1115"/>
      <c r="BCI10" s="1115"/>
      <c r="BCJ10" s="1115"/>
      <c r="BCK10" s="1115"/>
      <c r="BCL10" s="1115"/>
      <c r="BCM10" s="1115"/>
      <c r="BCN10" s="1115"/>
      <c r="BCO10" s="1115"/>
      <c r="BCP10" s="1115"/>
      <c r="BCQ10" s="1115"/>
      <c r="BCR10" s="1115"/>
      <c r="BCS10" s="1115"/>
      <c r="BCT10" s="1115"/>
      <c r="BCU10" s="1115"/>
      <c r="BCV10" s="1115"/>
      <c r="BCW10" s="1115"/>
      <c r="BCX10" s="1115"/>
      <c r="BCY10" s="1115"/>
      <c r="BCZ10" s="1115"/>
      <c r="BDA10" s="1115"/>
      <c r="BDB10" s="1115"/>
      <c r="BDC10" s="1115"/>
      <c r="BDD10" s="1115"/>
      <c r="BDE10" s="1115"/>
      <c r="BDF10" s="1115"/>
      <c r="BDG10" s="1115"/>
      <c r="BDH10" s="1115"/>
      <c r="BDI10" s="1115"/>
      <c r="BDJ10" s="1115"/>
      <c r="BDK10" s="1115"/>
      <c r="BDL10" s="1115"/>
      <c r="BDM10" s="1115"/>
      <c r="BDN10" s="1115"/>
      <c r="BDO10" s="1115"/>
      <c r="BDP10" s="1115"/>
      <c r="BDQ10" s="1115"/>
      <c r="BDR10" s="1115"/>
      <c r="BDS10" s="1115"/>
      <c r="BDT10" s="1115"/>
      <c r="BDU10" s="1115"/>
      <c r="BDV10" s="1115"/>
      <c r="BDW10" s="1115"/>
      <c r="BDX10" s="1115"/>
      <c r="BDY10" s="1115"/>
      <c r="BDZ10" s="1115"/>
      <c r="BEA10" s="1115"/>
      <c r="BEB10" s="1115"/>
      <c r="BEC10" s="1115"/>
      <c r="BED10" s="1115"/>
      <c r="BEE10" s="1115"/>
      <c r="BEF10" s="1115"/>
      <c r="BEG10" s="1115"/>
      <c r="BEH10" s="1115"/>
      <c r="BEI10" s="1115"/>
      <c r="BEJ10" s="1115"/>
      <c r="BEK10" s="1115"/>
      <c r="BEL10" s="1115"/>
      <c r="BEM10" s="1115"/>
      <c r="BEN10" s="1115"/>
      <c r="BEO10" s="1115"/>
      <c r="BEP10" s="1115"/>
      <c r="BEQ10" s="1115"/>
      <c r="BER10" s="1115"/>
      <c r="BES10" s="1115"/>
      <c r="BET10" s="1115"/>
      <c r="BEU10" s="1115"/>
      <c r="BEV10" s="1115"/>
      <c r="BEW10" s="1115"/>
      <c r="BEX10" s="1115"/>
      <c r="BEY10" s="1115"/>
      <c r="BEZ10" s="1115"/>
      <c r="BFA10" s="1115"/>
      <c r="BFB10" s="1115"/>
      <c r="BFC10" s="1115"/>
      <c r="BFD10" s="1115"/>
      <c r="BFE10" s="1115"/>
      <c r="BFF10" s="1115"/>
      <c r="BFG10" s="1115"/>
      <c r="BFH10" s="1115"/>
      <c r="BFI10" s="1115"/>
      <c r="BFJ10" s="1115"/>
      <c r="BFK10" s="1115"/>
      <c r="BFL10" s="1115"/>
      <c r="BFM10" s="1115"/>
      <c r="BFN10" s="1115"/>
      <c r="BFO10" s="1115"/>
      <c r="BFP10" s="1115"/>
      <c r="BFQ10" s="1115"/>
      <c r="BFR10" s="1115"/>
      <c r="BFS10" s="1115"/>
      <c r="BFT10" s="1115"/>
      <c r="BFU10" s="1115"/>
      <c r="BFV10" s="1115"/>
      <c r="BFW10" s="1115"/>
      <c r="BFX10" s="1115"/>
      <c r="BFY10" s="1115"/>
      <c r="BFZ10" s="1115"/>
      <c r="BGA10" s="1115"/>
      <c r="BGB10" s="1115"/>
      <c r="BGC10" s="1115"/>
      <c r="BGD10" s="1115"/>
      <c r="BGE10" s="1115"/>
      <c r="BGF10" s="1115"/>
      <c r="BGG10" s="1115"/>
      <c r="BGH10" s="1115"/>
      <c r="BGI10" s="1115"/>
      <c r="BGJ10" s="1115"/>
      <c r="BGK10" s="1115"/>
      <c r="BGL10" s="1115"/>
      <c r="BGM10" s="1115"/>
      <c r="BGN10" s="1115"/>
      <c r="BGO10" s="1115"/>
      <c r="BGP10" s="1115"/>
      <c r="BGQ10" s="1115"/>
      <c r="BGR10" s="1115"/>
      <c r="BGS10" s="1115"/>
      <c r="BGT10" s="1115"/>
      <c r="BGU10" s="1115"/>
      <c r="BGV10" s="1115"/>
      <c r="BGW10" s="1115"/>
      <c r="BGX10" s="1115"/>
      <c r="BGY10" s="1115"/>
      <c r="BGZ10" s="1115"/>
      <c r="BHA10" s="1115"/>
      <c r="BHB10" s="1115"/>
      <c r="BHC10" s="1115"/>
      <c r="BHD10" s="1115"/>
      <c r="BHE10" s="1115"/>
      <c r="BHF10" s="1115"/>
      <c r="BHG10" s="1115"/>
      <c r="BHH10" s="1115"/>
      <c r="BHI10" s="1115"/>
      <c r="BHJ10" s="1115"/>
      <c r="BHK10" s="1115"/>
      <c r="BHL10" s="1115"/>
      <c r="BHM10" s="1115"/>
      <c r="BHN10" s="1115"/>
      <c r="BHO10" s="1115"/>
      <c r="BHP10" s="1115"/>
      <c r="BHQ10" s="1115"/>
      <c r="BHR10" s="1115"/>
      <c r="BHS10" s="1115"/>
      <c r="BHT10" s="1115"/>
      <c r="BHU10" s="1115"/>
      <c r="BHV10" s="1115"/>
      <c r="BHW10" s="1115"/>
      <c r="BHX10" s="1115"/>
      <c r="BHY10" s="1115"/>
      <c r="BHZ10" s="1115"/>
      <c r="BIA10" s="1115"/>
      <c r="BIB10" s="1115"/>
      <c r="BIC10" s="1115"/>
      <c r="BID10" s="1115"/>
      <c r="BIE10" s="1115"/>
      <c r="BIF10" s="1115"/>
      <c r="BIG10" s="1115"/>
      <c r="BIH10" s="1115"/>
      <c r="BII10" s="1115"/>
      <c r="BIJ10" s="1115"/>
      <c r="BIK10" s="1115"/>
      <c r="BIL10" s="1115"/>
      <c r="BIM10" s="1115"/>
      <c r="BIN10" s="1115"/>
      <c r="BIO10" s="1115"/>
      <c r="BIP10" s="1115"/>
      <c r="BIQ10" s="1115"/>
      <c r="BIR10" s="1115"/>
      <c r="BIS10" s="1115"/>
      <c r="BIT10" s="1115"/>
      <c r="BIU10" s="1115"/>
      <c r="BIV10" s="1115"/>
      <c r="BIW10" s="1115"/>
      <c r="BIX10" s="1115"/>
      <c r="BIY10" s="1115"/>
      <c r="BIZ10" s="1115"/>
      <c r="BJA10" s="1115"/>
      <c r="BJB10" s="1115"/>
      <c r="BJC10" s="1115"/>
      <c r="BJD10" s="1115"/>
      <c r="BJE10" s="1115"/>
      <c r="BJF10" s="1115"/>
      <c r="BJG10" s="1115"/>
      <c r="BJH10" s="1115"/>
      <c r="BJI10" s="1115"/>
      <c r="BJJ10" s="1115"/>
      <c r="BJK10" s="1115"/>
      <c r="BJL10" s="1115"/>
      <c r="BJM10" s="1115"/>
      <c r="BJN10" s="1115"/>
      <c r="BJO10" s="1115"/>
      <c r="BJP10" s="1115"/>
      <c r="BJQ10" s="1115"/>
      <c r="BJR10" s="1115"/>
      <c r="BJS10" s="1115"/>
      <c r="BJT10" s="1115"/>
      <c r="BJU10" s="1115"/>
      <c r="BJV10" s="1115"/>
      <c r="BJW10" s="1115"/>
      <c r="BJX10" s="1115"/>
      <c r="BJY10" s="1115"/>
      <c r="BJZ10" s="1115"/>
      <c r="BKA10" s="1115"/>
      <c r="BKB10" s="1115"/>
      <c r="BKC10" s="1115"/>
      <c r="BKD10" s="1115"/>
      <c r="BKE10" s="1115"/>
      <c r="BKF10" s="1115"/>
      <c r="BKG10" s="1115"/>
      <c r="BKH10" s="1115"/>
      <c r="BKI10" s="1115"/>
      <c r="BKJ10" s="1115"/>
      <c r="BKK10" s="1115"/>
      <c r="BKL10" s="1115"/>
      <c r="BKM10" s="1115"/>
      <c r="BKN10" s="1115"/>
      <c r="BKO10" s="1115"/>
      <c r="BKP10" s="1115"/>
      <c r="BKQ10" s="1115"/>
      <c r="BKR10" s="1115"/>
      <c r="BKS10" s="1115"/>
      <c r="BKT10" s="1115"/>
      <c r="BKU10" s="1115"/>
      <c r="BKV10" s="1115"/>
      <c r="BKW10" s="1115"/>
      <c r="BKX10" s="1115"/>
      <c r="BKY10" s="1115"/>
      <c r="BKZ10" s="1115"/>
      <c r="BLA10" s="1115"/>
      <c r="BLB10" s="1115"/>
      <c r="BLC10" s="1115"/>
      <c r="BLD10" s="1115"/>
      <c r="BLE10" s="1115"/>
      <c r="BLF10" s="1115"/>
      <c r="BLG10" s="1115"/>
      <c r="BLH10" s="1115"/>
      <c r="BLI10" s="1115"/>
      <c r="BLJ10" s="1115"/>
      <c r="BLK10" s="1115"/>
      <c r="BLL10" s="1115"/>
      <c r="BLM10" s="1115"/>
      <c r="BLN10" s="1115"/>
      <c r="BLO10" s="1115"/>
      <c r="BLP10" s="1115"/>
      <c r="BLQ10" s="1115"/>
      <c r="BLR10" s="1115"/>
      <c r="BLS10" s="1115"/>
      <c r="BLT10" s="1115"/>
      <c r="BLU10" s="1115"/>
      <c r="BLV10" s="1115"/>
      <c r="BLW10" s="1115"/>
      <c r="BLX10" s="1115"/>
      <c r="BLY10" s="1115"/>
      <c r="BLZ10" s="1115"/>
      <c r="BMA10" s="1115"/>
      <c r="BMB10" s="1115"/>
      <c r="BMC10" s="1115"/>
      <c r="BMD10" s="1115"/>
      <c r="BME10" s="1115"/>
      <c r="BMF10" s="1115"/>
      <c r="BMG10" s="1115"/>
      <c r="BMH10" s="1115"/>
      <c r="BMI10" s="1115"/>
      <c r="BMJ10" s="1115"/>
      <c r="BMK10" s="1115"/>
      <c r="BML10" s="1115"/>
      <c r="BMM10" s="1115"/>
      <c r="BMN10" s="1115"/>
      <c r="BMO10" s="1115"/>
      <c r="BMP10" s="1115"/>
      <c r="BMQ10" s="1115"/>
      <c r="BMR10" s="1115"/>
      <c r="BMS10" s="1115"/>
      <c r="BMT10" s="1115"/>
      <c r="BMU10" s="1115"/>
      <c r="BMV10" s="1115"/>
      <c r="BMW10" s="1115"/>
      <c r="BMX10" s="1115"/>
      <c r="BMY10" s="1115"/>
      <c r="BMZ10" s="1115"/>
      <c r="BNA10" s="1115"/>
      <c r="BNB10" s="1115"/>
      <c r="BNC10" s="1115"/>
      <c r="BND10" s="1115"/>
      <c r="BNE10" s="1115"/>
      <c r="BNF10" s="1115"/>
      <c r="BNG10" s="1115"/>
      <c r="BNH10" s="1115"/>
      <c r="BNI10" s="1115"/>
      <c r="BNJ10" s="1115"/>
      <c r="BNK10" s="1115"/>
      <c r="BNL10" s="1115"/>
      <c r="BNM10" s="1115"/>
      <c r="BNN10" s="1115"/>
      <c r="BNO10" s="1115"/>
      <c r="BNP10" s="1115"/>
      <c r="BNQ10" s="1115"/>
      <c r="BNR10" s="1115"/>
      <c r="BNS10" s="1115"/>
      <c r="BNT10" s="1115"/>
      <c r="BNU10" s="1115"/>
      <c r="BNV10" s="1115"/>
      <c r="BNW10" s="1115"/>
      <c r="BNX10" s="1115"/>
      <c r="BNY10" s="1115"/>
      <c r="BNZ10" s="1115"/>
      <c r="BOA10" s="1115"/>
      <c r="BOB10" s="1115"/>
      <c r="BOC10" s="1115"/>
      <c r="BOD10" s="1115"/>
      <c r="BOE10" s="1115"/>
      <c r="BOF10" s="1115"/>
      <c r="BOG10" s="1115"/>
      <c r="BOH10" s="1115"/>
      <c r="BOI10" s="1115"/>
      <c r="BOJ10" s="1115"/>
      <c r="BOK10" s="1115"/>
      <c r="BOL10" s="1115"/>
      <c r="BOM10" s="1115"/>
      <c r="BON10" s="1115"/>
      <c r="BOO10" s="1115"/>
      <c r="BOP10" s="1115"/>
      <c r="BOQ10" s="1115"/>
      <c r="BOR10" s="1115"/>
      <c r="BOS10" s="1115"/>
      <c r="BOT10" s="1115"/>
      <c r="BOU10" s="1115"/>
      <c r="BOV10" s="1115"/>
      <c r="BOW10" s="1115"/>
      <c r="BOX10" s="1115"/>
      <c r="BOY10" s="1115"/>
      <c r="BOZ10" s="1115"/>
      <c r="BPA10" s="1115"/>
      <c r="BPB10" s="1115"/>
      <c r="BPC10" s="1115"/>
      <c r="BPD10" s="1115"/>
      <c r="BPE10" s="1115"/>
      <c r="BPF10" s="1115"/>
      <c r="BPG10" s="1115"/>
      <c r="BPH10" s="1115"/>
      <c r="BPI10" s="1115"/>
      <c r="BPJ10" s="1115"/>
      <c r="BPK10" s="1115"/>
      <c r="BPL10" s="1115"/>
      <c r="BPM10" s="1115"/>
      <c r="BPN10" s="1115"/>
      <c r="BPO10" s="1115"/>
      <c r="BPP10" s="1115"/>
      <c r="BPQ10" s="1115"/>
      <c r="BPR10" s="1115"/>
      <c r="BPS10" s="1115"/>
      <c r="BPT10" s="1115"/>
      <c r="BPU10" s="1115"/>
      <c r="BPV10" s="1115"/>
      <c r="BPW10" s="1115"/>
      <c r="BPX10" s="1115"/>
      <c r="BPY10" s="1115"/>
      <c r="BPZ10" s="1115"/>
      <c r="BQA10" s="1115"/>
      <c r="BQB10" s="1115"/>
      <c r="BQC10" s="1115"/>
      <c r="BQD10" s="1115"/>
      <c r="BQE10" s="1115"/>
      <c r="BQF10" s="1115"/>
      <c r="BQG10" s="1115"/>
      <c r="BQH10" s="1115"/>
      <c r="BQI10" s="1115"/>
      <c r="BQJ10" s="1115"/>
      <c r="BQK10" s="1115"/>
      <c r="BQL10" s="1115"/>
      <c r="BQM10" s="1115"/>
      <c r="BQN10" s="1115"/>
      <c r="BQO10" s="1115"/>
      <c r="BQP10" s="1115"/>
      <c r="BQQ10" s="1115"/>
      <c r="BQR10" s="1115"/>
      <c r="BQS10" s="1115"/>
      <c r="BQT10" s="1115"/>
      <c r="BQU10" s="1115"/>
      <c r="BQV10" s="1115"/>
      <c r="BQW10" s="1115"/>
      <c r="BQX10" s="1115"/>
      <c r="BQY10" s="1115"/>
      <c r="BQZ10" s="1115"/>
      <c r="BRA10" s="1115"/>
      <c r="BRB10" s="1115"/>
      <c r="BRC10" s="1115"/>
      <c r="BRD10" s="1115"/>
      <c r="BRE10" s="1115"/>
      <c r="BRF10" s="1115"/>
      <c r="BRG10" s="1115"/>
      <c r="BRH10" s="1115"/>
      <c r="BRI10" s="1115"/>
      <c r="BRJ10" s="1115"/>
      <c r="BRK10" s="1115"/>
      <c r="BRL10" s="1115"/>
      <c r="BRM10" s="1115"/>
      <c r="BRN10" s="1115"/>
      <c r="BRO10" s="1115"/>
      <c r="BRP10" s="1115"/>
      <c r="BRQ10" s="1115"/>
      <c r="BRR10" s="1115"/>
      <c r="BRS10" s="1115"/>
      <c r="BRT10" s="1115"/>
      <c r="BRU10" s="1115"/>
      <c r="BRV10" s="1115"/>
      <c r="BRW10" s="1115"/>
      <c r="BRX10" s="1115"/>
      <c r="BRY10" s="1115"/>
      <c r="BRZ10" s="1115"/>
      <c r="BSA10" s="1115"/>
      <c r="BSB10" s="1115"/>
      <c r="BSC10" s="1115"/>
      <c r="BSD10" s="1115"/>
      <c r="BSE10" s="1115"/>
      <c r="BSF10" s="1115"/>
      <c r="BSG10" s="1115"/>
      <c r="BSH10" s="1115"/>
      <c r="BSI10" s="1115"/>
      <c r="BSJ10" s="1115"/>
      <c r="BSK10" s="1115"/>
      <c r="BSL10" s="1115"/>
      <c r="BSM10" s="1115"/>
      <c r="BSN10" s="1115"/>
      <c r="BSO10" s="1115"/>
      <c r="BSP10" s="1115"/>
      <c r="BSQ10" s="1115"/>
      <c r="BSR10" s="1115"/>
      <c r="BSS10" s="1115"/>
      <c r="BST10" s="1115"/>
      <c r="BSU10" s="1115"/>
      <c r="BSV10" s="1115"/>
      <c r="BSW10" s="1115"/>
      <c r="BSX10" s="1115"/>
      <c r="BSY10" s="1115"/>
      <c r="BSZ10" s="1115"/>
      <c r="BTA10" s="1115"/>
      <c r="BTB10" s="1115"/>
      <c r="BTC10" s="1115"/>
      <c r="BTD10" s="1115"/>
      <c r="BTE10" s="1115"/>
      <c r="BTF10" s="1115"/>
      <c r="BTG10" s="1115"/>
      <c r="BTH10" s="1115"/>
      <c r="BTI10" s="1115"/>
      <c r="BTJ10" s="1115"/>
      <c r="BTK10" s="1115"/>
      <c r="BTL10" s="1115"/>
      <c r="BTM10" s="1115"/>
      <c r="BTN10" s="1115"/>
      <c r="BTO10" s="1115"/>
      <c r="BTP10" s="1115"/>
      <c r="BTQ10" s="1115"/>
      <c r="BTR10" s="1115"/>
      <c r="BTS10" s="1115"/>
      <c r="BTT10" s="1115"/>
      <c r="BTU10" s="1115"/>
      <c r="BTV10" s="1115"/>
      <c r="BTW10" s="1115"/>
      <c r="BTX10" s="1115"/>
      <c r="BTY10" s="1115"/>
      <c r="BTZ10" s="1115"/>
      <c r="BUA10" s="1115"/>
      <c r="BUB10" s="1115"/>
      <c r="BUC10" s="1115"/>
      <c r="BUD10" s="1115"/>
      <c r="BUE10" s="1115"/>
      <c r="BUF10" s="1115"/>
      <c r="BUG10" s="1115"/>
      <c r="BUH10" s="1115"/>
      <c r="BUI10" s="1115"/>
      <c r="BUJ10" s="1115"/>
      <c r="BUK10" s="1115"/>
      <c r="BUL10" s="1115"/>
      <c r="BUM10" s="1115"/>
      <c r="BUN10" s="1115"/>
      <c r="BUO10" s="1115"/>
      <c r="BUP10" s="1115"/>
      <c r="BUQ10" s="1115"/>
      <c r="BUR10" s="1115"/>
      <c r="BUS10" s="1115"/>
      <c r="BUT10" s="1115"/>
      <c r="BUU10" s="1115"/>
      <c r="BUV10" s="1115"/>
      <c r="BUW10" s="1115"/>
      <c r="BUX10" s="1115"/>
      <c r="BUY10" s="1115"/>
      <c r="BUZ10" s="1115"/>
      <c r="BVA10" s="1115"/>
      <c r="BVB10" s="1115"/>
      <c r="BVC10" s="1115"/>
      <c r="BVD10" s="1115"/>
      <c r="BVE10" s="1115"/>
      <c r="BVF10" s="1115"/>
      <c r="BVG10" s="1115"/>
      <c r="BVH10" s="1115"/>
      <c r="BVI10" s="1115"/>
      <c r="BVJ10" s="1115"/>
      <c r="BVK10" s="1115"/>
      <c r="BVL10" s="1115"/>
      <c r="BVM10" s="1115"/>
      <c r="BVN10" s="1115"/>
      <c r="BVO10" s="1115"/>
      <c r="BVP10" s="1115"/>
      <c r="BVQ10" s="1115"/>
      <c r="BVR10" s="1115"/>
      <c r="BVS10" s="1115"/>
      <c r="BVT10" s="1115"/>
      <c r="BVU10" s="1115"/>
      <c r="BVV10" s="1115"/>
      <c r="BVW10" s="1115"/>
      <c r="BVX10" s="1115"/>
      <c r="BVY10" s="1115"/>
      <c r="BVZ10" s="1115"/>
      <c r="BWA10" s="1115"/>
      <c r="BWB10" s="1115"/>
      <c r="BWC10" s="1115"/>
      <c r="BWD10" s="1115"/>
      <c r="BWE10" s="1115"/>
      <c r="BWF10" s="1115"/>
      <c r="BWG10" s="1115"/>
      <c r="BWH10" s="1115"/>
      <c r="BWI10" s="1115"/>
      <c r="BWJ10" s="1115"/>
      <c r="BWK10" s="1115"/>
      <c r="BWL10" s="1115"/>
      <c r="BWM10" s="1115"/>
      <c r="BWN10" s="1115"/>
      <c r="BWO10" s="1115"/>
      <c r="BWP10" s="1115"/>
      <c r="BWQ10" s="1115"/>
      <c r="BWR10" s="1115"/>
      <c r="BWS10" s="1115"/>
      <c r="BWT10" s="1115"/>
      <c r="BWU10" s="1115"/>
      <c r="BWV10" s="1115"/>
      <c r="BWW10" s="1115"/>
      <c r="BWX10" s="1115"/>
      <c r="BWY10" s="1115"/>
      <c r="BWZ10" s="1115"/>
      <c r="BXA10" s="1115"/>
      <c r="BXB10" s="1115"/>
      <c r="BXC10" s="1115"/>
      <c r="BXD10" s="1115"/>
      <c r="BXE10" s="1115"/>
      <c r="BXF10" s="1115"/>
      <c r="BXG10" s="1115"/>
      <c r="BXH10" s="1115"/>
      <c r="BXI10" s="1115"/>
      <c r="BXJ10" s="1115"/>
      <c r="BXK10" s="1115"/>
      <c r="BXL10" s="1115"/>
      <c r="BXM10" s="1115"/>
      <c r="BXN10" s="1115"/>
      <c r="BXO10" s="1115"/>
      <c r="BXP10" s="1115"/>
      <c r="BXQ10" s="1115"/>
      <c r="BXR10" s="1115"/>
      <c r="BXS10" s="1115"/>
      <c r="BXT10" s="1115"/>
      <c r="BXU10" s="1115"/>
      <c r="BXV10" s="1115"/>
      <c r="BXW10" s="1115"/>
      <c r="BXX10" s="1115"/>
      <c r="BXY10" s="1115"/>
      <c r="BXZ10" s="1115"/>
      <c r="BYA10" s="1115"/>
      <c r="BYB10" s="1115"/>
      <c r="BYC10" s="1115"/>
      <c r="BYD10" s="1115"/>
      <c r="BYE10" s="1115"/>
      <c r="BYF10" s="1115"/>
      <c r="BYG10" s="1115"/>
      <c r="BYH10" s="1115"/>
      <c r="BYI10" s="1115"/>
      <c r="BYJ10" s="1115"/>
      <c r="BYK10" s="1115"/>
      <c r="BYL10" s="1115"/>
      <c r="BYM10" s="1115"/>
      <c r="BYN10" s="1115"/>
      <c r="BYO10" s="1115"/>
      <c r="BYP10" s="1115"/>
      <c r="BYQ10" s="1115"/>
      <c r="BYR10" s="1115"/>
      <c r="BYS10" s="1115"/>
      <c r="BYT10" s="1115"/>
      <c r="BYU10" s="1115"/>
      <c r="BYV10" s="1115"/>
      <c r="BYW10" s="1115"/>
      <c r="BYX10" s="1115"/>
      <c r="BYY10" s="1115"/>
      <c r="BYZ10" s="1115"/>
      <c r="BZA10" s="1115"/>
      <c r="BZB10" s="1115"/>
      <c r="BZC10" s="1115"/>
      <c r="BZD10" s="1115"/>
      <c r="BZE10" s="1115"/>
      <c r="BZF10" s="1115"/>
      <c r="BZG10" s="1115"/>
      <c r="BZH10" s="1115"/>
      <c r="BZI10" s="1115"/>
      <c r="BZJ10" s="1115"/>
      <c r="BZK10" s="1115"/>
      <c r="BZL10" s="1115"/>
      <c r="BZM10" s="1115"/>
      <c r="BZN10" s="1115"/>
      <c r="BZO10" s="1115"/>
      <c r="BZP10" s="1115"/>
      <c r="BZQ10" s="1115"/>
      <c r="BZR10" s="1115"/>
      <c r="BZS10" s="1115"/>
      <c r="BZT10" s="1115"/>
      <c r="BZU10" s="1115"/>
      <c r="BZV10" s="1115"/>
      <c r="BZW10" s="1115"/>
      <c r="BZX10" s="1115"/>
      <c r="BZY10" s="1115"/>
      <c r="BZZ10" s="1115"/>
      <c r="CAA10" s="1115"/>
      <c r="CAB10" s="1115"/>
      <c r="CAC10" s="1115"/>
      <c r="CAD10" s="1115"/>
      <c r="CAE10" s="1115"/>
      <c r="CAF10" s="1115"/>
      <c r="CAG10" s="1115"/>
      <c r="CAH10" s="1115"/>
      <c r="CAI10" s="1115"/>
      <c r="CAJ10" s="1115"/>
      <c r="CAK10" s="1115"/>
      <c r="CAL10" s="1115"/>
      <c r="CAM10" s="1115"/>
      <c r="CAN10" s="1115"/>
      <c r="CAO10" s="1115"/>
      <c r="CAP10" s="1115"/>
      <c r="CAQ10" s="1115"/>
      <c r="CAR10" s="1115"/>
      <c r="CAS10" s="1115"/>
      <c r="CAT10" s="1115"/>
      <c r="CAU10" s="1115"/>
      <c r="CAV10" s="1115"/>
      <c r="CAW10" s="1115"/>
      <c r="CAX10" s="1115"/>
      <c r="CAY10" s="1115"/>
      <c r="CAZ10" s="1115"/>
      <c r="CBA10" s="1115"/>
      <c r="CBB10" s="1115"/>
      <c r="CBC10" s="1115"/>
      <c r="CBD10" s="1115"/>
      <c r="CBE10" s="1115"/>
      <c r="CBF10" s="1115"/>
      <c r="CBG10" s="1115"/>
      <c r="CBH10" s="1115"/>
      <c r="CBI10" s="1115"/>
      <c r="CBJ10" s="1115"/>
      <c r="CBK10" s="1115"/>
      <c r="CBL10" s="1115"/>
      <c r="CBM10" s="1115"/>
      <c r="CBN10" s="1115"/>
      <c r="CBO10" s="1115"/>
      <c r="CBP10" s="1115"/>
      <c r="CBQ10" s="1115"/>
      <c r="CBR10" s="1115"/>
      <c r="CBS10" s="1115"/>
      <c r="CBT10" s="1115"/>
      <c r="CBU10" s="1115"/>
      <c r="CBV10" s="1115"/>
      <c r="CBW10" s="1115"/>
      <c r="CBX10" s="1115"/>
      <c r="CBY10" s="1115"/>
      <c r="CBZ10" s="1115"/>
      <c r="CCA10" s="1115"/>
      <c r="CCB10" s="1115"/>
      <c r="CCC10" s="1115"/>
      <c r="CCD10" s="1115"/>
      <c r="CCE10" s="1115"/>
      <c r="CCF10" s="1115"/>
      <c r="CCG10" s="1115"/>
      <c r="CCH10" s="1115"/>
      <c r="CCI10" s="1115"/>
      <c r="CCJ10" s="1115"/>
      <c r="CCK10" s="1115"/>
      <c r="CCL10" s="1115"/>
      <c r="CCM10" s="1115"/>
      <c r="CCN10" s="1115"/>
      <c r="CCO10" s="1115"/>
      <c r="CCP10" s="1115"/>
      <c r="CCQ10" s="1115"/>
      <c r="CCR10" s="1115"/>
      <c r="CCS10" s="1115"/>
      <c r="CCT10" s="1115"/>
      <c r="CCU10" s="1115"/>
      <c r="CCV10" s="1115"/>
      <c r="CCW10" s="1115"/>
      <c r="CCX10" s="1115"/>
      <c r="CCY10" s="1115"/>
      <c r="CCZ10" s="1115"/>
      <c r="CDA10" s="1115"/>
      <c r="CDB10" s="1115"/>
      <c r="CDC10" s="1115"/>
      <c r="CDD10" s="1115"/>
      <c r="CDE10" s="1115"/>
      <c r="CDF10" s="1115"/>
      <c r="CDG10" s="1115"/>
      <c r="CDH10" s="1115"/>
      <c r="CDI10" s="1115"/>
      <c r="CDJ10" s="1115"/>
      <c r="CDK10" s="1115"/>
      <c r="CDL10" s="1115"/>
      <c r="CDM10" s="1115"/>
      <c r="CDN10" s="1115"/>
      <c r="CDO10" s="1115"/>
      <c r="CDP10" s="1115"/>
      <c r="CDQ10" s="1115"/>
      <c r="CDR10" s="1115"/>
      <c r="CDS10" s="1115"/>
      <c r="CDT10" s="1115"/>
      <c r="CDU10" s="1115"/>
      <c r="CDV10" s="1115"/>
      <c r="CDW10" s="1115"/>
      <c r="CDX10" s="1115"/>
      <c r="CDY10" s="1115"/>
      <c r="CDZ10" s="1115"/>
      <c r="CEA10" s="1115"/>
      <c r="CEB10" s="1115"/>
      <c r="CEC10" s="1115"/>
      <c r="CED10" s="1115"/>
      <c r="CEE10" s="1115"/>
      <c r="CEF10" s="1115"/>
      <c r="CEG10" s="1115"/>
      <c r="CEH10" s="1115"/>
      <c r="CEI10" s="1115"/>
      <c r="CEJ10" s="1115"/>
      <c r="CEK10" s="1115"/>
      <c r="CEL10" s="1115"/>
      <c r="CEM10" s="1115"/>
      <c r="CEN10" s="1115"/>
      <c r="CEO10" s="1115"/>
      <c r="CEP10" s="1115"/>
      <c r="CEQ10" s="1115"/>
      <c r="CER10" s="1115"/>
      <c r="CES10" s="1115"/>
      <c r="CET10" s="1115"/>
      <c r="CEU10" s="1115"/>
      <c r="CEV10" s="1115"/>
      <c r="CEW10" s="1115"/>
      <c r="CEX10" s="1115"/>
      <c r="CEY10" s="1115"/>
      <c r="CEZ10" s="1115"/>
      <c r="CFA10" s="1115"/>
      <c r="CFB10" s="1115"/>
      <c r="CFC10" s="1115"/>
      <c r="CFD10" s="1115"/>
      <c r="CFE10" s="1115"/>
      <c r="CFF10" s="1115"/>
      <c r="CFG10" s="1115"/>
      <c r="CFH10" s="1115"/>
      <c r="CFI10" s="1115"/>
      <c r="CFJ10" s="1115"/>
      <c r="CFK10" s="1115"/>
      <c r="CFL10" s="1115"/>
      <c r="CFM10" s="1115"/>
      <c r="CFN10" s="1115"/>
      <c r="CFO10" s="1115"/>
      <c r="CFP10" s="1115"/>
      <c r="CFQ10" s="1115"/>
      <c r="CFR10" s="1115"/>
      <c r="CFS10" s="1115"/>
      <c r="CFT10" s="1115"/>
      <c r="CFU10" s="1115"/>
      <c r="CFV10" s="1115"/>
      <c r="CFW10" s="1115"/>
      <c r="CFX10" s="1115"/>
      <c r="CFY10" s="1115"/>
      <c r="CFZ10" s="1115"/>
      <c r="CGA10" s="1115"/>
      <c r="CGB10" s="1115"/>
      <c r="CGC10" s="1115"/>
      <c r="CGD10" s="1115"/>
      <c r="CGE10" s="1115"/>
      <c r="CGF10" s="1115"/>
      <c r="CGG10" s="1115"/>
      <c r="CGH10" s="1115"/>
      <c r="CGI10" s="1115"/>
      <c r="CGJ10" s="1115"/>
      <c r="CGK10" s="1115"/>
      <c r="CGL10" s="1115"/>
      <c r="CGM10" s="1115"/>
      <c r="CGN10" s="1115"/>
      <c r="CGO10" s="1115"/>
      <c r="CGP10" s="1115"/>
      <c r="CGQ10" s="1115"/>
      <c r="CGR10" s="1115"/>
      <c r="CGS10" s="1115"/>
      <c r="CGT10" s="1115"/>
      <c r="CGU10" s="1115"/>
      <c r="CGV10" s="1115"/>
      <c r="CGW10" s="1115"/>
      <c r="CGX10" s="1115"/>
      <c r="CGY10" s="1115"/>
      <c r="CGZ10" s="1115"/>
      <c r="CHA10" s="1115"/>
      <c r="CHB10" s="1115"/>
      <c r="CHC10" s="1115"/>
      <c r="CHD10" s="1115"/>
      <c r="CHE10" s="1115"/>
      <c r="CHF10" s="1115"/>
      <c r="CHG10" s="1115"/>
      <c r="CHH10" s="1115"/>
      <c r="CHI10" s="1115"/>
      <c r="CHJ10" s="1115"/>
      <c r="CHK10" s="1115"/>
      <c r="CHL10" s="1115"/>
      <c r="CHM10" s="1115"/>
      <c r="CHN10" s="1115"/>
      <c r="CHO10" s="1115"/>
      <c r="CHP10" s="1115"/>
      <c r="CHQ10" s="1115"/>
      <c r="CHR10" s="1115"/>
      <c r="CHS10" s="1115"/>
      <c r="CHT10" s="1115"/>
      <c r="CHU10" s="1115"/>
      <c r="CHV10" s="1115"/>
      <c r="CHW10" s="1115"/>
      <c r="CHX10" s="1115"/>
      <c r="CHY10" s="1115"/>
      <c r="CHZ10" s="1115"/>
      <c r="CIA10" s="1115"/>
      <c r="CIB10" s="1115"/>
      <c r="CIC10" s="1115"/>
      <c r="CID10" s="1115"/>
      <c r="CIE10" s="1115"/>
      <c r="CIF10" s="1115"/>
      <c r="CIG10" s="1115"/>
      <c r="CIH10" s="1115"/>
      <c r="CII10" s="1115"/>
      <c r="CIJ10" s="1115"/>
      <c r="CIK10" s="1115"/>
      <c r="CIL10" s="1115"/>
      <c r="CIM10" s="1115"/>
      <c r="CIN10" s="1115"/>
      <c r="CIO10" s="1115"/>
      <c r="CIP10" s="1115"/>
      <c r="CIQ10" s="1115"/>
      <c r="CIR10" s="1115"/>
      <c r="CIS10" s="1115"/>
      <c r="CIT10" s="1115"/>
      <c r="CIU10" s="1115"/>
      <c r="CIV10" s="1115"/>
      <c r="CIW10" s="1115"/>
      <c r="CIX10" s="1115"/>
      <c r="CIY10" s="1115"/>
      <c r="CIZ10" s="1115"/>
      <c r="CJA10" s="1115"/>
      <c r="CJB10" s="1115"/>
      <c r="CJC10" s="1115"/>
      <c r="CJD10" s="1115"/>
      <c r="CJE10" s="1115"/>
      <c r="CJF10" s="1115"/>
      <c r="CJG10" s="1115"/>
      <c r="CJH10" s="1115"/>
      <c r="CJI10" s="1115"/>
      <c r="CJJ10" s="1115"/>
      <c r="CJK10" s="1115"/>
      <c r="CJL10" s="1115"/>
      <c r="CJM10" s="1115"/>
      <c r="CJN10" s="1115"/>
      <c r="CJO10" s="1115"/>
      <c r="CJP10" s="1115"/>
      <c r="CJQ10" s="1115"/>
      <c r="CJR10" s="1115"/>
      <c r="CJS10" s="1115"/>
      <c r="CJT10" s="1115"/>
      <c r="CJU10" s="1115"/>
      <c r="CJV10" s="1115"/>
      <c r="CJW10" s="1115"/>
      <c r="CJX10" s="1115"/>
      <c r="CJY10" s="1115"/>
      <c r="CJZ10" s="1115"/>
      <c r="CKA10" s="1115"/>
      <c r="CKB10" s="1115"/>
      <c r="CKC10" s="1115"/>
      <c r="CKD10" s="1115"/>
      <c r="CKE10" s="1115"/>
      <c r="CKF10" s="1115"/>
      <c r="CKG10" s="1115"/>
      <c r="CKH10" s="1115"/>
      <c r="CKI10" s="1115"/>
      <c r="CKJ10" s="1115"/>
      <c r="CKK10" s="1115"/>
      <c r="CKL10" s="1115"/>
      <c r="CKM10" s="1115"/>
      <c r="CKN10" s="1115"/>
      <c r="CKO10" s="1115"/>
      <c r="CKP10" s="1115"/>
      <c r="CKQ10" s="1115"/>
      <c r="CKR10" s="1115"/>
      <c r="CKS10" s="1115"/>
      <c r="CKT10" s="1115"/>
      <c r="CKU10" s="1115"/>
      <c r="CKV10" s="1115"/>
      <c r="CKW10" s="1115"/>
      <c r="CKX10" s="1115"/>
      <c r="CKY10" s="1115"/>
      <c r="CKZ10" s="1115"/>
      <c r="CLA10" s="1115"/>
      <c r="CLB10" s="1115"/>
      <c r="CLC10" s="1115"/>
      <c r="CLD10" s="1115"/>
      <c r="CLE10" s="1115"/>
      <c r="CLF10" s="1115"/>
      <c r="CLG10" s="1115"/>
      <c r="CLH10" s="1115"/>
      <c r="CLI10" s="1115"/>
      <c r="CLJ10" s="1115"/>
      <c r="CLK10" s="1115"/>
      <c r="CLL10" s="1115"/>
      <c r="CLM10" s="1115"/>
      <c r="CLN10" s="1115"/>
      <c r="CLO10" s="1115"/>
      <c r="CLP10" s="1115"/>
      <c r="CLQ10" s="1115"/>
      <c r="CLR10" s="1115"/>
      <c r="CLS10" s="1115"/>
      <c r="CLT10" s="1115"/>
      <c r="CLU10" s="1115"/>
      <c r="CLV10" s="1115"/>
      <c r="CLW10" s="1115"/>
      <c r="CLX10" s="1115"/>
      <c r="CLY10" s="1115"/>
      <c r="CLZ10" s="1115"/>
      <c r="CMA10" s="1115"/>
      <c r="CMB10" s="1115"/>
      <c r="CMC10" s="1115"/>
      <c r="CMD10" s="1115"/>
      <c r="CME10" s="1115"/>
      <c r="CMF10" s="1115"/>
      <c r="CMG10" s="1115"/>
      <c r="CMH10" s="1115"/>
      <c r="CMI10" s="1115"/>
      <c r="CMJ10" s="1115"/>
      <c r="CMK10" s="1115"/>
      <c r="CML10" s="1115"/>
      <c r="CMM10" s="1115"/>
      <c r="CMN10" s="1115"/>
      <c r="CMO10" s="1115"/>
      <c r="CMP10" s="1115"/>
      <c r="CMQ10" s="1115"/>
      <c r="CMR10" s="1115"/>
      <c r="CMS10" s="1115"/>
      <c r="CMT10" s="1115"/>
      <c r="CMU10" s="1115"/>
      <c r="CMV10" s="1115"/>
      <c r="CMW10" s="1115"/>
      <c r="CMX10" s="1115"/>
      <c r="CMY10" s="1115"/>
      <c r="CMZ10" s="1115"/>
      <c r="CNA10" s="1115"/>
      <c r="CNB10" s="1115"/>
      <c r="CNC10" s="1115"/>
      <c r="CND10" s="1115"/>
      <c r="CNE10" s="1115"/>
      <c r="CNF10" s="1115"/>
      <c r="CNG10" s="1115"/>
      <c r="CNH10" s="1115"/>
      <c r="CNI10" s="1115"/>
      <c r="CNJ10" s="1115"/>
      <c r="CNK10" s="1115"/>
      <c r="CNL10" s="1115"/>
      <c r="CNM10" s="1115"/>
      <c r="CNN10" s="1115"/>
      <c r="CNO10" s="1115"/>
      <c r="CNP10" s="1115"/>
      <c r="CNQ10" s="1115"/>
      <c r="CNR10" s="1115"/>
      <c r="CNS10" s="1115"/>
      <c r="CNT10" s="1115"/>
      <c r="CNU10" s="1115"/>
      <c r="CNV10" s="1115"/>
      <c r="CNW10" s="1115"/>
      <c r="CNX10" s="1115"/>
      <c r="CNY10" s="1115"/>
      <c r="CNZ10" s="1115"/>
      <c r="COA10" s="1115"/>
      <c r="COB10" s="1115"/>
      <c r="COC10" s="1115"/>
      <c r="COD10" s="1115"/>
      <c r="COE10" s="1115"/>
      <c r="COF10" s="1115"/>
      <c r="COG10" s="1115"/>
      <c r="COH10" s="1115"/>
      <c r="COI10" s="1115"/>
      <c r="COJ10" s="1115"/>
      <c r="COK10" s="1115"/>
      <c r="COL10" s="1115"/>
      <c r="COM10" s="1115"/>
      <c r="CON10" s="1115"/>
      <c r="COO10" s="1115"/>
      <c r="COP10" s="1115"/>
      <c r="COQ10" s="1115"/>
      <c r="COR10" s="1115"/>
      <c r="COS10" s="1115"/>
      <c r="COT10" s="1115"/>
      <c r="COU10" s="1115"/>
      <c r="COV10" s="1115"/>
      <c r="COW10" s="1115"/>
      <c r="COX10" s="1115"/>
      <c r="COY10" s="1115"/>
      <c r="COZ10" s="1115"/>
      <c r="CPA10" s="1115"/>
      <c r="CPB10" s="1115"/>
      <c r="CPC10" s="1115"/>
      <c r="CPD10" s="1115"/>
      <c r="CPE10" s="1115"/>
      <c r="CPF10" s="1115"/>
      <c r="CPG10" s="1115"/>
      <c r="CPH10" s="1115"/>
      <c r="CPI10" s="1115"/>
      <c r="CPJ10" s="1115"/>
      <c r="CPK10" s="1115"/>
      <c r="CPL10" s="1115"/>
      <c r="CPM10" s="1115"/>
      <c r="CPN10" s="1115"/>
      <c r="CPO10" s="1115"/>
      <c r="CPP10" s="1115"/>
      <c r="CPQ10" s="1115"/>
      <c r="CPR10" s="1115"/>
      <c r="CPS10" s="1115"/>
      <c r="CPT10" s="1115"/>
      <c r="CPU10" s="1115"/>
      <c r="CPV10" s="1115"/>
      <c r="CPW10" s="1115"/>
      <c r="CPX10" s="1115"/>
      <c r="CPY10" s="1115"/>
      <c r="CPZ10" s="1115"/>
      <c r="CQA10" s="1115"/>
      <c r="CQB10" s="1115"/>
      <c r="CQC10" s="1115"/>
      <c r="CQD10" s="1115"/>
      <c r="CQE10" s="1115"/>
      <c r="CQF10" s="1115"/>
      <c r="CQG10" s="1115"/>
      <c r="CQH10" s="1115"/>
      <c r="CQI10" s="1115"/>
      <c r="CQJ10" s="1115"/>
      <c r="CQK10" s="1115"/>
      <c r="CQL10" s="1115"/>
      <c r="CQM10" s="1115"/>
      <c r="CQN10" s="1115"/>
      <c r="CQO10" s="1115"/>
      <c r="CQP10" s="1115"/>
      <c r="CQQ10" s="1115"/>
      <c r="CQR10" s="1115"/>
      <c r="CQS10" s="1115"/>
      <c r="CQT10" s="1115"/>
      <c r="CQU10" s="1115"/>
      <c r="CQV10" s="1115"/>
      <c r="CQW10" s="1115"/>
      <c r="CQX10" s="1115"/>
      <c r="CQY10" s="1115"/>
      <c r="CQZ10" s="1115"/>
      <c r="CRA10" s="1115"/>
      <c r="CRB10" s="1115"/>
      <c r="CRC10" s="1115"/>
      <c r="CRD10" s="1115"/>
      <c r="CRE10" s="1115"/>
      <c r="CRF10" s="1115"/>
      <c r="CRG10" s="1115"/>
      <c r="CRH10" s="1115"/>
      <c r="CRI10" s="1115"/>
      <c r="CRJ10" s="1115"/>
      <c r="CRK10" s="1115"/>
      <c r="CRL10" s="1115"/>
      <c r="CRM10" s="1115"/>
      <c r="CRN10" s="1115"/>
      <c r="CRO10" s="1115"/>
      <c r="CRP10" s="1115"/>
      <c r="CRQ10" s="1115"/>
      <c r="CRR10" s="1115"/>
      <c r="CRS10" s="1115"/>
      <c r="CRT10" s="1115"/>
      <c r="CRU10" s="1115"/>
      <c r="CRV10" s="1115"/>
      <c r="CRW10" s="1115"/>
      <c r="CRX10" s="1115"/>
      <c r="CRY10" s="1115"/>
      <c r="CRZ10" s="1115"/>
      <c r="CSA10" s="1115"/>
      <c r="CSB10" s="1115"/>
      <c r="CSC10" s="1115"/>
      <c r="CSD10" s="1115"/>
      <c r="CSE10" s="1115"/>
      <c r="CSF10" s="1115"/>
      <c r="CSG10" s="1115"/>
      <c r="CSH10" s="1115"/>
      <c r="CSI10" s="1115"/>
      <c r="CSJ10" s="1115"/>
      <c r="CSK10" s="1115"/>
      <c r="CSL10" s="1115"/>
      <c r="CSM10" s="1115"/>
      <c r="CSN10" s="1115"/>
      <c r="CSO10" s="1115"/>
      <c r="CSP10" s="1115"/>
      <c r="CSQ10" s="1115"/>
      <c r="CSR10" s="1115"/>
      <c r="CSS10" s="1115"/>
      <c r="CST10" s="1115"/>
      <c r="CSU10" s="1115"/>
      <c r="CSV10" s="1115"/>
      <c r="CSW10" s="1115"/>
      <c r="CSX10" s="1115"/>
      <c r="CSY10" s="1115"/>
      <c r="CSZ10" s="1115"/>
      <c r="CTA10" s="1115"/>
      <c r="CTB10" s="1115"/>
      <c r="CTC10" s="1115"/>
      <c r="CTD10" s="1115"/>
      <c r="CTE10" s="1115"/>
      <c r="CTF10" s="1115"/>
      <c r="CTG10" s="1115"/>
      <c r="CTH10" s="1115"/>
      <c r="CTI10" s="1115"/>
      <c r="CTJ10" s="1115"/>
      <c r="CTK10" s="1115"/>
      <c r="CTL10" s="1115"/>
      <c r="CTM10" s="1115"/>
      <c r="CTN10" s="1115"/>
      <c r="CTO10" s="1115"/>
      <c r="CTP10" s="1115"/>
      <c r="CTQ10" s="1115"/>
      <c r="CTR10" s="1115"/>
      <c r="CTS10" s="1115"/>
      <c r="CTT10" s="1115"/>
      <c r="CTU10" s="1115"/>
      <c r="CTV10" s="1115"/>
      <c r="CTW10" s="1115"/>
      <c r="CTX10" s="1115"/>
      <c r="CTY10" s="1115"/>
      <c r="CTZ10" s="1115"/>
      <c r="CUA10" s="1115"/>
      <c r="CUB10" s="1115"/>
      <c r="CUC10" s="1115"/>
      <c r="CUD10" s="1115"/>
      <c r="CUE10" s="1115"/>
      <c r="CUF10" s="1115"/>
      <c r="CUG10" s="1115"/>
      <c r="CUH10" s="1115"/>
      <c r="CUI10" s="1115"/>
      <c r="CUJ10" s="1115"/>
      <c r="CUK10" s="1115"/>
      <c r="CUL10" s="1115"/>
      <c r="CUM10" s="1115"/>
      <c r="CUN10" s="1115"/>
      <c r="CUO10" s="1115"/>
      <c r="CUP10" s="1115"/>
      <c r="CUQ10" s="1115"/>
      <c r="CUR10" s="1115"/>
      <c r="CUS10" s="1115"/>
      <c r="CUT10" s="1115"/>
      <c r="CUU10" s="1115"/>
      <c r="CUV10" s="1115"/>
      <c r="CUW10" s="1115"/>
      <c r="CUX10" s="1115"/>
      <c r="CUY10" s="1115"/>
      <c r="CUZ10" s="1115"/>
      <c r="CVA10" s="1115"/>
      <c r="CVB10" s="1115"/>
      <c r="CVC10" s="1115"/>
      <c r="CVD10" s="1115"/>
      <c r="CVE10" s="1115"/>
      <c r="CVF10" s="1115"/>
      <c r="CVG10" s="1115"/>
      <c r="CVH10" s="1115"/>
      <c r="CVI10" s="1115"/>
      <c r="CVJ10" s="1115"/>
      <c r="CVK10" s="1115"/>
      <c r="CVL10" s="1115"/>
      <c r="CVM10" s="1115"/>
      <c r="CVN10" s="1115"/>
      <c r="CVO10" s="1115"/>
      <c r="CVP10" s="1115"/>
      <c r="CVQ10" s="1115"/>
      <c r="CVR10" s="1115"/>
      <c r="CVS10" s="1115"/>
      <c r="CVT10" s="1115"/>
      <c r="CVU10" s="1115"/>
      <c r="CVV10" s="1115"/>
      <c r="CVW10" s="1115"/>
      <c r="CVX10" s="1115"/>
      <c r="CVY10" s="1115"/>
      <c r="CVZ10" s="1115"/>
      <c r="CWA10" s="1115"/>
      <c r="CWB10" s="1115"/>
      <c r="CWC10" s="1115"/>
      <c r="CWD10" s="1115"/>
      <c r="CWE10" s="1115"/>
      <c r="CWF10" s="1115"/>
      <c r="CWG10" s="1115"/>
      <c r="CWH10" s="1115"/>
      <c r="CWI10" s="1115"/>
      <c r="CWJ10" s="1115"/>
      <c r="CWK10" s="1115"/>
      <c r="CWL10" s="1115"/>
      <c r="CWM10" s="1115"/>
      <c r="CWN10" s="1115"/>
      <c r="CWO10" s="1115"/>
      <c r="CWP10" s="1115"/>
      <c r="CWQ10" s="1115"/>
      <c r="CWR10" s="1115"/>
      <c r="CWS10" s="1115"/>
      <c r="CWT10" s="1115"/>
      <c r="CWU10" s="1115"/>
      <c r="CWV10" s="1115"/>
      <c r="CWW10" s="1115"/>
      <c r="CWX10" s="1115"/>
      <c r="CWY10" s="1115"/>
      <c r="CWZ10" s="1115"/>
      <c r="CXA10" s="1115"/>
      <c r="CXB10" s="1115"/>
      <c r="CXC10" s="1115"/>
      <c r="CXD10" s="1115"/>
      <c r="CXE10" s="1115"/>
      <c r="CXF10" s="1115"/>
      <c r="CXG10" s="1115"/>
      <c r="CXH10" s="1115"/>
      <c r="CXI10" s="1115"/>
      <c r="CXJ10" s="1115"/>
      <c r="CXK10" s="1115"/>
      <c r="CXL10" s="1115"/>
      <c r="CXM10" s="1115"/>
      <c r="CXN10" s="1115"/>
      <c r="CXO10" s="1115"/>
      <c r="CXP10" s="1115"/>
      <c r="CXQ10" s="1115"/>
      <c r="CXR10" s="1115"/>
      <c r="CXS10" s="1115"/>
      <c r="CXT10" s="1115"/>
      <c r="CXU10" s="1115"/>
      <c r="CXV10" s="1115"/>
      <c r="CXW10" s="1115"/>
      <c r="CXX10" s="1115"/>
      <c r="CXY10" s="1115"/>
      <c r="CXZ10" s="1115"/>
      <c r="CYA10" s="1115"/>
      <c r="CYB10" s="1115"/>
      <c r="CYC10" s="1115"/>
      <c r="CYD10" s="1115"/>
      <c r="CYE10" s="1115"/>
      <c r="CYF10" s="1115"/>
      <c r="CYG10" s="1115"/>
      <c r="CYH10" s="1115"/>
      <c r="CYI10" s="1115"/>
      <c r="CYJ10" s="1115"/>
      <c r="CYK10" s="1115"/>
      <c r="CYL10" s="1115"/>
      <c r="CYM10" s="1115"/>
      <c r="CYN10" s="1115"/>
      <c r="CYO10" s="1115"/>
      <c r="CYP10" s="1115"/>
      <c r="CYQ10" s="1115"/>
      <c r="CYR10" s="1115"/>
      <c r="CYS10" s="1115"/>
      <c r="CYT10" s="1115"/>
      <c r="CYU10" s="1115"/>
      <c r="CYV10" s="1115"/>
      <c r="CYW10" s="1115"/>
      <c r="CYX10" s="1115"/>
      <c r="CYY10" s="1115"/>
      <c r="CYZ10" s="1115"/>
      <c r="CZA10" s="1115"/>
      <c r="CZB10" s="1115"/>
      <c r="CZC10" s="1115"/>
      <c r="CZD10" s="1115"/>
      <c r="CZE10" s="1115"/>
      <c r="CZF10" s="1115"/>
      <c r="CZG10" s="1115"/>
      <c r="CZH10" s="1115"/>
      <c r="CZI10" s="1115"/>
      <c r="CZJ10" s="1115"/>
      <c r="CZK10" s="1115"/>
      <c r="CZL10" s="1115"/>
      <c r="CZM10" s="1115"/>
      <c r="CZN10" s="1115"/>
      <c r="CZO10" s="1115"/>
      <c r="CZP10" s="1115"/>
      <c r="CZQ10" s="1115"/>
      <c r="CZR10" s="1115"/>
      <c r="CZS10" s="1115"/>
      <c r="CZT10" s="1115"/>
      <c r="CZU10" s="1115"/>
      <c r="CZV10" s="1115"/>
      <c r="CZW10" s="1115"/>
      <c r="CZX10" s="1115"/>
      <c r="CZY10" s="1115"/>
      <c r="CZZ10" s="1115"/>
      <c r="DAA10" s="1115"/>
      <c r="DAB10" s="1115"/>
      <c r="DAC10" s="1115"/>
      <c r="DAD10" s="1115"/>
      <c r="DAE10" s="1115"/>
      <c r="DAF10" s="1115"/>
      <c r="DAG10" s="1115"/>
      <c r="DAH10" s="1115"/>
      <c r="DAI10" s="1115"/>
      <c r="DAJ10" s="1115"/>
      <c r="DAK10" s="1115"/>
      <c r="DAL10" s="1115"/>
      <c r="DAM10" s="1115"/>
      <c r="DAN10" s="1115"/>
      <c r="DAO10" s="1115"/>
      <c r="DAP10" s="1115"/>
      <c r="DAQ10" s="1115"/>
      <c r="DAR10" s="1115"/>
      <c r="DAS10" s="1115"/>
      <c r="DAT10" s="1115"/>
      <c r="DAU10" s="1115"/>
      <c r="DAV10" s="1115"/>
      <c r="DAW10" s="1115"/>
      <c r="DAX10" s="1115"/>
      <c r="DAY10" s="1115"/>
      <c r="DAZ10" s="1115"/>
      <c r="DBA10" s="1115"/>
      <c r="DBB10" s="1115"/>
      <c r="DBC10" s="1115"/>
      <c r="DBD10" s="1115"/>
      <c r="DBE10" s="1115"/>
      <c r="DBF10" s="1115"/>
      <c r="DBG10" s="1115"/>
      <c r="DBH10" s="1115"/>
      <c r="DBI10" s="1115"/>
      <c r="DBJ10" s="1115"/>
      <c r="DBK10" s="1115"/>
      <c r="DBL10" s="1115"/>
      <c r="DBM10" s="1115"/>
      <c r="DBN10" s="1115"/>
      <c r="DBO10" s="1115"/>
      <c r="DBP10" s="1115"/>
      <c r="DBQ10" s="1115"/>
      <c r="DBR10" s="1115"/>
      <c r="DBS10" s="1115"/>
      <c r="DBT10" s="1115"/>
      <c r="DBU10" s="1115"/>
      <c r="DBV10" s="1115"/>
      <c r="DBW10" s="1115"/>
      <c r="DBX10" s="1115"/>
      <c r="DBY10" s="1115"/>
      <c r="DBZ10" s="1115"/>
      <c r="DCA10" s="1115"/>
      <c r="DCB10" s="1115"/>
      <c r="DCC10" s="1115"/>
      <c r="DCD10" s="1115"/>
      <c r="DCE10" s="1115"/>
      <c r="DCF10" s="1115"/>
      <c r="DCG10" s="1115"/>
      <c r="DCH10" s="1115"/>
      <c r="DCI10" s="1115"/>
      <c r="DCJ10" s="1115"/>
      <c r="DCK10" s="1115"/>
      <c r="DCL10" s="1115"/>
      <c r="DCM10" s="1115"/>
      <c r="DCN10" s="1115"/>
      <c r="DCO10" s="1115"/>
      <c r="DCP10" s="1115"/>
      <c r="DCQ10" s="1115"/>
      <c r="DCR10" s="1115"/>
      <c r="DCS10" s="1115"/>
      <c r="DCT10" s="1115"/>
      <c r="DCU10" s="1115"/>
      <c r="DCV10" s="1115"/>
      <c r="DCW10" s="1115"/>
      <c r="DCX10" s="1115"/>
      <c r="DCY10" s="1115"/>
      <c r="DCZ10" s="1115"/>
      <c r="DDA10" s="1115"/>
      <c r="DDB10" s="1115"/>
      <c r="DDC10" s="1115"/>
      <c r="DDD10" s="1115"/>
      <c r="DDE10" s="1115"/>
      <c r="DDF10" s="1115"/>
      <c r="DDG10" s="1115"/>
      <c r="DDH10" s="1115"/>
      <c r="DDI10" s="1115"/>
      <c r="DDJ10" s="1115"/>
      <c r="DDK10" s="1115"/>
      <c r="DDL10" s="1115"/>
      <c r="DDM10" s="1115"/>
      <c r="DDN10" s="1115"/>
      <c r="DDO10" s="1115"/>
      <c r="DDP10" s="1115"/>
      <c r="DDQ10" s="1115"/>
      <c r="DDR10" s="1115"/>
      <c r="DDS10" s="1115"/>
      <c r="DDT10" s="1115"/>
      <c r="DDU10" s="1115"/>
      <c r="DDV10" s="1115"/>
      <c r="DDW10" s="1115"/>
      <c r="DDX10" s="1115"/>
      <c r="DDY10" s="1115"/>
      <c r="DDZ10" s="1115"/>
      <c r="DEA10" s="1115"/>
      <c r="DEB10" s="1115"/>
      <c r="DEC10" s="1115"/>
      <c r="DED10" s="1115"/>
      <c r="DEE10" s="1115"/>
      <c r="DEF10" s="1115"/>
      <c r="DEG10" s="1115"/>
      <c r="DEH10" s="1115"/>
      <c r="DEI10" s="1115"/>
      <c r="DEJ10" s="1115"/>
      <c r="DEK10" s="1115"/>
      <c r="DEL10" s="1115"/>
      <c r="DEM10" s="1115"/>
      <c r="DEN10" s="1115"/>
      <c r="DEO10" s="1115"/>
      <c r="DEP10" s="1115"/>
      <c r="DEQ10" s="1115"/>
      <c r="DER10" s="1115"/>
      <c r="DES10" s="1115"/>
      <c r="DET10" s="1115"/>
      <c r="DEU10" s="1115"/>
      <c r="DEV10" s="1115"/>
      <c r="DEW10" s="1115"/>
      <c r="DEX10" s="1115"/>
      <c r="DEY10" s="1115"/>
      <c r="DEZ10" s="1115"/>
      <c r="DFA10" s="1115"/>
      <c r="DFB10" s="1115"/>
      <c r="DFC10" s="1115"/>
      <c r="DFD10" s="1115"/>
      <c r="DFE10" s="1115"/>
      <c r="DFF10" s="1115"/>
      <c r="DFG10" s="1115"/>
      <c r="DFH10" s="1115"/>
      <c r="DFI10" s="1115"/>
      <c r="DFJ10" s="1115"/>
      <c r="DFK10" s="1115"/>
      <c r="DFL10" s="1115"/>
      <c r="DFM10" s="1115"/>
      <c r="DFN10" s="1115"/>
      <c r="DFO10" s="1115"/>
      <c r="DFP10" s="1115"/>
      <c r="DFQ10" s="1115"/>
      <c r="DFR10" s="1115"/>
      <c r="DFS10" s="1115"/>
      <c r="DFT10" s="1115"/>
      <c r="DFU10" s="1115"/>
      <c r="DFV10" s="1115"/>
      <c r="DFW10" s="1115"/>
      <c r="DFX10" s="1115"/>
      <c r="DFY10" s="1115"/>
      <c r="DFZ10" s="1115"/>
      <c r="DGA10" s="1115"/>
      <c r="DGB10" s="1115"/>
      <c r="DGC10" s="1115"/>
      <c r="DGD10" s="1115"/>
      <c r="DGE10" s="1115"/>
      <c r="DGF10" s="1115"/>
      <c r="DGG10" s="1115"/>
      <c r="DGH10" s="1115"/>
      <c r="DGI10" s="1115"/>
      <c r="DGJ10" s="1115"/>
      <c r="DGK10" s="1115"/>
      <c r="DGL10" s="1115"/>
      <c r="DGM10" s="1115"/>
      <c r="DGN10" s="1115"/>
      <c r="DGO10" s="1115"/>
      <c r="DGP10" s="1115"/>
      <c r="DGQ10" s="1115"/>
      <c r="DGR10" s="1115"/>
      <c r="DGS10" s="1115"/>
      <c r="DGT10" s="1115"/>
      <c r="DGU10" s="1115"/>
      <c r="DGV10" s="1115"/>
      <c r="DGW10" s="1115"/>
      <c r="DGX10" s="1115"/>
      <c r="DGY10" s="1115"/>
      <c r="DGZ10" s="1115"/>
      <c r="DHA10" s="1115"/>
      <c r="DHB10" s="1115"/>
      <c r="DHC10" s="1115"/>
      <c r="DHD10" s="1115"/>
      <c r="DHE10" s="1115"/>
      <c r="DHF10" s="1115"/>
      <c r="DHG10" s="1115"/>
      <c r="DHH10" s="1115"/>
      <c r="DHI10" s="1115"/>
      <c r="DHJ10" s="1115"/>
      <c r="DHK10" s="1115"/>
      <c r="DHL10" s="1115"/>
      <c r="DHM10" s="1115"/>
      <c r="DHN10" s="1115"/>
      <c r="DHO10" s="1115"/>
      <c r="DHP10" s="1115"/>
      <c r="DHQ10" s="1115"/>
      <c r="DHR10" s="1115"/>
      <c r="DHS10" s="1115"/>
      <c r="DHT10" s="1115"/>
      <c r="DHU10" s="1115"/>
      <c r="DHV10" s="1115"/>
      <c r="DHW10" s="1115"/>
      <c r="DHX10" s="1115"/>
      <c r="DHY10" s="1115"/>
      <c r="DHZ10" s="1115"/>
      <c r="DIA10" s="1115"/>
      <c r="DIB10" s="1115"/>
      <c r="DIC10" s="1115"/>
      <c r="DID10" s="1115"/>
      <c r="DIE10" s="1115"/>
      <c r="DIF10" s="1115"/>
      <c r="DIG10" s="1115"/>
      <c r="DIH10" s="1115"/>
      <c r="DII10" s="1115"/>
      <c r="DIJ10" s="1115"/>
      <c r="DIK10" s="1115"/>
      <c r="DIL10" s="1115"/>
      <c r="DIM10" s="1115"/>
      <c r="DIN10" s="1115"/>
      <c r="DIO10" s="1115"/>
      <c r="DIP10" s="1115"/>
      <c r="DIQ10" s="1115"/>
      <c r="DIR10" s="1115"/>
      <c r="DIS10" s="1115"/>
      <c r="DIT10" s="1115"/>
      <c r="DIU10" s="1115"/>
      <c r="DIV10" s="1115"/>
      <c r="DIW10" s="1115"/>
      <c r="DIX10" s="1115"/>
      <c r="DIY10" s="1115"/>
      <c r="DIZ10" s="1115"/>
      <c r="DJA10" s="1115"/>
      <c r="DJB10" s="1115"/>
      <c r="DJC10" s="1115"/>
      <c r="DJD10" s="1115"/>
      <c r="DJE10" s="1115"/>
      <c r="DJF10" s="1115"/>
      <c r="DJG10" s="1115"/>
      <c r="DJH10" s="1115"/>
      <c r="DJI10" s="1115"/>
      <c r="DJJ10" s="1115"/>
      <c r="DJK10" s="1115"/>
      <c r="DJL10" s="1115"/>
      <c r="DJM10" s="1115"/>
      <c r="DJN10" s="1115"/>
      <c r="DJO10" s="1115"/>
      <c r="DJP10" s="1115"/>
      <c r="DJQ10" s="1115"/>
      <c r="DJR10" s="1115"/>
      <c r="DJS10" s="1115"/>
      <c r="DJT10" s="1115"/>
      <c r="DJU10" s="1115"/>
      <c r="DJV10" s="1115"/>
      <c r="DJW10" s="1115"/>
      <c r="DJX10" s="1115"/>
      <c r="DJY10" s="1115"/>
      <c r="DJZ10" s="1115"/>
      <c r="DKA10" s="1115"/>
      <c r="DKB10" s="1115"/>
      <c r="DKC10" s="1115"/>
      <c r="DKD10" s="1115"/>
      <c r="DKE10" s="1115"/>
      <c r="DKF10" s="1115"/>
      <c r="DKG10" s="1115"/>
      <c r="DKH10" s="1115"/>
      <c r="DKI10" s="1115"/>
      <c r="DKJ10" s="1115"/>
      <c r="DKK10" s="1115"/>
      <c r="DKL10" s="1115"/>
      <c r="DKM10" s="1115"/>
      <c r="DKN10" s="1115"/>
      <c r="DKO10" s="1115"/>
      <c r="DKP10" s="1115"/>
      <c r="DKQ10" s="1115"/>
      <c r="DKR10" s="1115"/>
      <c r="DKS10" s="1115"/>
      <c r="DKT10" s="1115"/>
      <c r="DKU10" s="1115"/>
      <c r="DKV10" s="1115"/>
      <c r="DKW10" s="1115"/>
      <c r="DKX10" s="1115"/>
      <c r="DKY10" s="1115"/>
      <c r="DKZ10" s="1115"/>
      <c r="DLA10" s="1115"/>
      <c r="DLB10" s="1115"/>
      <c r="DLC10" s="1115"/>
      <c r="DLD10" s="1115"/>
      <c r="DLE10" s="1115"/>
      <c r="DLF10" s="1115"/>
      <c r="DLG10" s="1115"/>
      <c r="DLH10" s="1115"/>
      <c r="DLI10" s="1115"/>
      <c r="DLJ10" s="1115"/>
      <c r="DLK10" s="1115"/>
      <c r="DLL10" s="1115"/>
      <c r="DLM10" s="1115"/>
      <c r="DLN10" s="1115"/>
      <c r="DLO10" s="1115"/>
      <c r="DLP10" s="1115"/>
      <c r="DLQ10" s="1115"/>
      <c r="DLR10" s="1115"/>
      <c r="DLS10" s="1115"/>
      <c r="DLT10" s="1115"/>
      <c r="DLU10" s="1115"/>
      <c r="DLV10" s="1115"/>
      <c r="DLW10" s="1115"/>
      <c r="DLX10" s="1115"/>
      <c r="DLY10" s="1115"/>
      <c r="DLZ10" s="1115"/>
      <c r="DMA10" s="1115"/>
      <c r="DMB10" s="1115"/>
      <c r="DMC10" s="1115"/>
      <c r="DMD10" s="1115"/>
      <c r="DME10" s="1115"/>
      <c r="DMF10" s="1115"/>
      <c r="DMG10" s="1115"/>
      <c r="DMH10" s="1115"/>
      <c r="DMI10" s="1115"/>
      <c r="DMJ10" s="1115"/>
      <c r="DMK10" s="1115"/>
      <c r="DML10" s="1115"/>
      <c r="DMM10" s="1115"/>
      <c r="DMN10" s="1115"/>
      <c r="DMO10" s="1115"/>
      <c r="DMP10" s="1115"/>
      <c r="DMQ10" s="1115"/>
      <c r="DMR10" s="1115"/>
      <c r="DMS10" s="1115"/>
      <c r="DMT10" s="1115"/>
      <c r="DMU10" s="1115"/>
      <c r="DMV10" s="1115"/>
      <c r="DMW10" s="1115"/>
      <c r="DMX10" s="1115"/>
      <c r="DMY10" s="1115"/>
      <c r="DMZ10" s="1115"/>
      <c r="DNA10" s="1115"/>
      <c r="DNB10" s="1115"/>
      <c r="DNC10" s="1115"/>
      <c r="DND10" s="1115"/>
      <c r="DNE10" s="1115"/>
      <c r="DNF10" s="1115"/>
      <c r="DNG10" s="1115"/>
      <c r="DNH10" s="1115"/>
      <c r="DNI10" s="1115"/>
      <c r="DNJ10" s="1115"/>
      <c r="DNK10" s="1115"/>
      <c r="DNL10" s="1115"/>
      <c r="DNM10" s="1115"/>
      <c r="DNN10" s="1115"/>
      <c r="DNO10" s="1115"/>
      <c r="DNP10" s="1115"/>
      <c r="DNQ10" s="1115"/>
      <c r="DNR10" s="1115"/>
      <c r="DNS10" s="1115"/>
      <c r="DNT10" s="1115"/>
      <c r="DNU10" s="1115"/>
      <c r="DNV10" s="1115"/>
      <c r="DNW10" s="1115"/>
      <c r="DNX10" s="1115"/>
      <c r="DNY10" s="1115"/>
      <c r="DNZ10" s="1115"/>
      <c r="DOA10" s="1115"/>
      <c r="DOB10" s="1115"/>
      <c r="DOC10" s="1115"/>
      <c r="DOD10" s="1115"/>
      <c r="DOE10" s="1115"/>
      <c r="DOF10" s="1115"/>
      <c r="DOG10" s="1115"/>
      <c r="DOH10" s="1115"/>
      <c r="DOI10" s="1115"/>
      <c r="DOJ10" s="1115"/>
      <c r="DOK10" s="1115"/>
      <c r="DOL10" s="1115"/>
      <c r="DOM10" s="1115"/>
      <c r="DON10" s="1115"/>
      <c r="DOO10" s="1115"/>
      <c r="DOP10" s="1115"/>
      <c r="DOQ10" s="1115"/>
      <c r="DOR10" s="1115"/>
      <c r="DOS10" s="1115"/>
      <c r="DOT10" s="1115"/>
      <c r="DOU10" s="1115"/>
      <c r="DOV10" s="1115"/>
      <c r="DOW10" s="1115"/>
      <c r="DOX10" s="1115"/>
      <c r="DOY10" s="1115"/>
      <c r="DOZ10" s="1115"/>
      <c r="DPA10" s="1115"/>
      <c r="DPB10" s="1115"/>
      <c r="DPC10" s="1115"/>
      <c r="DPD10" s="1115"/>
      <c r="DPE10" s="1115"/>
      <c r="DPF10" s="1115"/>
      <c r="DPG10" s="1115"/>
      <c r="DPH10" s="1115"/>
      <c r="DPI10" s="1115"/>
      <c r="DPJ10" s="1115"/>
      <c r="DPK10" s="1115"/>
      <c r="DPL10" s="1115"/>
      <c r="DPM10" s="1115"/>
      <c r="DPN10" s="1115"/>
      <c r="DPO10" s="1115"/>
      <c r="DPP10" s="1115"/>
      <c r="DPQ10" s="1115"/>
      <c r="DPR10" s="1115"/>
      <c r="DPS10" s="1115"/>
      <c r="DPT10" s="1115"/>
      <c r="DPU10" s="1115"/>
      <c r="DPV10" s="1115"/>
      <c r="DPW10" s="1115"/>
      <c r="DPX10" s="1115"/>
      <c r="DPY10" s="1115"/>
      <c r="DPZ10" s="1115"/>
      <c r="DQA10" s="1115"/>
      <c r="DQB10" s="1115"/>
      <c r="DQC10" s="1115"/>
      <c r="DQD10" s="1115"/>
      <c r="DQE10" s="1115"/>
      <c r="DQF10" s="1115"/>
      <c r="DQG10" s="1115"/>
      <c r="DQH10" s="1115"/>
      <c r="DQI10" s="1115"/>
      <c r="DQJ10" s="1115"/>
      <c r="DQK10" s="1115"/>
      <c r="DQL10" s="1115"/>
      <c r="DQM10" s="1115"/>
      <c r="DQN10" s="1115"/>
      <c r="DQO10" s="1115"/>
      <c r="DQP10" s="1115"/>
      <c r="DQQ10" s="1115"/>
      <c r="DQR10" s="1115"/>
      <c r="DQS10" s="1115"/>
      <c r="DQT10" s="1115"/>
      <c r="DQU10" s="1115"/>
      <c r="DQV10" s="1115"/>
      <c r="DQW10" s="1115"/>
      <c r="DQX10" s="1115"/>
      <c r="DQY10" s="1115"/>
      <c r="DQZ10" s="1115"/>
      <c r="DRA10" s="1115"/>
      <c r="DRB10" s="1115"/>
      <c r="DRC10" s="1115"/>
      <c r="DRD10" s="1115"/>
      <c r="DRE10" s="1115"/>
      <c r="DRF10" s="1115"/>
      <c r="DRG10" s="1115"/>
      <c r="DRH10" s="1115"/>
      <c r="DRI10" s="1115"/>
      <c r="DRJ10" s="1115"/>
      <c r="DRK10" s="1115"/>
      <c r="DRL10" s="1115"/>
      <c r="DRM10" s="1115"/>
      <c r="DRN10" s="1115"/>
      <c r="DRO10" s="1115"/>
      <c r="DRP10" s="1115"/>
      <c r="DRQ10" s="1115"/>
      <c r="DRR10" s="1115"/>
      <c r="DRS10" s="1115"/>
      <c r="DRT10" s="1115"/>
      <c r="DRU10" s="1115"/>
      <c r="DRV10" s="1115"/>
      <c r="DRW10" s="1115"/>
      <c r="DRX10" s="1115"/>
      <c r="DRY10" s="1115"/>
      <c r="DRZ10" s="1115"/>
      <c r="DSA10" s="1115"/>
      <c r="DSB10" s="1115"/>
      <c r="DSC10" s="1115"/>
      <c r="DSD10" s="1115"/>
      <c r="DSE10" s="1115"/>
      <c r="DSF10" s="1115"/>
      <c r="DSG10" s="1115"/>
      <c r="DSH10" s="1115"/>
      <c r="DSI10" s="1115"/>
      <c r="DSJ10" s="1115"/>
      <c r="DSK10" s="1115"/>
      <c r="DSL10" s="1115"/>
      <c r="DSM10" s="1115"/>
      <c r="DSN10" s="1115"/>
      <c r="DSO10" s="1115"/>
      <c r="DSP10" s="1115"/>
      <c r="DSQ10" s="1115"/>
      <c r="DSR10" s="1115"/>
      <c r="DSS10" s="1115"/>
      <c r="DST10" s="1115"/>
      <c r="DSU10" s="1115"/>
      <c r="DSV10" s="1115"/>
      <c r="DSW10" s="1115"/>
      <c r="DSX10" s="1115"/>
      <c r="DSY10" s="1115"/>
      <c r="DSZ10" s="1115"/>
      <c r="DTA10" s="1115"/>
      <c r="DTB10" s="1115"/>
      <c r="DTC10" s="1115"/>
      <c r="DTD10" s="1115"/>
      <c r="DTE10" s="1115"/>
      <c r="DTF10" s="1115"/>
      <c r="DTG10" s="1115"/>
      <c r="DTH10" s="1115"/>
      <c r="DTI10" s="1115"/>
      <c r="DTJ10" s="1115"/>
      <c r="DTK10" s="1115"/>
      <c r="DTL10" s="1115"/>
      <c r="DTM10" s="1115"/>
      <c r="DTN10" s="1115"/>
      <c r="DTO10" s="1115"/>
      <c r="DTP10" s="1115"/>
      <c r="DTQ10" s="1115"/>
      <c r="DTR10" s="1115"/>
      <c r="DTS10" s="1115"/>
      <c r="DTT10" s="1115"/>
      <c r="DTU10" s="1115"/>
      <c r="DTV10" s="1115"/>
      <c r="DTW10" s="1115"/>
      <c r="DTX10" s="1115"/>
      <c r="DTY10" s="1115"/>
      <c r="DTZ10" s="1115"/>
      <c r="DUA10" s="1115"/>
      <c r="DUB10" s="1115"/>
      <c r="DUC10" s="1115"/>
      <c r="DUD10" s="1115"/>
      <c r="DUE10" s="1115"/>
      <c r="DUF10" s="1115"/>
      <c r="DUG10" s="1115"/>
      <c r="DUH10" s="1115"/>
      <c r="DUI10" s="1115"/>
      <c r="DUJ10" s="1115"/>
      <c r="DUK10" s="1115"/>
      <c r="DUL10" s="1115"/>
      <c r="DUM10" s="1115"/>
      <c r="DUN10" s="1115"/>
      <c r="DUO10" s="1115"/>
      <c r="DUP10" s="1115"/>
      <c r="DUQ10" s="1115"/>
      <c r="DUR10" s="1115"/>
      <c r="DUS10" s="1115"/>
      <c r="DUT10" s="1115"/>
      <c r="DUU10" s="1115"/>
      <c r="DUV10" s="1115"/>
      <c r="DUW10" s="1115"/>
      <c r="DUX10" s="1115"/>
      <c r="DUY10" s="1115"/>
      <c r="DUZ10" s="1115"/>
      <c r="DVA10" s="1115"/>
      <c r="DVB10" s="1115"/>
      <c r="DVC10" s="1115"/>
      <c r="DVD10" s="1115"/>
      <c r="DVE10" s="1115"/>
      <c r="DVF10" s="1115"/>
      <c r="DVG10" s="1115"/>
      <c r="DVH10" s="1115"/>
      <c r="DVI10" s="1115"/>
      <c r="DVJ10" s="1115"/>
      <c r="DVK10" s="1115"/>
      <c r="DVL10" s="1115"/>
      <c r="DVM10" s="1115"/>
      <c r="DVN10" s="1115"/>
      <c r="DVO10" s="1115"/>
      <c r="DVP10" s="1115"/>
      <c r="DVQ10" s="1115"/>
      <c r="DVR10" s="1115"/>
      <c r="DVS10" s="1115"/>
      <c r="DVT10" s="1115"/>
      <c r="DVU10" s="1115"/>
      <c r="DVV10" s="1115"/>
      <c r="DVW10" s="1115"/>
      <c r="DVX10" s="1115"/>
      <c r="DVY10" s="1115"/>
      <c r="DVZ10" s="1115"/>
      <c r="DWA10" s="1115"/>
      <c r="DWB10" s="1115"/>
      <c r="DWC10" s="1115"/>
      <c r="DWD10" s="1115"/>
      <c r="DWE10" s="1115"/>
      <c r="DWF10" s="1115"/>
      <c r="DWG10" s="1115"/>
      <c r="DWH10" s="1115"/>
      <c r="DWI10" s="1115"/>
      <c r="DWJ10" s="1115"/>
      <c r="DWK10" s="1115"/>
      <c r="DWL10" s="1115"/>
      <c r="DWM10" s="1115"/>
      <c r="DWN10" s="1115"/>
      <c r="DWO10" s="1115"/>
      <c r="DWP10" s="1115"/>
      <c r="DWQ10" s="1115"/>
      <c r="DWR10" s="1115"/>
      <c r="DWS10" s="1115"/>
      <c r="DWT10" s="1115"/>
      <c r="DWU10" s="1115"/>
      <c r="DWV10" s="1115"/>
      <c r="DWW10" s="1115"/>
      <c r="DWX10" s="1115"/>
      <c r="DWY10" s="1115"/>
      <c r="DWZ10" s="1115"/>
      <c r="DXA10" s="1115"/>
      <c r="DXB10" s="1115"/>
      <c r="DXC10" s="1115"/>
      <c r="DXD10" s="1115"/>
      <c r="DXE10" s="1115"/>
      <c r="DXF10" s="1115"/>
      <c r="DXG10" s="1115"/>
      <c r="DXH10" s="1115"/>
      <c r="DXI10" s="1115"/>
      <c r="DXJ10" s="1115"/>
      <c r="DXK10" s="1115"/>
      <c r="DXL10" s="1115"/>
      <c r="DXM10" s="1115"/>
      <c r="DXN10" s="1115"/>
      <c r="DXO10" s="1115"/>
      <c r="DXP10" s="1115"/>
      <c r="DXQ10" s="1115"/>
      <c r="DXR10" s="1115"/>
      <c r="DXS10" s="1115"/>
      <c r="DXT10" s="1115"/>
      <c r="DXU10" s="1115"/>
      <c r="DXV10" s="1115"/>
      <c r="DXW10" s="1115"/>
      <c r="DXX10" s="1115"/>
      <c r="DXY10" s="1115"/>
      <c r="DXZ10" s="1115"/>
      <c r="DYA10" s="1115"/>
      <c r="DYB10" s="1115"/>
      <c r="DYC10" s="1115"/>
      <c r="DYD10" s="1115"/>
      <c r="DYE10" s="1115"/>
      <c r="DYF10" s="1115"/>
      <c r="DYG10" s="1115"/>
      <c r="DYH10" s="1115"/>
      <c r="DYI10" s="1115"/>
      <c r="DYJ10" s="1115"/>
      <c r="DYK10" s="1115"/>
      <c r="DYL10" s="1115"/>
      <c r="DYM10" s="1115"/>
      <c r="DYN10" s="1115"/>
      <c r="DYO10" s="1115"/>
      <c r="DYP10" s="1115"/>
      <c r="DYQ10" s="1115"/>
      <c r="DYR10" s="1115"/>
      <c r="DYS10" s="1115"/>
      <c r="DYT10" s="1115"/>
      <c r="DYU10" s="1115"/>
      <c r="DYV10" s="1115"/>
      <c r="DYW10" s="1115"/>
      <c r="DYX10" s="1115"/>
      <c r="DYY10" s="1115"/>
      <c r="DYZ10" s="1115"/>
      <c r="DZA10" s="1115"/>
      <c r="DZB10" s="1115"/>
      <c r="DZC10" s="1115"/>
      <c r="DZD10" s="1115"/>
      <c r="DZE10" s="1115"/>
      <c r="DZF10" s="1115"/>
      <c r="DZG10" s="1115"/>
      <c r="DZH10" s="1115"/>
      <c r="DZI10" s="1115"/>
      <c r="DZJ10" s="1115"/>
      <c r="DZK10" s="1115"/>
      <c r="DZL10" s="1115"/>
      <c r="DZM10" s="1115"/>
      <c r="DZN10" s="1115"/>
      <c r="DZO10" s="1115"/>
      <c r="DZP10" s="1115"/>
      <c r="DZQ10" s="1115"/>
      <c r="DZR10" s="1115"/>
      <c r="DZS10" s="1115"/>
      <c r="DZT10" s="1115"/>
      <c r="DZU10" s="1115"/>
      <c r="DZV10" s="1115"/>
      <c r="DZW10" s="1115"/>
      <c r="DZX10" s="1115"/>
      <c r="DZY10" s="1115"/>
      <c r="DZZ10" s="1115"/>
      <c r="EAA10" s="1115"/>
      <c r="EAB10" s="1115"/>
      <c r="EAC10" s="1115"/>
      <c r="EAD10" s="1115"/>
      <c r="EAE10" s="1115"/>
      <c r="EAF10" s="1115"/>
      <c r="EAG10" s="1115"/>
      <c r="EAH10" s="1115"/>
      <c r="EAI10" s="1115"/>
      <c r="EAJ10" s="1115"/>
      <c r="EAK10" s="1115"/>
      <c r="EAL10" s="1115"/>
      <c r="EAM10" s="1115"/>
      <c r="EAN10" s="1115"/>
      <c r="EAO10" s="1115"/>
      <c r="EAP10" s="1115"/>
      <c r="EAQ10" s="1115"/>
      <c r="EAR10" s="1115"/>
      <c r="EAS10" s="1115"/>
      <c r="EAT10" s="1115"/>
      <c r="EAU10" s="1115"/>
      <c r="EAV10" s="1115"/>
      <c r="EAW10" s="1115"/>
      <c r="EAX10" s="1115"/>
      <c r="EAY10" s="1115"/>
      <c r="EAZ10" s="1115"/>
      <c r="EBA10" s="1115"/>
      <c r="EBB10" s="1115"/>
      <c r="EBC10" s="1115"/>
      <c r="EBD10" s="1115"/>
      <c r="EBE10" s="1115"/>
      <c r="EBF10" s="1115"/>
      <c r="EBG10" s="1115"/>
      <c r="EBH10" s="1115"/>
      <c r="EBI10" s="1115"/>
      <c r="EBJ10" s="1115"/>
      <c r="EBK10" s="1115"/>
      <c r="EBL10" s="1115"/>
      <c r="EBM10" s="1115"/>
      <c r="EBN10" s="1115"/>
      <c r="EBO10" s="1115"/>
      <c r="EBP10" s="1115"/>
      <c r="EBQ10" s="1115"/>
      <c r="EBR10" s="1115"/>
      <c r="EBS10" s="1115"/>
      <c r="EBT10" s="1115"/>
      <c r="EBU10" s="1115"/>
      <c r="EBV10" s="1115"/>
      <c r="EBW10" s="1115"/>
      <c r="EBX10" s="1115"/>
      <c r="EBY10" s="1115"/>
      <c r="EBZ10" s="1115"/>
      <c r="ECA10" s="1115"/>
      <c r="ECB10" s="1115"/>
      <c r="ECC10" s="1115"/>
      <c r="ECD10" s="1115"/>
      <c r="ECE10" s="1115"/>
      <c r="ECF10" s="1115"/>
      <c r="ECG10" s="1115"/>
      <c r="ECH10" s="1115"/>
      <c r="ECI10" s="1115"/>
      <c r="ECJ10" s="1115"/>
      <c r="ECK10" s="1115"/>
      <c r="ECL10" s="1115"/>
      <c r="ECM10" s="1115"/>
      <c r="ECN10" s="1115"/>
      <c r="ECO10" s="1115"/>
      <c r="ECP10" s="1115"/>
      <c r="ECQ10" s="1115"/>
      <c r="ECR10" s="1115"/>
      <c r="ECS10" s="1115"/>
      <c r="ECT10" s="1115"/>
      <c r="ECU10" s="1115"/>
      <c r="ECV10" s="1115"/>
      <c r="ECW10" s="1115"/>
      <c r="ECX10" s="1115"/>
      <c r="ECY10" s="1115"/>
      <c r="ECZ10" s="1115"/>
      <c r="EDA10" s="1115"/>
      <c r="EDB10" s="1115"/>
      <c r="EDC10" s="1115"/>
      <c r="EDD10" s="1115"/>
      <c r="EDE10" s="1115"/>
      <c r="EDF10" s="1115"/>
      <c r="EDG10" s="1115"/>
      <c r="EDH10" s="1115"/>
      <c r="EDI10" s="1115"/>
      <c r="EDJ10" s="1115"/>
      <c r="EDK10" s="1115"/>
      <c r="EDL10" s="1115"/>
      <c r="EDM10" s="1115"/>
      <c r="EDN10" s="1115"/>
      <c r="EDO10" s="1115"/>
      <c r="EDP10" s="1115"/>
      <c r="EDQ10" s="1115"/>
      <c r="EDR10" s="1115"/>
      <c r="EDS10" s="1115"/>
      <c r="EDT10" s="1115"/>
      <c r="EDU10" s="1115"/>
      <c r="EDV10" s="1115"/>
      <c r="EDW10" s="1115"/>
      <c r="EDX10" s="1115"/>
      <c r="EDY10" s="1115"/>
      <c r="EDZ10" s="1115"/>
      <c r="EEA10" s="1115"/>
      <c r="EEB10" s="1115"/>
      <c r="EEC10" s="1115"/>
      <c r="EED10" s="1115"/>
      <c r="EEE10" s="1115"/>
      <c r="EEF10" s="1115"/>
      <c r="EEG10" s="1115"/>
      <c r="EEH10" s="1115"/>
      <c r="EEI10" s="1115"/>
      <c r="EEJ10" s="1115"/>
      <c r="EEK10" s="1115"/>
      <c r="EEL10" s="1115"/>
      <c r="EEM10" s="1115"/>
      <c r="EEN10" s="1115"/>
      <c r="EEO10" s="1115"/>
      <c r="EEP10" s="1115"/>
      <c r="EEQ10" s="1115"/>
      <c r="EER10" s="1115"/>
      <c r="EES10" s="1115"/>
      <c r="EET10" s="1115"/>
      <c r="EEU10" s="1115"/>
      <c r="EEV10" s="1115"/>
      <c r="EEW10" s="1115"/>
      <c r="EEX10" s="1115"/>
      <c r="EEY10" s="1115"/>
      <c r="EEZ10" s="1115"/>
      <c r="EFA10" s="1115"/>
      <c r="EFB10" s="1115"/>
      <c r="EFC10" s="1115"/>
      <c r="EFD10" s="1115"/>
      <c r="EFE10" s="1115"/>
      <c r="EFF10" s="1115"/>
      <c r="EFG10" s="1115"/>
      <c r="EFH10" s="1115"/>
      <c r="EFI10" s="1115"/>
      <c r="EFJ10" s="1115"/>
      <c r="EFK10" s="1115"/>
      <c r="EFL10" s="1115"/>
      <c r="EFM10" s="1115"/>
      <c r="EFN10" s="1115"/>
      <c r="EFO10" s="1115"/>
      <c r="EFP10" s="1115"/>
      <c r="EFQ10" s="1115"/>
      <c r="EFR10" s="1115"/>
      <c r="EFS10" s="1115"/>
      <c r="EFT10" s="1115"/>
      <c r="EFU10" s="1115"/>
      <c r="EFV10" s="1115"/>
      <c r="EFW10" s="1115"/>
      <c r="EFX10" s="1115"/>
      <c r="EFY10" s="1115"/>
      <c r="EFZ10" s="1115"/>
      <c r="EGA10" s="1115"/>
      <c r="EGB10" s="1115"/>
      <c r="EGC10" s="1115"/>
      <c r="EGD10" s="1115"/>
      <c r="EGE10" s="1115"/>
      <c r="EGF10" s="1115"/>
      <c r="EGG10" s="1115"/>
      <c r="EGH10" s="1115"/>
      <c r="EGI10" s="1115"/>
      <c r="EGJ10" s="1115"/>
      <c r="EGK10" s="1115"/>
      <c r="EGL10" s="1115"/>
      <c r="EGM10" s="1115"/>
      <c r="EGN10" s="1115"/>
      <c r="EGO10" s="1115"/>
      <c r="EGP10" s="1115"/>
      <c r="EGQ10" s="1115"/>
      <c r="EGR10" s="1115"/>
      <c r="EGS10" s="1115"/>
      <c r="EGT10" s="1115"/>
      <c r="EGU10" s="1115"/>
      <c r="EGV10" s="1115"/>
      <c r="EGW10" s="1115"/>
      <c r="EGX10" s="1115"/>
      <c r="EGY10" s="1115"/>
      <c r="EGZ10" s="1115"/>
      <c r="EHA10" s="1115"/>
      <c r="EHB10" s="1115"/>
      <c r="EHC10" s="1115"/>
      <c r="EHD10" s="1115"/>
      <c r="EHE10" s="1115"/>
      <c r="EHF10" s="1115"/>
      <c r="EHG10" s="1115"/>
      <c r="EHH10" s="1115"/>
      <c r="EHI10" s="1115"/>
      <c r="EHJ10" s="1115"/>
      <c r="EHK10" s="1115"/>
      <c r="EHL10" s="1115"/>
      <c r="EHM10" s="1115"/>
      <c r="EHN10" s="1115"/>
      <c r="EHO10" s="1115"/>
      <c r="EHP10" s="1115"/>
      <c r="EHQ10" s="1115"/>
      <c r="EHR10" s="1115"/>
      <c r="EHS10" s="1115"/>
      <c r="EHT10" s="1115"/>
      <c r="EHU10" s="1115"/>
      <c r="EHV10" s="1115"/>
      <c r="EHW10" s="1115"/>
      <c r="EHX10" s="1115"/>
      <c r="EHY10" s="1115"/>
      <c r="EHZ10" s="1115"/>
      <c r="EIA10" s="1115"/>
      <c r="EIB10" s="1115"/>
      <c r="EIC10" s="1115"/>
      <c r="EID10" s="1115"/>
      <c r="EIE10" s="1115"/>
      <c r="EIF10" s="1115"/>
      <c r="EIG10" s="1115"/>
      <c r="EIH10" s="1115"/>
      <c r="EII10" s="1115"/>
      <c r="EIJ10" s="1115"/>
      <c r="EIK10" s="1115"/>
      <c r="EIL10" s="1115"/>
      <c r="EIM10" s="1115"/>
      <c r="EIN10" s="1115"/>
      <c r="EIO10" s="1115"/>
      <c r="EIP10" s="1115"/>
      <c r="EIQ10" s="1115"/>
      <c r="EIR10" s="1115"/>
      <c r="EIS10" s="1115"/>
      <c r="EIT10" s="1115"/>
      <c r="EIU10" s="1115"/>
      <c r="EIV10" s="1115"/>
      <c r="EIW10" s="1115"/>
      <c r="EIX10" s="1115"/>
      <c r="EIY10" s="1115"/>
      <c r="EIZ10" s="1115"/>
      <c r="EJA10" s="1115"/>
      <c r="EJB10" s="1115"/>
      <c r="EJC10" s="1115"/>
      <c r="EJD10" s="1115"/>
      <c r="EJE10" s="1115"/>
      <c r="EJF10" s="1115"/>
      <c r="EJG10" s="1115"/>
      <c r="EJH10" s="1115"/>
      <c r="EJI10" s="1115"/>
      <c r="EJJ10" s="1115"/>
      <c r="EJK10" s="1115"/>
      <c r="EJL10" s="1115"/>
      <c r="EJM10" s="1115"/>
      <c r="EJN10" s="1115"/>
      <c r="EJO10" s="1115"/>
      <c r="EJP10" s="1115"/>
      <c r="EJQ10" s="1115"/>
      <c r="EJR10" s="1115"/>
      <c r="EJS10" s="1115"/>
      <c r="EJT10" s="1115"/>
      <c r="EJU10" s="1115"/>
      <c r="EJV10" s="1115"/>
      <c r="EJW10" s="1115"/>
      <c r="EJX10" s="1115"/>
      <c r="EJY10" s="1115"/>
      <c r="EJZ10" s="1115"/>
      <c r="EKA10" s="1115"/>
      <c r="EKB10" s="1115"/>
      <c r="EKC10" s="1115"/>
      <c r="EKD10" s="1115"/>
      <c r="EKE10" s="1115"/>
      <c r="EKF10" s="1115"/>
      <c r="EKG10" s="1115"/>
      <c r="EKH10" s="1115"/>
      <c r="EKI10" s="1115"/>
      <c r="EKJ10" s="1115"/>
      <c r="EKK10" s="1115"/>
      <c r="EKL10" s="1115"/>
      <c r="EKM10" s="1115"/>
      <c r="EKN10" s="1115"/>
      <c r="EKO10" s="1115"/>
      <c r="EKP10" s="1115"/>
      <c r="EKQ10" s="1115"/>
      <c r="EKR10" s="1115"/>
      <c r="EKS10" s="1115"/>
      <c r="EKT10" s="1115"/>
      <c r="EKU10" s="1115"/>
      <c r="EKV10" s="1115"/>
      <c r="EKW10" s="1115"/>
      <c r="EKX10" s="1115"/>
      <c r="EKY10" s="1115"/>
      <c r="EKZ10" s="1115"/>
      <c r="ELA10" s="1115"/>
      <c r="ELB10" s="1115"/>
      <c r="ELC10" s="1115"/>
      <c r="ELD10" s="1115"/>
      <c r="ELE10" s="1115"/>
      <c r="ELF10" s="1115"/>
      <c r="ELG10" s="1115"/>
      <c r="ELH10" s="1115"/>
      <c r="ELI10" s="1115"/>
      <c r="ELJ10" s="1115"/>
      <c r="ELK10" s="1115"/>
      <c r="ELL10" s="1115"/>
      <c r="ELM10" s="1115"/>
      <c r="ELN10" s="1115"/>
      <c r="ELO10" s="1115"/>
      <c r="ELP10" s="1115"/>
      <c r="ELQ10" s="1115"/>
      <c r="ELR10" s="1115"/>
      <c r="ELS10" s="1115"/>
      <c r="ELT10" s="1115"/>
      <c r="ELU10" s="1115"/>
      <c r="ELV10" s="1115"/>
      <c r="ELW10" s="1115"/>
      <c r="ELX10" s="1115"/>
      <c r="ELY10" s="1115"/>
      <c r="ELZ10" s="1115"/>
      <c r="EMA10" s="1115"/>
      <c r="EMB10" s="1115"/>
      <c r="EMC10" s="1115"/>
      <c r="EMD10" s="1115"/>
      <c r="EME10" s="1115"/>
      <c r="EMF10" s="1115"/>
      <c r="EMG10" s="1115"/>
      <c r="EMH10" s="1115"/>
      <c r="EMI10" s="1115"/>
      <c r="EMJ10" s="1115"/>
      <c r="EMK10" s="1115"/>
      <c r="EML10" s="1115"/>
      <c r="EMM10" s="1115"/>
      <c r="EMN10" s="1115"/>
      <c r="EMO10" s="1115"/>
      <c r="EMP10" s="1115"/>
      <c r="EMQ10" s="1115"/>
      <c r="EMR10" s="1115"/>
      <c r="EMS10" s="1115"/>
      <c r="EMT10" s="1115"/>
      <c r="EMU10" s="1115"/>
      <c r="EMV10" s="1115"/>
      <c r="EMW10" s="1115"/>
      <c r="EMX10" s="1115"/>
      <c r="EMY10" s="1115"/>
      <c r="EMZ10" s="1115"/>
      <c r="ENA10" s="1115"/>
      <c r="ENB10" s="1115"/>
      <c r="ENC10" s="1115"/>
      <c r="END10" s="1115"/>
      <c r="ENE10" s="1115"/>
      <c r="ENF10" s="1115"/>
      <c r="ENG10" s="1115"/>
      <c r="ENH10" s="1115"/>
      <c r="ENI10" s="1115"/>
      <c r="ENJ10" s="1115"/>
      <c r="ENK10" s="1115"/>
      <c r="ENL10" s="1115"/>
      <c r="ENM10" s="1115"/>
      <c r="ENN10" s="1115"/>
      <c r="ENO10" s="1115"/>
      <c r="ENP10" s="1115"/>
      <c r="ENQ10" s="1115"/>
      <c r="ENR10" s="1115"/>
      <c r="ENS10" s="1115"/>
      <c r="ENT10" s="1115"/>
      <c r="ENU10" s="1115"/>
      <c r="ENV10" s="1115"/>
      <c r="ENW10" s="1115"/>
      <c r="ENX10" s="1115"/>
      <c r="ENY10" s="1115"/>
      <c r="ENZ10" s="1115"/>
      <c r="EOA10" s="1115"/>
      <c r="EOB10" s="1115"/>
      <c r="EOC10" s="1115"/>
      <c r="EOD10" s="1115"/>
      <c r="EOE10" s="1115"/>
      <c r="EOF10" s="1115"/>
      <c r="EOG10" s="1115"/>
      <c r="EOH10" s="1115"/>
      <c r="EOI10" s="1115"/>
      <c r="EOJ10" s="1115"/>
      <c r="EOK10" s="1115"/>
      <c r="EOL10" s="1115"/>
      <c r="EOM10" s="1115"/>
      <c r="EON10" s="1115"/>
      <c r="EOO10" s="1115"/>
      <c r="EOP10" s="1115"/>
      <c r="EOQ10" s="1115"/>
      <c r="EOR10" s="1115"/>
      <c r="EOS10" s="1115"/>
      <c r="EOT10" s="1115"/>
      <c r="EOU10" s="1115"/>
      <c r="EOV10" s="1115"/>
      <c r="EOW10" s="1115"/>
      <c r="EOX10" s="1115"/>
      <c r="EOY10" s="1115"/>
      <c r="EOZ10" s="1115"/>
      <c r="EPA10" s="1115"/>
      <c r="EPB10" s="1115"/>
      <c r="EPC10" s="1115"/>
      <c r="EPD10" s="1115"/>
      <c r="EPE10" s="1115"/>
      <c r="EPF10" s="1115"/>
      <c r="EPG10" s="1115"/>
      <c r="EPH10" s="1115"/>
      <c r="EPI10" s="1115"/>
      <c r="EPJ10" s="1115"/>
      <c r="EPK10" s="1115"/>
      <c r="EPL10" s="1115"/>
      <c r="EPM10" s="1115"/>
      <c r="EPN10" s="1115"/>
      <c r="EPO10" s="1115"/>
      <c r="EPP10" s="1115"/>
      <c r="EPQ10" s="1115"/>
      <c r="EPR10" s="1115"/>
      <c r="EPS10" s="1115"/>
      <c r="EPT10" s="1115"/>
      <c r="EPU10" s="1115"/>
      <c r="EPV10" s="1115"/>
      <c r="EPW10" s="1115"/>
      <c r="EPX10" s="1115"/>
      <c r="EPY10" s="1115"/>
      <c r="EPZ10" s="1115"/>
      <c r="EQA10" s="1115"/>
      <c r="EQB10" s="1115"/>
      <c r="EQC10" s="1115"/>
      <c r="EQD10" s="1115"/>
      <c r="EQE10" s="1115"/>
      <c r="EQF10" s="1115"/>
      <c r="EQG10" s="1115"/>
      <c r="EQH10" s="1115"/>
      <c r="EQI10" s="1115"/>
      <c r="EQJ10" s="1115"/>
      <c r="EQK10" s="1115"/>
      <c r="EQL10" s="1115"/>
      <c r="EQM10" s="1115"/>
      <c r="EQN10" s="1115"/>
      <c r="EQO10" s="1115"/>
      <c r="EQP10" s="1115"/>
      <c r="EQQ10" s="1115"/>
      <c r="EQR10" s="1115"/>
      <c r="EQS10" s="1115"/>
      <c r="EQT10" s="1115"/>
      <c r="EQU10" s="1115"/>
      <c r="EQV10" s="1115"/>
      <c r="EQW10" s="1115"/>
      <c r="EQX10" s="1115"/>
      <c r="EQY10" s="1115"/>
      <c r="EQZ10" s="1115"/>
      <c r="ERA10" s="1115"/>
      <c r="ERB10" s="1115"/>
      <c r="ERC10" s="1115"/>
      <c r="ERD10" s="1115"/>
      <c r="ERE10" s="1115"/>
      <c r="ERF10" s="1115"/>
      <c r="ERG10" s="1115"/>
      <c r="ERH10" s="1115"/>
      <c r="ERI10" s="1115"/>
      <c r="ERJ10" s="1115"/>
      <c r="ERK10" s="1115"/>
      <c r="ERL10" s="1115"/>
      <c r="ERM10" s="1115"/>
      <c r="ERN10" s="1115"/>
      <c r="ERO10" s="1115"/>
      <c r="ERP10" s="1115"/>
      <c r="ERQ10" s="1115"/>
      <c r="ERR10" s="1115"/>
      <c r="ERS10" s="1115"/>
      <c r="ERT10" s="1115"/>
      <c r="ERU10" s="1115"/>
      <c r="ERV10" s="1115"/>
      <c r="ERW10" s="1115"/>
      <c r="ERX10" s="1115"/>
      <c r="ERY10" s="1115"/>
      <c r="ERZ10" s="1115"/>
      <c r="ESA10" s="1115"/>
      <c r="ESB10" s="1115"/>
      <c r="ESC10" s="1115"/>
      <c r="ESD10" s="1115"/>
      <c r="ESE10" s="1115"/>
      <c r="ESF10" s="1115"/>
      <c r="ESG10" s="1115"/>
      <c r="ESH10" s="1115"/>
      <c r="ESI10" s="1115"/>
      <c r="ESJ10" s="1115"/>
      <c r="ESK10" s="1115"/>
      <c r="ESL10" s="1115"/>
      <c r="ESM10" s="1115"/>
      <c r="ESN10" s="1115"/>
      <c r="ESO10" s="1115"/>
      <c r="ESP10" s="1115"/>
      <c r="ESQ10" s="1115"/>
      <c r="ESR10" s="1115"/>
      <c r="ESS10" s="1115"/>
      <c r="EST10" s="1115"/>
      <c r="ESU10" s="1115"/>
      <c r="ESV10" s="1115"/>
      <c r="ESW10" s="1115"/>
      <c r="ESX10" s="1115"/>
      <c r="ESY10" s="1115"/>
      <c r="ESZ10" s="1115"/>
      <c r="ETA10" s="1115"/>
      <c r="ETB10" s="1115"/>
      <c r="ETC10" s="1115"/>
      <c r="ETD10" s="1115"/>
      <c r="ETE10" s="1115"/>
      <c r="ETF10" s="1115"/>
      <c r="ETG10" s="1115"/>
      <c r="ETH10" s="1115"/>
      <c r="ETI10" s="1115"/>
      <c r="ETJ10" s="1115"/>
      <c r="ETK10" s="1115"/>
      <c r="ETL10" s="1115"/>
      <c r="ETM10" s="1115"/>
      <c r="ETN10" s="1115"/>
      <c r="ETO10" s="1115"/>
      <c r="ETP10" s="1115"/>
      <c r="ETQ10" s="1115"/>
      <c r="ETR10" s="1115"/>
      <c r="ETS10" s="1115"/>
      <c r="ETT10" s="1115"/>
      <c r="ETU10" s="1115"/>
      <c r="ETV10" s="1115"/>
      <c r="ETW10" s="1115"/>
      <c r="ETX10" s="1115"/>
      <c r="ETY10" s="1115"/>
      <c r="ETZ10" s="1115"/>
      <c r="EUA10" s="1115"/>
      <c r="EUB10" s="1115"/>
      <c r="EUC10" s="1115"/>
      <c r="EUD10" s="1115"/>
      <c r="EUE10" s="1115"/>
      <c r="EUF10" s="1115"/>
      <c r="EUG10" s="1115"/>
      <c r="EUH10" s="1115"/>
      <c r="EUI10" s="1115"/>
      <c r="EUJ10" s="1115"/>
      <c r="EUK10" s="1115"/>
      <c r="EUL10" s="1115"/>
      <c r="EUM10" s="1115"/>
      <c r="EUN10" s="1115"/>
      <c r="EUO10" s="1115"/>
      <c r="EUP10" s="1115"/>
      <c r="EUQ10" s="1115"/>
      <c r="EUR10" s="1115"/>
      <c r="EUS10" s="1115"/>
      <c r="EUT10" s="1115"/>
      <c r="EUU10" s="1115"/>
      <c r="EUV10" s="1115"/>
      <c r="EUW10" s="1115"/>
      <c r="EUX10" s="1115"/>
      <c r="EUY10" s="1115"/>
      <c r="EUZ10" s="1115"/>
      <c r="EVA10" s="1115"/>
      <c r="EVB10" s="1115"/>
      <c r="EVC10" s="1115"/>
      <c r="EVD10" s="1115"/>
      <c r="EVE10" s="1115"/>
      <c r="EVF10" s="1115"/>
      <c r="EVG10" s="1115"/>
      <c r="EVH10" s="1115"/>
      <c r="EVI10" s="1115"/>
      <c r="EVJ10" s="1115"/>
      <c r="EVK10" s="1115"/>
      <c r="EVL10" s="1115"/>
      <c r="EVM10" s="1115"/>
      <c r="EVN10" s="1115"/>
      <c r="EVO10" s="1115"/>
      <c r="EVP10" s="1115"/>
      <c r="EVQ10" s="1115"/>
      <c r="EVR10" s="1115"/>
      <c r="EVS10" s="1115"/>
      <c r="EVT10" s="1115"/>
      <c r="EVU10" s="1115"/>
      <c r="EVV10" s="1115"/>
      <c r="EVW10" s="1115"/>
      <c r="EVX10" s="1115"/>
      <c r="EVY10" s="1115"/>
      <c r="EVZ10" s="1115"/>
      <c r="EWA10" s="1115"/>
      <c r="EWB10" s="1115"/>
      <c r="EWC10" s="1115"/>
      <c r="EWD10" s="1115"/>
      <c r="EWE10" s="1115"/>
      <c r="EWF10" s="1115"/>
      <c r="EWG10" s="1115"/>
      <c r="EWH10" s="1115"/>
      <c r="EWI10" s="1115"/>
      <c r="EWJ10" s="1115"/>
      <c r="EWK10" s="1115"/>
      <c r="EWL10" s="1115"/>
      <c r="EWM10" s="1115"/>
      <c r="EWN10" s="1115"/>
      <c r="EWO10" s="1115"/>
      <c r="EWP10" s="1115"/>
      <c r="EWQ10" s="1115"/>
      <c r="EWR10" s="1115"/>
      <c r="EWS10" s="1115"/>
      <c r="EWT10" s="1115"/>
      <c r="EWU10" s="1115"/>
      <c r="EWV10" s="1115"/>
      <c r="EWW10" s="1115"/>
      <c r="EWX10" s="1115"/>
      <c r="EWY10" s="1115"/>
      <c r="EWZ10" s="1115"/>
      <c r="EXA10" s="1115"/>
      <c r="EXB10" s="1115"/>
      <c r="EXC10" s="1115"/>
      <c r="EXD10" s="1115"/>
      <c r="EXE10" s="1115"/>
      <c r="EXF10" s="1115"/>
      <c r="EXG10" s="1115"/>
      <c r="EXH10" s="1115"/>
      <c r="EXI10" s="1115"/>
      <c r="EXJ10" s="1115"/>
      <c r="EXK10" s="1115"/>
      <c r="EXL10" s="1115"/>
      <c r="EXM10" s="1115"/>
      <c r="EXN10" s="1115"/>
      <c r="EXO10" s="1115"/>
      <c r="EXP10" s="1115"/>
      <c r="EXQ10" s="1115"/>
      <c r="EXR10" s="1115"/>
      <c r="EXS10" s="1115"/>
      <c r="EXT10" s="1115"/>
      <c r="EXU10" s="1115"/>
      <c r="EXV10" s="1115"/>
      <c r="EXW10" s="1115"/>
      <c r="EXX10" s="1115"/>
      <c r="EXY10" s="1115"/>
      <c r="EXZ10" s="1115"/>
      <c r="EYA10" s="1115"/>
      <c r="EYB10" s="1115"/>
      <c r="EYC10" s="1115"/>
      <c r="EYD10" s="1115"/>
      <c r="EYE10" s="1115"/>
      <c r="EYF10" s="1115"/>
      <c r="EYG10" s="1115"/>
      <c r="EYH10" s="1115"/>
      <c r="EYI10" s="1115"/>
      <c r="EYJ10" s="1115"/>
      <c r="EYK10" s="1115"/>
      <c r="EYL10" s="1115"/>
      <c r="EYM10" s="1115"/>
      <c r="EYN10" s="1115"/>
      <c r="EYO10" s="1115"/>
      <c r="EYP10" s="1115"/>
      <c r="EYQ10" s="1115"/>
      <c r="EYR10" s="1115"/>
      <c r="EYS10" s="1115"/>
      <c r="EYT10" s="1115"/>
      <c r="EYU10" s="1115"/>
      <c r="EYV10" s="1115"/>
      <c r="EYW10" s="1115"/>
      <c r="EYX10" s="1115"/>
      <c r="EYY10" s="1115"/>
      <c r="EYZ10" s="1115"/>
      <c r="EZA10" s="1115"/>
      <c r="EZB10" s="1115"/>
      <c r="EZC10" s="1115"/>
      <c r="EZD10" s="1115"/>
      <c r="EZE10" s="1115"/>
      <c r="EZF10" s="1115"/>
      <c r="EZG10" s="1115"/>
      <c r="EZH10" s="1115"/>
      <c r="EZI10" s="1115"/>
      <c r="EZJ10" s="1115"/>
      <c r="EZK10" s="1115"/>
      <c r="EZL10" s="1115"/>
      <c r="EZM10" s="1115"/>
      <c r="EZN10" s="1115"/>
      <c r="EZO10" s="1115"/>
      <c r="EZP10" s="1115"/>
      <c r="EZQ10" s="1115"/>
      <c r="EZR10" s="1115"/>
      <c r="EZS10" s="1115"/>
      <c r="EZT10" s="1115"/>
      <c r="EZU10" s="1115"/>
      <c r="EZV10" s="1115"/>
      <c r="EZW10" s="1115"/>
      <c r="EZX10" s="1115"/>
      <c r="EZY10" s="1115"/>
      <c r="EZZ10" s="1115"/>
      <c r="FAA10" s="1115"/>
      <c r="FAB10" s="1115"/>
      <c r="FAC10" s="1115"/>
      <c r="FAD10" s="1115"/>
      <c r="FAE10" s="1115"/>
      <c r="FAF10" s="1115"/>
      <c r="FAG10" s="1115"/>
      <c r="FAH10" s="1115"/>
      <c r="FAI10" s="1115"/>
      <c r="FAJ10" s="1115"/>
      <c r="FAK10" s="1115"/>
      <c r="FAL10" s="1115"/>
      <c r="FAM10" s="1115"/>
      <c r="FAN10" s="1115"/>
      <c r="FAO10" s="1115"/>
      <c r="FAP10" s="1115"/>
      <c r="FAQ10" s="1115"/>
      <c r="FAR10" s="1115"/>
      <c r="FAS10" s="1115"/>
      <c r="FAT10" s="1115"/>
      <c r="FAU10" s="1115"/>
      <c r="FAV10" s="1115"/>
      <c r="FAW10" s="1115"/>
      <c r="FAX10" s="1115"/>
      <c r="FAY10" s="1115"/>
      <c r="FAZ10" s="1115"/>
      <c r="FBA10" s="1115"/>
      <c r="FBB10" s="1115"/>
      <c r="FBC10" s="1115"/>
      <c r="FBD10" s="1115"/>
      <c r="FBE10" s="1115"/>
      <c r="FBF10" s="1115"/>
      <c r="FBG10" s="1115"/>
      <c r="FBH10" s="1115"/>
      <c r="FBI10" s="1115"/>
      <c r="FBJ10" s="1115"/>
      <c r="FBK10" s="1115"/>
      <c r="FBL10" s="1115"/>
      <c r="FBM10" s="1115"/>
      <c r="FBN10" s="1115"/>
      <c r="FBO10" s="1115"/>
      <c r="FBP10" s="1115"/>
      <c r="FBQ10" s="1115"/>
      <c r="FBR10" s="1115"/>
      <c r="FBS10" s="1115"/>
      <c r="FBT10" s="1115"/>
      <c r="FBU10" s="1115"/>
      <c r="FBV10" s="1115"/>
      <c r="FBW10" s="1115"/>
      <c r="FBX10" s="1115"/>
      <c r="FBY10" s="1115"/>
      <c r="FBZ10" s="1115"/>
      <c r="FCA10" s="1115"/>
      <c r="FCB10" s="1115"/>
      <c r="FCC10" s="1115"/>
      <c r="FCD10" s="1115"/>
      <c r="FCE10" s="1115"/>
      <c r="FCF10" s="1115"/>
      <c r="FCG10" s="1115"/>
      <c r="FCH10" s="1115"/>
      <c r="FCI10" s="1115"/>
      <c r="FCJ10" s="1115"/>
      <c r="FCK10" s="1115"/>
      <c r="FCL10" s="1115"/>
      <c r="FCM10" s="1115"/>
      <c r="FCN10" s="1115"/>
      <c r="FCO10" s="1115"/>
      <c r="FCP10" s="1115"/>
      <c r="FCQ10" s="1115"/>
      <c r="FCR10" s="1115"/>
      <c r="FCS10" s="1115"/>
      <c r="FCT10" s="1115"/>
      <c r="FCU10" s="1115"/>
      <c r="FCV10" s="1115"/>
      <c r="FCW10" s="1115"/>
      <c r="FCX10" s="1115"/>
      <c r="FCY10" s="1115"/>
      <c r="FCZ10" s="1115"/>
      <c r="FDA10" s="1115"/>
      <c r="FDB10" s="1115"/>
      <c r="FDC10" s="1115"/>
      <c r="FDD10" s="1115"/>
      <c r="FDE10" s="1115"/>
      <c r="FDF10" s="1115"/>
      <c r="FDG10" s="1115"/>
      <c r="FDH10" s="1115"/>
      <c r="FDI10" s="1115"/>
      <c r="FDJ10" s="1115"/>
      <c r="FDK10" s="1115"/>
      <c r="FDL10" s="1115"/>
      <c r="FDM10" s="1115"/>
      <c r="FDN10" s="1115"/>
      <c r="FDO10" s="1115"/>
      <c r="FDP10" s="1115"/>
      <c r="FDQ10" s="1115"/>
      <c r="FDR10" s="1115"/>
      <c r="FDS10" s="1115"/>
      <c r="FDT10" s="1115"/>
      <c r="FDU10" s="1115"/>
      <c r="FDV10" s="1115"/>
      <c r="FDW10" s="1115"/>
      <c r="FDX10" s="1115"/>
      <c r="FDY10" s="1115"/>
      <c r="FDZ10" s="1115"/>
      <c r="FEA10" s="1115"/>
      <c r="FEB10" s="1115"/>
      <c r="FEC10" s="1115"/>
      <c r="FED10" s="1115"/>
      <c r="FEE10" s="1115"/>
      <c r="FEF10" s="1115"/>
      <c r="FEG10" s="1115"/>
      <c r="FEH10" s="1115"/>
      <c r="FEI10" s="1115"/>
      <c r="FEJ10" s="1115"/>
      <c r="FEK10" s="1115"/>
      <c r="FEL10" s="1115"/>
      <c r="FEM10" s="1115"/>
      <c r="FEN10" s="1115"/>
      <c r="FEO10" s="1115"/>
      <c r="FEP10" s="1115"/>
      <c r="FEQ10" s="1115"/>
      <c r="FER10" s="1115"/>
      <c r="FES10" s="1115"/>
      <c r="FET10" s="1115"/>
      <c r="FEU10" s="1115"/>
      <c r="FEV10" s="1115"/>
      <c r="FEW10" s="1115"/>
      <c r="FEX10" s="1115"/>
      <c r="FEY10" s="1115"/>
      <c r="FEZ10" s="1115"/>
      <c r="FFA10" s="1115"/>
      <c r="FFB10" s="1115"/>
      <c r="FFC10" s="1115"/>
      <c r="FFD10" s="1115"/>
      <c r="FFE10" s="1115"/>
      <c r="FFF10" s="1115"/>
      <c r="FFG10" s="1115"/>
      <c r="FFH10" s="1115"/>
      <c r="FFI10" s="1115"/>
      <c r="FFJ10" s="1115"/>
      <c r="FFK10" s="1115"/>
      <c r="FFL10" s="1115"/>
      <c r="FFM10" s="1115"/>
      <c r="FFN10" s="1115"/>
      <c r="FFO10" s="1115"/>
      <c r="FFP10" s="1115"/>
      <c r="FFQ10" s="1115"/>
      <c r="FFR10" s="1115"/>
      <c r="FFS10" s="1115"/>
      <c r="FFT10" s="1115"/>
      <c r="FFU10" s="1115"/>
      <c r="FFV10" s="1115"/>
      <c r="FFW10" s="1115"/>
      <c r="FFX10" s="1115"/>
      <c r="FFY10" s="1115"/>
      <c r="FFZ10" s="1115"/>
      <c r="FGA10" s="1115"/>
      <c r="FGB10" s="1115"/>
      <c r="FGC10" s="1115"/>
      <c r="FGD10" s="1115"/>
      <c r="FGE10" s="1115"/>
      <c r="FGF10" s="1115"/>
      <c r="FGG10" s="1115"/>
      <c r="FGH10" s="1115"/>
      <c r="FGI10" s="1115"/>
      <c r="FGJ10" s="1115"/>
      <c r="FGK10" s="1115"/>
      <c r="FGL10" s="1115"/>
      <c r="FGM10" s="1115"/>
      <c r="FGN10" s="1115"/>
      <c r="FGO10" s="1115"/>
      <c r="FGP10" s="1115"/>
      <c r="FGQ10" s="1115"/>
      <c r="FGR10" s="1115"/>
      <c r="FGS10" s="1115"/>
      <c r="FGT10" s="1115"/>
      <c r="FGU10" s="1115"/>
      <c r="FGV10" s="1115"/>
      <c r="FGW10" s="1115"/>
      <c r="FGX10" s="1115"/>
      <c r="FGY10" s="1115"/>
      <c r="FGZ10" s="1115"/>
      <c r="FHA10" s="1115"/>
      <c r="FHB10" s="1115"/>
      <c r="FHC10" s="1115"/>
      <c r="FHD10" s="1115"/>
      <c r="FHE10" s="1115"/>
      <c r="FHF10" s="1115"/>
      <c r="FHG10" s="1115"/>
      <c r="FHH10" s="1115"/>
      <c r="FHI10" s="1115"/>
      <c r="FHJ10" s="1115"/>
      <c r="FHK10" s="1115"/>
      <c r="FHL10" s="1115"/>
      <c r="FHM10" s="1115"/>
      <c r="FHN10" s="1115"/>
      <c r="FHO10" s="1115"/>
      <c r="FHP10" s="1115"/>
      <c r="FHQ10" s="1115"/>
      <c r="FHR10" s="1115"/>
      <c r="FHS10" s="1115"/>
      <c r="FHT10" s="1115"/>
      <c r="FHU10" s="1115"/>
      <c r="FHV10" s="1115"/>
      <c r="FHW10" s="1115"/>
      <c r="FHX10" s="1115"/>
      <c r="FHY10" s="1115"/>
      <c r="FHZ10" s="1115"/>
      <c r="FIA10" s="1115"/>
      <c r="FIB10" s="1115"/>
      <c r="FIC10" s="1115"/>
      <c r="FID10" s="1115"/>
      <c r="FIE10" s="1115"/>
      <c r="FIF10" s="1115"/>
      <c r="FIG10" s="1115"/>
      <c r="FIH10" s="1115"/>
      <c r="FII10" s="1115"/>
      <c r="FIJ10" s="1115"/>
      <c r="FIK10" s="1115"/>
      <c r="FIL10" s="1115"/>
      <c r="FIM10" s="1115"/>
      <c r="FIN10" s="1115"/>
      <c r="FIO10" s="1115"/>
      <c r="FIP10" s="1115"/>
      <c r="FIQ10" s="1115"/>
      <c r="FIR10" s="1115"/>
      <c r="FIS10" s="1115"/>
      <c r="FIT10" s="1115"/>
      <c r="FIU10" s="1115"/>
      <c r="FIV10" s="1115"/>
      <c r="FIW10" s="1115"/>
      <c r="FIX10" s="1115"/>
      <c r="FIY10" s="1115"/>
      <c r="FIZ10" s="1115"/>
      <c r="FJA10" s="1115"/>
      <c r="FJB10" s="1115"/>
      <c r="FJC10" s="1115"/>
      <c r="FJD10" s="1115"/>
      <c r="FJE10" s="1115"/>
      <c r="FJF10" s="1115"/>
      <c r="FJG10" s="1115"/>
      <c r="FJH10" s="1115"/>
      <c r="FJI10" s="1115"/>
      <c r="FJJ10" s="1115"/>
      <c r="FJK10" s="1115"/>
      <c r="FJL10" s="1115"/>
      <c r="FJM10" s="1115"/>
      <c r="FJN10" s="1115"/>
      <c r="FJO10" s="1115"/>
      <c r="FJP10" s="1115"/>
      <c r="FJQ10" s="1115"/>
      <c r="FJR10" s="1115"/>
      <c r="FJS10" s="1115"/>
      <c r="FJT10" s="1115"/>
      <c r="FJU10" s="1115"/>
      <c r="FJV10" s="1115"/>
      <c r="FJW10" s="1115"/>
      <c r="FJX10" s="1115"/>
      <c r="FJY10" s="1115"/>
      <c r="FJZ10" s="1115"/>
      <c r="FKA10" s="1115"/>
      <c r="FKB10" s="1115"/>
      <c r="FKC10" s="1115"/>
      <c r="FKD10" s="1115"/>
      <c r="FKE10" s="1115"/>
      <c r="FKF10" s="1115"/>
      <c r="FKG10" s="1115"/>
      <c r="FKH10" s="1115"/>
      <c r="FKI10" s="1115"/>
      <c r="FKJ10" s="1115"/>
      <c r="FKK10" s="1115"/>
      <c r="FKL10" s="1115"/>
      <c r="FKM10" s="1115"/>
      <c r="FKN10" s="1115"/>
      <c r="FKO10" s="1115"/>
      <c r="FKP10" s="1115"/>
      <c r="FKQ10" s="1115"/>
      <c r="FKR10" s="1115"/>
      <c r="FKS10" s="1115"/>
      <c r="FKT10" s="1115"/>
      <c r="FKU10" s="1115"/>
      <c r="FKV10" s="1115"/>
      <c r="FKW10" s="1115"/>
      <c r="FKX10" s="1115"/>
      <c r="FKY10" s="1115"/>
      <c r="FKZ10" s="1115"/>
      <c r="FLA10" s="1115"/>
      <c r="FLB10" s="1115"/>
      <c r="FLC10" s="1115"/>
      <c r="FLD10" s="1115"/>
      <c r="FLE10" s="1115"/>
      <c r="FLF10" s="1115"/>
      <c r="FLG10" s="1115"/>
      <c r="FLH10" s="1115"/>
      <c r="FLI10" s="1115"/>
      <c r="FLJ10" s="1115"/>
      <c r="FLK10" s="1115"/>
      <c r="FLL10" s="1115"/>
      <c r="FLM10" s="1115"/>
      <c r="FLN10" s="1115"/>
      <c r="FLO10" s="1115"/>
      <c r="FLP10" s="1115"/>
      <c r="FLQ10" s="1115"/>
      <c r="FLR10" s="1115"/>
      <c r="FLS10" s="1115"/>
      <c r="FLT10" s="1115"/>
      <c r="FLU10" s="1115"/>
      <c r="FLV10" s="1115"/>
      <c r="FLW10" s="1115"/>
      <c r="FLX10" s="1115"/>
      <c r="FLY10" s="1115"/>
      <c r="FLZ10" s="1115"/>
      <c r="FMA10" s="1115"/>
      <c r="FMB10" s="1115"/>
      <c r="FMC10" s="1115"/>
      <c r="FMD10" s="1115"/>
      <c r="FME10" s="1115"/>
      <c r="FMF10" s="1115"/>
      <c r="FMG10" s="1115"/>
      <c r="FMH10" s="1115"/>
      <c r="FMI10" s="1115"/>
      <c r="FMJ10" s="1115"/>
      <c r="FMK10" s="1115"/>
      <c r="FML10" s="1115"/>
      <c r="FMM10" s="1115"/>
      <c r="FMN10" s="1115"/>
      <c r="FMO10" s="1115"/>
      <c r="FMP10" s="1115"/>
      <c r="FMQ10" s="1115"/>
      <c r="FMR10" s="1115"/>
      <c r="FMS10" s="1115"/>
      <c r="FMT10" s="1115"/>
      <c r="FMU10" s="1115"/>
      <c r="FMV10" s="1115"/>
      <c r="FMW10" s="1115"/>
      <c r="FMX10" s="1115"/>
      <c r="FMY10" s="1115"/>
      <c r="FMZ10" s="1115"/>
      <c r="FNA10" s="1115"/>
      <c r="FNB10" s="1115"/>
      <c r="FNC10" s="1115"/>
      <c r="FND10" s="1115"/>
      <c r="FNE10" s="1115"/>
      <c r="FNF10" s="1115"/>
      <c r="FNG10" s="1115"/>
      <c r="FNH10" s="1115"/>
      <c r="FNI10" s="1115"/>
      <c r="FNJ10" s="1115"/>
      <c r="FNK10" s="1115"/>
      <c r="FNL10" s="1115"/>
      <c r="FNM10" s="1115"/>
      <c r="FNN10" s="1115"/>
      <c r="FNO10" s="1115"/>
      <c r="FNP10" s="1115"/>
      <c r="FNQ10" s="1115"/>
      <c r="FNR10" s="1115"/>
      <c r="FNS10" s="1115"/>
      <c r="FNT10" s="1115"/>
      <c r="FNU10" s="1115"/>
      <c r="FNV10" s="1115"/>
      <c r="FNW10" s="1115"/>
      <c r="FNX10" s="1115"/>
      <c r="FNY10" s="1115"/>
      <c r="FNZ10" s="1115"/>
      <c r="FOA10" s="1115"/>
      <c r="FOB10" s="1115"/>
      <c r="FOC10" s="1115"/>
      <c r="FOD10" s="1115"/>
      <c r="FOE10" s="1115"/>
      <c r="FOF10" s="1115"/>
      <c r="FOG10" s="1115"/>
      <c r="FOH10" s="1115"/>
      <c r="FOI10" s="1115"/>
      <c r="FOJ10" s="1115"/>
      <c r="FOK10" s="1115"/>
      <c r="FOL10" s="1115"/>
      <c r="FOM10" s="1115"/>
      <c r="FON10" s="1115"/>
      <c r="FOO10" s="1115"/>
      <c r="FOP10" s="1115"/>
      <c r="FOQ10" s="1115"/>
      <c r="FOR10" s="1115"/>
      <c r="FOS10" s="1115"/>
      <c r="FOT10" s="1115"/>
      <c r="FOU10" s="1115"/>
      <c r="FOV10" s="1115"/>
      <c r="FOW10" s="1115"/>
      <c r="FOX10" s="1115"/>
      <c r="FOY10" s="1115"/>
      <c r="FOZ10" s="1115"/>
      <c r="FPA10" s="1115"/>
      <c r="FPB10" s="1115"/>
      <c r="FPC10" s="1115"/>
      <c r="FPD10" s="1115"/>
      <c r="FPE10" s="1115"/>
      <c r="FPF10" s="1115"/>
      <c r="FPG10" s="1115"/>
      <c r="FPH10" s="1115"/>
      <c r="FPI10" s="1115"/>
      <c r="FPJ10" s="1115"/>
      <c r="FPK10" s="1115"/>
      <c r="FPL10" s="1115"/>
      <c r="FPM10" s="1115"/>
      <c r="FPN10" s="1115"/>
      <c r="FPO10" s="1115"/>
      <c r="FPP10" s="1115"/>
      <c r="FPQ10" s="1115"/>
      <c r="FPR10" s="1115"/>
      <c r="FPS10" s="1115"/>
      <c r="FPT10" s="1115"/>
      <c r="FPU10" s="1115"/>
      <c r="FPV10" s="1115"/>
      <c r="FPW10" s="1115"/>
      <c r="FPX10" s="1115"/>
      <c r="FPY10" s="1115"/>
      <c r="FPZ10" s="1115"/>
      <c r="FQA10" s="1115"/>
      <c r="FQB10" s="1115"/>
      <c r="FQC10" s="1115"/>
      <c r="FQD10" s="1115"/>
      <c r="FQE10" s="1115"/>
      <c r="FQF10" s="1115"/>
      <c r="FQG10" s="1115"/>
      <c r="FQH10" s="1115"/>
      <c r="FQI10" s="1115"/>
      <c r="FQJ10" s="1115"/>
      <c r="FQK10" s="1115"/>
      <c r="FQL10" s="1115"/>
      <c r="FQM10" s="1115"/>
      <c r="FQN10" s="1115"/>
      <c r="FQO10" s="1115"/>
      <c r="FQP10" s="1115"/>
      <c r="FQQ10" s="1115"/>
      <c r="FQR10" s="1115"/>
      <c r="FQS10" s="1115"/>
      <c r="FQT10" s="1115"/>
      <c r="FQU10" s="1115"/>
      <c r="FQV10" s="1115"/>
      <c r="FQW10" s="1115"/>
      <c r="FQX10" s="1115"/>
      <c r="FQY10" s="1115"/>
      <c r="FQZ10" s="1115"/>
      <c r="FRA10" s="1115"/>
      <c r="FRB10" s="1115"/>
      <c r="FRC10" s="1115"/>
      <c r="FRD10" s="1115"/>
      <c r="FRE10" s="1115"/>
      <c r="FRF10" s="1115"/>
      <c r="FRG10" s="1115"/>
      <c r="FRH10" s="1115"/>
      <c r="FRI10" s="1115"/>
      <c r="FRJ10" s="1115"/>
      <c r="FRK10" s="1115"/>
      <c r="FRL10" s="1115"/>
      <c r="FRM10" s="1115"/>
      <c r="FRN10" s="1115"/>
      <c r="FRO10" s="1115"/>
      <c r="FRP10" s="1115"/>
      <c r="FRQ10" s="1115"/>
      <c r="FRR10" s="1115"/>
      <c r="FRS10" s="1115"/>
      <c r="FRT10" s="1115"/>
      <c r="FRU10" s="1115"/>
      <c r="FRV10" s="1115"/>
      <c r="FRW10" s="1115"/>
      <c r="FRX10" s="1115"/>
      <c r="FRY10" s="1115"/>
      <c r="FRZ10" s="1115"/>
      <c r="FSA10" s="1115"/>
      <c r="FSB10" s="1115"/>
      <c r="FSC10" s="1115"/>
      <c r="FSD10" s="1115"/>
      <c r="FSE10" s="1115"/>
      <c r="FSF10" s="1115"/>
      <c r="FSG10" s="1115"/>
      <c r="FSH10" s="1115"/>
      <c r="FSI10" s="1115"/>
      <c r="FSJ10" s="1115"/>
      <c r="FSK10" s="1115"/>
      <c r="FSL10" s="1115"/>
      <c r="FSM10" s="1115"/>
      <c r="FSN10" s="1115"/>
      <c r="FSO10" s="1115"/>
      <c r="FSP10" s="1115"/>
      <c r="FSQ10" s="1115"/>
      <c r="FSR10" s="1115"/>
      <c r="FSS10" s="1115"/>
      <c r="FST10" s="1115"/>
      <c r="FSU10" s="1115"/>
      <c r="FSV10" s="1115"/>
      <c r="FSW10" s="1115"/>
      <c r="FSX10" s="1115"/>
      <c r="FSY10" s="1115"/>
      <c r="FSZ10" s="1115"/>
      <c r="FTA10" s="1115"/>
      <c r="FTB10" s="1115"/>
      <c r="FTC10" s="1115"/>
      <c r="FTD10" s="1115"/>
      <c r="FTE10" s="1115"/>
      <c r="FTF10" s="1115"/>
      <c r="FTG10" s="1115"/>
      <c r="FTH10" s="1115"/>
      <c r="FTI10" s="1115"/>
      <c r="FTJ10" s="1115"/>
      <c r="FTK10" s="1115"/>
      <c r="FTL10" s="1115"/>
      <c r="FTM10" s="1115"/>
      <c r="FTN10" s="1115"/>
      <c r="FTO10" s="1115"/>
      <c r="FTP10" s="1115"/>
      <c r="FTQ10" s="1115"/>
      <c r="FTR10" s="1115"/>
      <c r="FTS10" s="1115"/>
      <c r="FTT10" s="1115"/>
      <c r="FTU10" s="1115"/>
      <c r="FTV10" s="1115"/>
      <c r="FTW10" s="1115"/>
      <c r="FTX10" s="1115"/>
      <c r="FTY10" s="1115"/>
      <c r="FTZ10" s="1115"/>
      <c r="FUA10" s="1115"/>
      <c r="FUB10" s="1115"/>
      <c r="FUC10" s="1115"/>
      <c r="FUD10" s="1115"/>
      <c r="FUE10" s="1115"/>
      <c r="FUF10" s="1115"/>
      <c r="FUG10" s="1115"/>
      <c r="FUH10" s="1115"/>
      <c r="FUI10" s="1115"/>
      <c r="FUJ10" s="1115"/>
      <c r="FUK10" s="1115"/>
      <c r="FUL10" s="1115"/>
      <c r="FUM10" s="1115"/>
      <c r="FUN10" s="1115"/>
      <c r="FUO10" s="1115"/>
      <c r="FUP10" s="1115"/>
      <c r="FUQ10" s="1115"/>
      <c r="FUR10" s="1115"/>
      <c r="FUS10" s="1115"/>
      <c r="FUT10" s="1115"/>
      <c r="FUU10" s="1115"/>
      <c r="FUV10" s="1115"/>
      <c r="FUW10" s="1115"/>
      <c r="FUX10" s="1115"/>
      <c r="FUY10" s="1115"/>
      <c r="FUZ10" s="1115"/>
      <c r="FVA10" s="1115"/>
      <c r="FVB10" s="1115"/>
      <c r="FVC10" s="1115"/>
      <c r="FVD10" s="1115"/>
      <c r="FVE10" s="1115"/>
      <c r="FVF10" s="1115"/>
      <c r="FVG10" s="1115"/>
      <c r="FVH10" s="1115"/>
      <c r="FVI10" s="1115"/>
      <c r="FVJ10" s="1115"/>
      <c r="FVK10" s="1115"/>
      <c r="FVL10" s="1115"/>
      <c r="FVM10" s="1115"/>
      <c r="FVN10" s="1115"/>
      <c r="FVO10" s="1115"/>
      <c r="FVP10" s="1115"/>
      <c r="FVQ10" s="1115"/>
      <c r="FVR10" s="1115"/>
      <c r="FVS10" s="1115"/>
      <c r="FVT10" s="1115"/>
      <c r="FVU10" s="1115"/>
      <c r="FVV10" s="1115"/>
      <c r="FVW10" s="1115"/>
      <c r="FVX10" s="1115"/>
      <c r="FVY10" s="1115"/>
      <c r="FVZ10" s="1115"/>
      <c r="FWA10" s="1115"/>
      <c r="FWB10" s="1115"/>
      <c r="FWC10" s="1115"/>
      <c r="FWD10" s="1115"/>
      <c r="FWE10" s="1115"/>
      <c r="FWF10" s="1115"/>
      <c r="FWG10" s="1115"/>
      <c r="FWH10" s="1115"/>
      <c r="FWI10" s="1115"/>
      <c r="FWJ10" s="1115"/>
      <c r="FWK10" s="1115"/>
      <c r="FWL10" s="1115"/>
      <c r="FWM10" s="1115"/>
      <c r="FWN10" s="1115"/>
      <c r="FWO10" s="1115"/>
      <c r="FWP10" s="1115"/>
      <c r="FWQ10" s="1115"/>
      <c r="FWR10" s="1115"/>
      <c r="FWS10" s="1115"/>
      <c r="FWT10" s="1115"/>
      <c r="FWU10" s="1115"/>
      <c r="FWV10" s="1115"/>
      <c r="FWW10" s="1115"/>
      <c r="FWX10" s="1115"/>
      <c r="FWY10" s="1115"/>
      <c r="FWZ10" s="1115"/>
      <c r="FXA10" s="1115"/>
      <c r="FXB10" s="1115"/>
      <c r="FXC10" s="1115"/>
      <c r="FXD10" s="1115"/>
      <c r="FXE10" s="1115"/>
      <c r="FXF10" s="1115"/>
      <c r="FXG10" s="1115"/>
      <c r="FXH10" s="1115"/>
      <c r="FXI10" s="1115"/>
      <c r="FXJ10" s="1115"/>
      <c r="FXK10" s="1115"/>
      <c r="FXL10" s="1115"/>
      <c r="FXM10" s="1115"/>
      <c r="FXN10" s="1115"/>
      <c r="FXO10" s="1115"/>
      <c r="FXP10" s="1115"/>
      <c r="FXQ10" s="1115"/>
      <c r="FXR10" s="1115"/>
      <c r="FXS10" s="1115"/>
      <c r="FXT10" s="1115"/>
      <c r="FXU10" s="1115"/>
      <c r="FXV10" s="1115"/>
      <c r="FXW10" s="1115"/>
      <c r="FXX10" s="1115"/>
      <c r="FXY10" s="1115"/>
      <c r="FXZ10" s="1115"/>
      <c r="FYA10" s="1115"/>
      <c r="FYB10" s="1115"/>
      <c r="FYC10" s="1115"/>
      <c r="FYD10" s="1115"/>
      <c r="FYE10" s="1115"/>
      <c r="FYF10" s="1115"/>
      <c r="FYG10" s="1115"/>
      <c r="FYH10" s="1115"/>
      <c r="FYI10" s="1115"/>
      <c r="FYJ10" s="1115"/>
      <c r="FYK10" s="1115"/>
      <c r="FYL10" s="1115"/>
      <c r="FYM10" s="1115"/>
      <c r="FYN10" s="1115"/>
      <c r="FYO10" s="1115"/>
      <c r="FYP10" s="1115"/>
      <c r="FYQ10" s="1115"/>
      <c r="FYR10" s="1115"/>
      <c r="FYS10" s="1115"/>
      <c r="FYT10" s="1115"/>
      <c r="FYU10" s="1115"/>
      <c r="FYV10" s="1115"/>
      <c r="FYW10" s="1115"/>
      <c r="FYX10" s="1115"/>
      <c r="FYY10" s="1115"/>
      <c r="FYZ10" s="1115"/>
      <c r="FZA10" s="1115"/>
      <c r="FZB10" s="1115"/>
      <c r="FZC10" s="1115"/>
      <c r="FZD10" s="1115"/>
      <c r="FZE10" s="1115"/>
      <c r="FZF10" s="1115"/>
      <c r="FZG10" s="1115"/>
      <c r="FZH10" s="1115"/>
      <c r="FZI10" s="1115"/>
      <c r="FZJ10" s="1115"/>
      <c r="FZK10" s="1115"/>
      <c r="FZL10" s="1115"/>
      <c r="FZM10" s="1115"/>
      <c r="FZN10" s="1115"/>
      <c r="FZO10" s="1115"/>
      <c r="FZP10" s="1115"/>
      <c r="FZQ10" s="1115"/>
      <c r="FZR10" s="1115"/>
      <c r="FZS10" s="1115"/>
      <c r="FZT10" s="1115"/>
      <c r="FZU10" s="1115"/>
      <c r="FZV10" s="1115"/>
      <c r="FZW10" s="1115"/>
      <c r="FZX10" s="1115"/>
      <c r="FZY10" s="1115"/>
      <c r="FZZ10" s="1115"/>
      <c r="GAA10" s="1115"/>
      <c r="GAB10" s="1115"/>
      <c r="GAC10" s="1115"/>
      <c r="GAD10" s="1115"/>
      <c r="GAE10" s="1115"/>
      <c r="GAF10" s="1115"/>
      <c r="GAG10" s="1115"/>
      <c r="GAH10" s="1115"/>
      <c r="GAI10" s="1115"/>
      <c r="GAJ10" s="1115"/>
      <c r="GAK10" s="1115"/>
      <c r="GAL10" s="1115"/>
      <c r="GAM10" s="1115"/>
      <c r="GAN10" s="1115"/>
      <c r="GAO10" s="1115"/>
      <c r="GAP10" s="1115"/>
      <c r="GAQ10" s="1115"/>
      <c r="GAR10" s="1115"/>
      <c r="GAS10" s="1115"/>
      <c r="GAT10" s="1115"/>
      <c r="GAU10" s="1115"/>
      <c r="GAV10" s="1115"/>
      <c r="GAW10" s="1115"/>
      <c r="GAX10" s="1115"/>
      <c r="GAY10" s="1115"/>
      <c r="GAZ10" s="1115"/>
      <c r="GBA10" s="1115"/>
      <c r="GBB10" s="1115"/>
      <c r="GBC10" s="1115"/>
      <c r="GBD10" s="1115"/>
      <c r="GBE10" s="1115"/>
      <c r="GBF10" s="1115"/>
      <c r="GBG10" s="1115"/>
      <c r="GBH10" s="1115"/>
      <c r="GBI10" s="1115"/>
      <c r="GBJ10" s="1115"/>
      <c r="GBK10" s="1115"/>
      <c r="GBL10" s="1115"/>
      <c r="GBM10" s="1115"/>
      <c r="GBN10" s="1115"/>
      <c r="GBO10" s="1115"/>
      <c r="GBP10" s="1115"/>
      <c r="GBQ10" s="1115"/>
      <c r="GBR10" s="1115"/>
      <c r="GBS10" s="1115"/>
      <c r="GBT10" s="1115"/>
      <c r="GBU10" s="1115"/>
      <c r="GBV10" s="1115"/>
      <c r="GBW10" s="1115"/>
      <c r="GBX10" s="1115"/>
      <c r="GBY10" s="1115"/>
      <c r="GBZ10" s="1115"/>
      <c r="GCA10" s="1115"/>
      <c r="GCB10" s="1115"/>
      <c r="GCC10" s="1115"/>
      <c r="GCD10" s="1115"/>
      <c r="GCE10" s="1115"/>
      <c r="GCF10" s="1115"/>
      <c r="GCG10" s="1115"/>
      <c r="GCH10" s="1115"/>
      <c r="GCI10" s="1115"/>
      <c r="GCJ10" s="1115"/>
      <c r="GCK10" s="1115"/>
      <c r="GCL10" s="1115"/>
      <c r="GCM10" s="1115"/>
      <c r="GCN10" s="1115"/>
      <c r="GCO10" s="1115"/>
      <c r="GCP10" s="1115"/>
      <c r="GCQ10" s="1115"/>
      <c r="GCR10" s="1115"/>
      <c r="GCS10" s="1115"/>
      <c r="GCT10" s="1115"/>
      <c r="GCU10" s="1115"/>
      <c r="GCV10" s="1115"/>
      <c r="GCW10" s="1115"/>
      <c r="GCX10" s="1115"/>
      <c r="GCY10" s="1115"/>
      <c r="GCZ10" s="1115"/>
      <c r="GDA10" s="1115"/>
      <c r="GDB10" s="1115"/>
      <c r="GDC10" s="1115"/>
      <c r="GDD10" s="1115"/>
      <c r="GDE10" s="1115"/>
      <c r="GDF10" s="1115"/>
      <c r="GDG10" s="1115"/>
      <c r="GDH10" s="1115"/>
      <c r="GDI10" s="1115"/>
      <c r="GDJ10" s="1115"/>
      <c r="GDK10" s="1115"/>
      <c r="GDL10" s="1115"/>
      <c r="GDM10" s="1115"/>
      <c r="GDN10" s="1115"/>
      <c r="GDO10" s="1115"/>
      <c r="GDP10" s="1115"/>
      <c r="GDQ10" s="1115"/>
      <c r="GDR10" s="1115"/>
      <c r="GDS10" s="1115"/>
      <c r="GDT10" s="1115"/>
      <c r="GDU10" s="1115"/>
      <c r="GDV10" s="1115"/>
      <c r="GDW10" s="1115"/>
      <c r="GDX10" s="1115"/>
      <c r="GDY10" s="1115"/>
      <c r="GDZ10" s="1115"/>
      <c r="GEA10" s="1115"/>
      <c r="GEB10" s="1115"/>
      <c r="GEC10" s="1115"/>
      <c r="GED10" s="1115"/>
      <c r="GEE10" s="1115"/>
      <c r="GEF10" s="1115"/>
      <c r="GEG10" s="1115"/>
      <c r="GEH10" s="1115"/>
      <c r="GEI10" s="1115"/>
      <c r="GEJ10" s="1115"/>
      <c r="GEK10" s="1115"/>
      <c r="GEL10" s="1115"/>
      <c r="GEM10" s="1115"/>
      <c r="GEN10" s="1115"/>
      <c r="GEO10" s="1115"/>
      <c r="GEP10" s="1115"/>
      <c r="GEQ10" s="1115"/>
      <c r="GER10" s="1115"/>
      <c r="GES10" s="1115"/>
      <c r="GET10" s="1115"/>
      <c r="GEU10" s="1115"/>
      <c r="GEV10" s="1115"/>
      <c r="GEW10" s="1115"/>
      <c r="GEX10" s="1115"/>
      <c r="GEY10" s="1115"/>
      <c r="GEZ10" s="1115"/>
      <c r="GFA10" s="1115"/>
      <c r="GFB10" s="1115"/>
      <c r="GFC10" s="1115"/>
      <c r="GFD10" s="1115"/>
      <c r="GFE10" s="1115"/>
      <c r="GFF10" s="1115"/>
      <c r="GFG10" s="1115"/>
      <c r="GFH10" s="1115"/>
      <c r="GFI10" s="1115"/>
      <c r="GFJ10" s="1115"/>
      <c r="GFK10" s="1115"/>
      <c r="GFL10" s="1115"/>
      <c r="GFM10" s="1115"/>
      <c r="GFN10" s="1115"/>
      <c r="GFO10" s="1115"/>
      <c r="GFP10" s="1115"/>
      <c r="GFQ10" s="1115"/>
      <c r="GFR10" s="1115"/>
      <c r="GFS10" s="1115"/>
      <c r="GFT10" s="1115"/>
      <c r="GFU10" s="1115"/>
      <c r="GFV10" s="1115"/>
      <c r="GFW10" s="1115"/>
      <c r="GFX10" s="1115"/>
      <c r="GFY10" s="1115"/>
      <c r="GFZ10" s="1115"/>
      <c r="GGA10" s="1115"/>
      <c r="GGB10" s="1115"/>
      <c r="GGC10" s="1115"/>
      <c r="GGD10" s="1115"/>
      <c r="GGE10" s="1115"/>
      <c r="GGF10" s="1115"/>
      <c r="GGG10" s="1115"/>
      <c r="GGH10" s="1115"/>
      <c r="GGI10" s="1115"/>
      <c r="GGJ10" s="1115"/>
      <c r="GGK10" s="1115"/>
      <c r="GGL10" s="1115"/>
      <c r="GGM10" s="1115"/>
      <c r="GGN10" s="1115"/>
      <c r="GGO10" s="1115"/>
      <c r="GGP10" s="1115"/>
      <c r="GGQ10" s="1115"/>
      <c r="GGR10" s="1115"/>
      <c r="GGS10" s="1115"/>
      <c r="GGT10" s="1115"/>
      <c r="GGU10" s="1115"/>
      <c r="GGV10" s="1115"/>
      <c r="GGW10" s="1115"/>
      <c r="GGX10" s="1115"/>
      <c r="GGY10" s="1115"/>
      <c r="GGZ10" s="1115"/>
      <c r="GHA10" s="1115"/>
      <c r="GHB10" s="1115"/>
      <c r="GHC10" s="1115"/>
      <c r="GHD10" s="1115"/>
      <c r="GHE10" s="1115"/>
      <c r="GHF10" s="1115"/>
      <c r="GHG10" s="1115"/>
      <c r="GHH10" s="1115"/>
      <c r="GHI10" s="1115"/>
      <c r="GHJ10" s="1115"/>
      <c r="GHK10" s="1115"/>
      <c r="GHL10" s="1115"/>
      <c r="GHM10" s="1115"/>
      <c r="GHN10" s="1115"/>
      <c r="GHO10" s="1115"/>
      <c r="GHP10" s="1115"/>
      <c r="GHQ10" s="1115"/>
      <c r="GHR10" s="1115"/>
      <c r="GHS10" s="1115"/>
      <c r="GHT10" s="1115"/>
      <c r="GHU10" s="1115"/>
      <c r="GHV10" s="1115"/>
      <c r="GHW10" s="1115"/>
      <c r="GHX10" s="1115"/>
      <c r="GHY10" s="1115"/>
      <c r="GHZ10" s="1115"/>
      <c r="GIA10" s="1115"/>
      <c r="GIB10" s="1115"/>
      <c r="GIC10" s="1115"/>
      <c r="GID10" s="1115"/>
      <c r="GIE10" s="1115"/>
      <c r="GIF10" s="1115"/>
      <c r="GIG10" s="1115"/>
      <c r="GIH10" s="1115"/>
      <c r="GII10" s="1115"/>
      <c r="GIJ10" s="1115"/>
      <c r="GIK10" s="1115"/>
      <c r="GIL10" s="1115"/>
      <c r="GIM10" s="1115"/>
      <c r="GIN10" s="1115"/>
      <c r="GIO10" s="1115"/>
      <c r="GIP10" s="1115"/>
      <c r="GIQ10" s="1115"/>
      <c r="GIR10" s="1115"/>
      <c r="GIS10" s="1115"/>
      <c r="GIT10" s="1115"/>
      <c r="GIU10" s="1115"/>
      <c r="GIV10" s="1115"/>
      <c r="GIW10" s="1115"/>
      <c r="GIX10" s="1115"/>
      <c r="GIY10" s="1115"/>
      <c r="GIZ10" s="1115"/>
      <c r="GJA10" s="1115"/>
      <c r="GJB10" s="1115"/>
      <c r="GJC10" s="1115"/>
      <c r="GJD10" s="1115"/>
      <c r="GJE10" s="1115"/>
      <c r="GJF10" s="1115"/>
      <c r="GJG10" s="1115"/>
      <c r="GJH10" s="1115"/>
      <c r="GJI10" s="1115"/>
      <c r="GJJ10" s="1115"/>
      <c r="GJK10" s="1115"/>
      <c r="GJL10" s="1115"/>
      <c r="GJM10" s="1115"/>
      <c r="GJN10" s="1115"/>
      <c r="GJO10" s="1115"/>
      <c r="GJP10" s="1115"/>
      <c r="GJQ10" s="1115"/>
      <c r="GJR10" s="1115"/>
      <c r="GJS10" s="1115"/>
      <c r="GJT10" s="1115"/>
      <c r="GJU10" s="1115"/>
      <c r="GJV10" s="1115"/>
      <c r="GJW10" s="1115"/>
      <c r="GJX10" s="1115"/>
      <c r="GJY10" s="1115"/>
      <c r="GJZ10" s="1115"/>
      <c r="GKA10" s="1115"/>
      <c r="GKB10" s="1115"/>
      <c r="GKC10" s="1115"/>
      <c r="GKD10" s="1115"/>
      <c r="GKE10" s="1115"/>
      <c r="GKF10" s="1115"/>
      <c r="GKG10" s="1115"/>
      <c r="GKH10" s="1115"/>
      <c r="GKI10" s="1115"/>
      <c r="GKJ10" s="1115"/>
      <c r="GKK10" s="1115"/>
      <c r="GKL10" s="1115"/>
      <c r="GKM10" s="1115"/>
      <c r="GKN10" s="1115"/>
      <c r="GKO10" s="1115"/>
      <c r="GKP10" s="1115"/>
      <c r="GKQ10" s="1115"/>
      <c r="GKR10" s="1115"/>
      <c r="GKS10" s="1115"/>
      <c r="GKT10" s="1115"/>
      <c r="GKU10" s="1115"/>
      <c r="GKV10" s="1115"/>
      <c r="GKW10" s="1115"/>
      <c r="GKX10" s="1115"/>
      <c r="GKY10" s="1115"/>
      <c r="GKZ10" s="1115"/>
      <c r="GLA10" s="1115"/>
      <c r="GLB10" s="1115"/>
      <c r="GLC10" s="1115"/>
      <c r="GLD10" s="1115"/>
      <c r="GLE10" s="1115"/>
      <c r="GLF10" s="1115"/>
      <c r="GLG10" s="1115"/>
      <c r="GLH10" s="1115"/>
      <c r="GLI10" s="1115"/>
      <c r="GLJ10" s="1115"/>
      <c r="GLK10" s="1115"/>
      <c r="GLL10" s="1115"/>
      <c r="GLM10" s="1115"/>
      <c r="GLN10" s="1115"/>
      <c r="GLO10" s="1115"/>
      <c r="GLP10" s="1115"/>
      <c r="GLQ10" s="1115"/>
      <c r="GLR10" s="1115"/>
      <c r="GLS10" s="1115"/>
      <c r="GLT10" s="1115"/>
      <c r="GLU10" s="1115"/>
      <c r="GLV10" s="1115"/>
      <c r="GLW10" s="1115"/>
      <c r="GLX10" s="1115"/>
      <c r="GLY10" s="1115"/>
      <c r="GLZ10" s="1115"/>
      <c r="GMA10" s="1115"/>
      <c r="GMB10" s="1115"/>
      <c r="GMC10" s="1115"/>
      <c r="GMD10" s="1115"/>
      <c r="GME10" s="1115"/>
      <c r="GMF10" s="1115"/>
      <c r="GMG10" s="1115"/>
      <c r="GMH10" s="1115"/>
      <c r="GMI10" s="1115"/>
      <c r="GMJ10" s="1115"/>
      <c r="GMK10" s="1115"/>
      <c r="GML10" s="1115"/>
      <c r="GMM10" s="1115"/>
      <c r="GMN10" s="1115"/>
      <c r="GMO10" s="1115"/>
      <c r="GMP10" s="1115"/>
      <c r="GMQ10" s="1115"/>
      <c r="GMR10" s="1115"/>
      <c r="GMS10" s="1115"/>
      <c r="GMT10" s="1115"/>
      <c r="GMU10" s="1115"/>
      <c r="GMV10" s="1115"/>
      <c r="GMW10" s="1115"/>
      <c r="GMX10" s="1115"/>
      <c r="GMY10" s="1115"/>
      <c r="GMZ10" s="1115"/>
      <c r="GNA10" s="1115"/>
      <c r="GNB10" s="1115"/>
      <c r="GNC10" s="1115"/>
      <c r="GND10" s="1115"/>
      <c r="GNE10" s="1115"/>
      <c r="GNF10" s="1115"/>
      <c r="GNG10" s="1115"/>
      <c r="GNH10" s="1115"/>
      <c r="GNI10" s="1115"/>
      <c r="GNJ10" s="1115"/>
      <c r="GNK10" s="1115"/>
      <c r="GNL10" s="1115"/>
      <c r="GNM10" s="1115"/>
      <c r="GNN10" s="1115"/>
      <c r="GNO10" s="1115"/>
      <c r="GNP10" s="1115"/>
      <c r="GNQ10" s="1115"/>
      <c r="GNR10" s="1115"/>
      <c r="GNS10" s="1115"/>
      <c r="GNT10" s="1115"/>
      <c r="GNU10" s="1115"/>
      <c r="GNV10" s="1115"/>
      <c r="GNW10" s="1115"/>
      <c r="GNX10" s="1115"/>
      <c r="GNY10" s="1115"/>
      <c r="GNZ10" s="1115"/>
      <c r="GOA10" s="1115"/>
      <c r="GOB10" s="1115"/>
      <c r="GOC10" s="1115"/>
      <c r="GOD10" s="1115"/>
      <c r="GOE10" s="1115"/>
      <c r="GOF10" s="1115"/>
      <c r="GOG10" s="1115"/>
      <c r="GOH10" s="1115"/>
      <c r="GOI10" s="1115"/>
      <c r="GOJ10" s="1115"/>
      <c r="GOK10" s="1115"/>
      <c r="GOL10" s="1115"/>
      <c r="GOM10" s="1115"/>
      <c r="GON10" s="1115"/>
      <c r="GOO10" s="1115"/>
      <c r="GOP10" s="1115"/>
      <c r="GOQ10" s="1115"/>
      <c r="GOR10" s="1115"/>
      <c r="GOS10" s="1115"/>
      <c r="GOT10" s="1115"/>
      <c r="GOU10" s="1115"/>
      <c r="GOV10" s="1115"/>
      <c r="GOW10" s="1115"/>
      <c r="GOX10" s="1115"/>
      <c r="GOY10" s="1115"/>
      <c r="GOZ10" s="1115"/>
      <c r="GPA10" s="1115"/>
      <c r="GPB10" s="1115"/>
      <c r="GPC10" s="1115"/>
      <c r="GPD10" s="1115"/>
      <c r="GPE10" s="1115"/>
      <c r="GPF10" s="1115"/>
      <c r="GPG10" s="1115"/>
      <c r="GPH10" s="1115"/>
      <c r="GPI10" s="1115"/>
      <c r="GPJ10" s="1115"/>
      <c r="GPK10" s="1115"/>
      <c r="GPL10" s="1115"/>
      <c r="GPM10" s="1115"/>
      <c r="GPN10" s="1115"/>
      <c r="GPO10" s="1115"/>
      <c r="GPP10" s="1115"/>
      <c r="GPQ10" s="1115"/>
      <c r="GPR10" s="1115"/>
      <c r="GPS10" s="1115"/>
      <c r="GPT10" s="1115"/>
      <c r="GPU10" s="1115"/>
      <c r="GPV10" s="1115"/>
      <c r="GPW10" s="1115"/>
      <c r="GPX10" s="1115"/>
      <c r="GPY10" s="1115"/>
      <c r="GPZ10" s="1115"/>
      <c r="GQA10" s="1115"/>
      <c r="GQB10" s="1115"/>
      <c r="GQC10" s="1115"/>
      <c r="GQD10" s="1115"/>
      <c r="GQE10" s="1115"/>
      <c r="GQF10" s="1115"/>
      <c r="GQG10" s="1115"/>
      <c r="GQH10" s="1115"/>
      <c r="GQI10" s="1115"/>
      <c r="GQJ10" s="1115"/>
      <c r="GQK10" s="1115"/>
      <c r="GQL10" s="1115"/>
      <c r="GQM10" s="1115"/>
      <c r="GQN10" s="1115"/>
      <c r="GQO10" s="1115"/>
      <c r="GQP10" s="1115"/>
      <c r="GQQ10" s="1115"/>
      <c r="GQR10" s="1115"/>
      <c r="GQS10" s="1115"/>
      <c r="GQT10" s="1115"/>
      <c r="GQU10" s="1115"/>
      <c r="GQV10" s="1115"/>
      <c r="GQW10" s="1115"/>
      <c r="GQX10" s="1115"/>
      <c r="GQY10" s="1115"/>
      <c r="GQZ10" s="1115"/>
      <c r="GRA10" s="1115"/>
      <c r="GRB10" s="1115"/>
      <c r="GRC10" s="1115"/>
      <c r="GRD10" s="1115"/>
      <c r="GRE10" s="1115"/>
      <c r="GRF10" s="1115"/>
      <c r="GRG10" s="1115"/>
      <c r="GRH10" s="1115"/>
      <c r="GRI10" s="1115"/>
      <c r="GRJ10" s="1115"/>
      <c r="GRK10" s="1115"/>
      <c r="GRL10" s="1115"/>
      <c r="GRM10" s="1115"/>
      <c r="GRN10" s="1115"/>
      <c r="GRO10" s="1115"/>
      <c r="GRP10" s="1115"/>
      <c r="GRQ10" s="1115"/>
      <c r="GRR10" s="1115"/>
      <c r="GRS10" s="1115"/>
      <c r="GRT10" s="1115"/>
      <c r="GRU10" s="1115"/>
      <c r="GRV10" s="1115"/>
      <c r="GRW10" s="1115"/>
      <c r="GRX10" s="1115"/>
      <c r="GRY10" s="1115"/>
      <c r="GRZ10" s="1115"/>
      <c r="GSA10" s="1115"/>
      <c r="GSB10" s="1115"/>
      <c r="GSC10" s="1115"/>
      <c r="GSD10" s="1115"/>
      <c r="GSE10" s="1115"/>
      <c r="GSF10" s="1115"/>
      <c r="GSG10" s="1115"/>
      <c r="GSH10" s="1115"/>
      <c r="GSI10" s="1115"/>
      <c r="GSJ10" s="1115"/>
      <c r="GSK10" s="1115"/>
      <c r="GSL10" s="1115"/>
      <c r="GSM10" s="1115"/>
      <c r="GSN10" s="1115"/>
      <c r="GSO10" s="1115"/>
      <c r="GSP10" s="1115"/>
      <c r="GSQ10" s="1115"/>
      <c r="GSR10" s="1115"/>
      <c r="GSS10" s="1115"/>
      <c r="GST10" s="1115"/>
      <c r="GSU10" s="1115"/>
      <c r="GSV10" s="1115"/>
      <c r="GSW10" s="1115"/>
      <c r="GSX10" s="1115"/>
      <c r="GSY10" s="1115"/>
      <c r="GSZ10" s="1115"/>
      <c r="GTA10" s="1115"/>
      <c r="GTB10" s="1115"/>
      <c r="GTC10" s="1115"/>
      <c r="GTD10" s="1115"/>
      <c r="GTE10" s="1115"/>
      <c r="GTF10" s="1115"/>
      <c r="GTG10" s="1115"/>
      <c r="GTH10" s="1115"/>
      <c r="GTI10" s="1115"/>
      <c r="GTJ10" s="1115"/>
      <c r="GTK10" s="1115"/>
      <c r="GTL10" s="1115"/>
      <c r="GTM10" s="1115"/>
      <c r="GTN10" s="1115"/>
      <c r="GTO10" s="1115"/>
      <c r="GTP10" s="1115"/>
      <c r="GTQ10" s="1115"/>
      <c r="GTR10" s="1115"/>
      <c r="GTS10" s="1115"/>
      <c r="GTT10" s="1115"/>
      <c r="GTU10" s="1115"/>
      <c r="GTV10" s="1115"/>
      <c r="GTW10" s="1115"/>
      <c r="GTX10" s="1115"/>
      <c r="GTY10" s="1115"/>
      <c r="GTZ10" s="1115"/>
      <c r="GUA10" s="1115"/>
      <c r="GUB10" s="1115"/>
      <c r="GUC10" s="1115"/>
      <c r="GUD10" s="1115"/>
      <c r="GUE10" s="1115"/>
      <c r="GUF10" s="1115"/>
      <c r="GUG10" s="1115"/>
      <c r="GUH10" s="1115"/>
      <c r="GUI10" s="1115"/>
      <c r="GUJ10" s="1115"/>
      <c r="GUK10" s="1115"/>
      <c r="GUL10" s="1115"/>
      <c r="GUM10" s="1115"/>
      <c r="GUN10" s="1115"/>
      <c r="GUO10" s="1115"/>
      <c r="GUP10" s="1115"/>
      <c r="GUQ10" s="1115"/>
      <c r="GUR10" s="1115"/>
      <c r="GUS10" s="1115"/>
      <c r="GUT10" s="1115"/>
      <c r="GUU10" s="1115"/>
      <c r="GUV10" s="1115"/>
      <c r="GUW10" s="1115"/>
      <c r="GUX10" s="1115"/>
      <c r="GUY10" s="1115"/>
      <c r="GUZ10" s="1115"/>
      <c r="GVA10" s="1115"/>
      <c r="GVB10" s="1115"/>
      <c r="GVC10" s="1115"/>
      <c r="GVD10" s="1115"/>
      <c r="GVE10" s="1115"/>
      <c r="GVF10" s="1115"/>
      <c r="GVG10" s="1115"/>
      <c r="GVH10" s="1115"/>
      <c r="GVI10" s="1115"/>
      <c r="GVJ10" s="1115"/>
      <c r="GVK10" s="1115"/>
      <c r="GVL10" s="1115"/>
      <c r="GVM10" s="1115"/>
      <c r="GVN10" s="1115"/>
      <c r="GVO10" s="1115"/>
      <c r="GVP10" s="1115"/>
      <c r="GVQ10" s="1115"/>
      <c r="GVR10" s="1115"/>
      <c r="GVS10" s="1115"/>
      <c r="GVT10" s="1115"/>
      <c r="GVU10" s="1115"/>
      <c r="GVV10" s="1115"/>
      <c r="GVW10" s="1115"/>
      <c r="GVX10" s="1115"/>
      <c r="GVY10" s="1115"/>
      <c r="GVZ10" s="1115"/>
      <c r="GWA10" s="1115"/>
      <c r="GWB10" s="1115"/>
      <c r="GWC10" s="1115"/>
      <c r="GWD10" s="1115"/>
      <c r="GWE10" s="1115"/>
      <c r="GWF10" s="1115"/>
      <c r="GWG10" s="1115"/>
      <c r="GWH10" s="1115"/>
      <c r="GWI10" s="1115"/>
      <c r="GWJ10" s="1115"/>
      <c r="GWK10" s="1115"/>
      <c r="GWL10" s="1115"/>
      <c r="GWM10" s="1115"/>
      <c r="GWN10" s="1115"/>
      <c r="GWO10" s="1115"/>
      <c r="GWP10" s="1115"/>
      <c r="GWQ10" s="1115"/>
      <c r="GWR10" s="1115"/>
      <c r="GWS10" s="1115"/>
      <c r="GWT10" s="1115"/>
      <c r="GWU10" s="1115"/>
      <c r="GWV10" s="1115"/>
      <c r="GWW10" s="1115"/>
      <c r="GWX10" s="1115"/>
      <c r="GWY10" s="1115"/>
      <c r="GWZ10" s="1115"/>
      <c r="GXA10" s="1115"/>
      <c r="GXB10" s="1115"/>
      <c r="GXC10" s="1115"/>
      <c r="GXD10" s="1115"/>
      <c r="GXE10" s="1115"/>
      <c r="GXF10" s="1115"/>
      <c r="GXG10" s="1115"/>
      <c r="GXH10" s="1115"/>
      <c r="GXI10" s="1115"/>
      <c r="GXJ10" s="1115"/>
      <c r="GXK10" s="1115"/>
      <c r="GXL10" s="1115"/>
      <c r="GXM10" s="1115"/>
      <c r="GXN10" s="1115"/>
      <c r="GXO10" s="1115"/>
      <c r="GXP10" s="1115"/>
      <c r="GXQ10" s="1115"/>
      <c r="GXR10" s="1115"/>
      <c r="GXS10" s="1115"/>
      <c r="GXT10" s="1115"/>
      <c r="GXU10" s="1115"/>
      <c r="GXV10" s="1115"/>
      <c r="GXW10" s="1115"/>
      <c r="GXX10" s="1115"/>
      <c r="GXY10" s="1115"/>
      <c r="GXZ10" s="1115"/>
      <c r="GYA10" s="1115"/>
      <c r="GYB10" s="1115"/>
      <c r="GYC10" s="1115"/>
      <c r="GYD10" s="1115"/>
      <c r="GYE10" s="1115"/>
      <c r="GYF10" s="1115"/>
      <c r="GYG10" s="1115"/>
      <c r="GYH10" s="1115"/>
      <c r="GYI10" s="1115"/>
      <c r="GYJ10" s="1115"/>
      <c r="GYK10" s="1115"/>
      <c r="GYL10" s="1115"/>
      <c r="GYM10" s="1115"/>
      <c r="GYN10" s="1115"/>
      <c r="GYO10" s="1115"/>
      <c r="GYP10" s="1115"/>
      <c r="GYQ10" s="1115"/>
      <c r="GYR10" s="1115"/>
      <c r="GYS10" s="1115"/>
      <c r="GYT10" s="1115"/>
      <c r="GYU10" s="1115"/>
      <c r="GYV10" s="1115"/>
      <c r="GYW10" s="1115"/>
      <c r="GYX10" s="1115"/>
      <c r="GYY10" s="1115"/>
      <c r="GYZ10" s="1115"/>
      <c r="GZA10" s="1115"/>
      <c r="GZB10" s="1115"/>
      <c r="GZC10" s="1115"/>
      <c r="GZD10" s="1115"/>
      <c r="GZE10" s="1115"/>
      <c r="GZF10" s="1115"/>
      <c r="GZG10" s="1115"/>
      <c r="GZH10" s="1115"/>
      <c r="GZI10" s="1115"/>
      <c r="GZJ10" s="1115"/>
      <c r="GZK10" s="1115"/>
      <c r="GZL10" s="1115"/>
      <c r="GZM10" s="1115"/>
      <c r="GZN10" s="1115"/>
      <c r="GZO10" s="1115"/>
      <c r="GZP10" s="1115"/>
      <c r="GZQ10" s="1115"/>
      <c r="GZR10" s="1115"/>
      <c r="GZS10" s="1115"/>
      <c r="GZT10" s="1115"/>
      <c r="GZU10" s="1115"/>
      <c r="GZV10" s="1115"/>
      <c r="GZW10" s="1115"/>
      <c r="GZX10" s="1115"/>
      <c r="GZY10" s="1115"/>
      <c r="GZZ10" s="1115"/>
      <c r="HAA10" s="1115"/>
      <c r="HAB10" s="1115"/>
      <c r="HAC10" s="1115"/>
      <c r="HAD10" s="1115"/>
      <c r="HAE10" s="1115"/>
      <c r="HAF10" s="1115"/>
      <c r="HAG10" s="1115"/>
      <c r="HAH10" s="1115"/>
      <c r="HAI10" s="1115"/>
      <c r="HAJ10" s="1115"/>
      <c r="HAK10" s="1115"/>
      <c r="HAL10" s="1115"/>
      <c r="HAM10" s="1115"/>
      <c r="HAN10" s="1115"/>
      <c r="HAO10" s="1115"/>
      <c r="HAP10" s="1115"/>
      <c r="HAQ10" s="1115"/>
      <c r="HAR10" s="1115"/>
      <c r="HAS10" s="1115"/>
      <c r="HAT10" s="1115"/>
      <c r="HAU10" s="1115"/>
      <c r="HAV10" s="1115"/>
      <c r="HAW10" s="1115"/>
      <c r="HAX10" s="1115"/>
      <c r="HAY10" s="1115"/>
      <c r="HAZ10" s="1115"/>
      <c r="HBA10" s="1115"/>
      <c r="HBB10" s="1115"/>
      <c r="HBC10" s="1115"/>
      <c r="HBD10" s="1115"/>
      <c r="HBE10" s="1115"/>
      <c r="HBF10" s="1115"/>
      <c r="HBG10" s="1115"/>
      <c r="HBH10" s="1115"/>
      <c r="HBI10" s="1115"/>
      <c r="HBJ10" s="1115"/>
      <c r="HBK10" s="1115"/>
      <c r="HBL10" s="1115"/>
      <c r="HBM10" s="1115"/>
      <c r="HBN10" s="1115"/>
      <c r="HBO10" s="1115"/>
      <c r="HBP10" s="1115"/>
      <c r="HBQ10" s="1115"/>
      <c r="HBR10" s="1115"/>
      <c r="HBS10" s="1115"/>
      <c r="HBT10" s="1115"/>
      <c r="HBU10" s="1115"/>
      <c r="HBV10" s="1115"/>
      <c r="HBW10" s="1115"/>
      <c r="HBX10" s="1115"/>
      <c r="HBY10" s="1115"/>
      <c r="HBZ10" s="1115"/>
      <c r="HCA10" s="1115"/>
      <c r="HCB10" s="1115"/>
      <c r="HCC10" s="1115"/>
      <c r="HCD10" s="1115"/>
      <c r="HCE10" s="1115"/>
      <c r="HCF10" s="1115"/>
      <c r="HCG10" s="1115"/>
      <c r="HCH10" s="1115"/>
      <c r="HCI10" s="1115"/>
      <c r="HCJ10" s="1115"/>
      <c r="HCK10" s="1115"/>
      <c r="HCL10" s="1115"/>
      <c r="HCM10" s="1115"/>
      <c r="HCN10" s="1115"/>
      <c r="HCO10" s="1115"/>
      <c r="HCP10" s="1115"/>
      <c r="HCQ10" s="1115"/>
      <c r="HCR10" s="1115"/>
      <c r="HCS10" s="1115"/>
      <c r="HCT10" s="1115"/>
      <c r="HCU10" s="1115"/>
      <c r="HCV10" s="1115"/>
      <c r="HCW10" s="1115"/>
      <c r="HCX10" s="1115"/>
      <c r="HCY10" s="1115"/>
      <c r="HCZ10" s="1115"/>
      <c r="HDA10" s="1115"/>
      <c r="HDB10" s="1115"/>
      <c r="HDC10" s="1115"/>
      <c r="HDD10" s="1115"/>
      <c r="HDE10" s="1115"/>
      <c r="HDF10" s="1115"/>
      <c r="HDG10" s="1115"/>
      <c r="HDH10" s="1115"/>
      <c r="HDI10" s="1115"/>
      <c r="HDJ10" s="1115"/>
      <c r="HDK10" s="1115"/>
      <c r="HDL10" s="1115"/>
      <c r="HDM10" s="1115"/>
      <c r="HDN10" s="1115"/>
      <c r="HDO10" s="1115"/>
      <c r="HDP10" s="1115"/>
      <c r="HDQ10" s="1115"/>
      <c r="HDR10" s="1115"/>
      <c r="HDS10" s="1115"/>
      <c r="HDT10" s="1115"/>
      <c r="HDU10" s="1115"/>
      <c r="HDV10" s="1115"/>
      <c r="HDW10" s="1115"/>
      <c r="HDX10" s="1115"/>
      <c r="HDY10" s="1115"/>
      <c r="HDZ10" s="1115"/>
      <c r="HEA10" s="1115"/>
      <c r="HEB10" s="1115"/>
      <c r="HEC10" s="1115"/>
      <c r="HED10" s="1115"/>
      <c r="HEE10" s="1115"/>
      <c r="HEF10" s="1115"/>
      <c r="HEG10" s="1115"/>
      <c r="HEH10" s="1115"/>
      <c r="HEI10" s="1115"/>
      <c r="HEJ10" s="1115"/>
      <c r="HEK10" s="1115"/>
      <c r="HEL10" s="1115"/>
      <c r="HEM10" s="1115"/>
      <c r="HEN10" s="1115"/>
      <c r="HEO10" s="1115"/>
      <c r="HEP10" s="1115"/>
      <c r="HEQ10" s="1115"/>
      <c r="HER10" s="1115"/>
      <c r="HES10" s="1115"/>
      <c r="HET10" s="1115"/>
      <c r="HEU10" s="1115"/>
      <c r="HEV10" s="1115"/>
      <c r="HEW10" s="1115"/>
      <c r="HEX10" s="1115"/>
      <c r="HEY10" s="1115"/>
      <c r="HEZ10" s="1115"/>
      <c r="HFA10" s="1115"/>
      <c r="HFB10" s="1115"/>
      <c r="HFC10" s="1115"/>
      <c r="HFD10" s="1115"/>
      <c r="HFE10" s="1115"/>
      <c r="HFF10" s="1115"/>
      <c r="HFG10" s="1115"/>
      <c r="HFH10" s="1115"/>
      <c r="HFI10" s="1115"/>
      <c r="HFJ10" s="1115"/>
      <c r="HFK10" s="1115"/>
      <c r="HFL10" s="1115"/>
      <c r="HFM10" s="1115"/>
      <c r="HFN10" s="1115"/>
      <c r="HFO10" s="1115"/>
      <c r="HFP10" s="1115"/>
      <c r="HFQ10" s="1115"/>
      <c r="HFR10" s="1115"/>
      <c r="HFS10" s="1115"/>
      <c r="HFT10" s="1115"/>
      <c r="HFU10" s="1115"/>
      <c r="HFV10" s="1115"/>
      <c r="HFW10" s="1115"/>
      <c r="HFX10" s="1115"/>
      <c r="HFY10" s="1115"/>
      <c r="HFZ10" s="1115"/>
      <c r="HGA10" s="1115"/>
      <c r="HGB10" s="1115"/>
      <c r="HGC10" s="1115"/>
      <c r="HGD10" s="1115"/>
      <c r="HGE10" s="1115"/>
      <c r="HGF10" s="1115"/>
      <c r="HGG10" s="1115"/>
      <c r="HGH10" s="1115"/>
      <c r="HGI10" s="1115"/>
      <c r="HGJ10" s="1115"/>
      <c r="HGK10" s="1115"/>
      <c r="HGL10" s="1115"/>
      <c r="HGM10" s="1115"/>
      <c r="HGN10" s="1115"/>
      <c r="HGO10" s="1115"/>
      <c r="HGP10" s="1115"/>
      <c r="HGQ10" s="1115"/>
      <c r="HGR10" s="1115"/>
      <c r="HGS10" s="1115"/>
      <c r="HGT10" s="1115"/>
      <c r="HGU10" s="1115"/>
      <c r="HGV10" s="1115"/>
      <c r="HGW10" s="1115"/>
      <c r="HGX10" s="1115"/>
      <c r="HGY10" s="1115"/>
      <c r="HGZ10" s="1115"/>
      <c r="HHA10" s="1115"/>
      <c r="HHB10" s="1115"/>
      <c r="HHC10" s="1115"/>
      <c r="HHD10" s="1115"/>
      <c r="HHE10" s="1115"/>
      <c r="HHF10" s="1115"/>
      <c r="HHG10" s="1115"/>
      <c r="HHH10" s="1115"/>
      <c r="HHI10" s="1115"/>
      <c r="HHJ10" s="1115"/>
      <c r="HHK10" s="1115"/>
      <c r="HHL10" s="1115"/>
      <c r="HHM10" s="1115"/>
      <c r="HHN10" s="1115"/>
      <c r="HHO10" s="1115"/>
      <c r="HHP10" s="1115"/>
      <c r="HHQ10" s="1115"/>
      <c r="HHR10" s="1115"/>
      <c r="HHS10" s="1115"/>
      <c r="HHT10" s="1115"/>
      <c r="HHU10" s="1115"/>
      <c r="HHV10" s="1115"/>
      <c r="HHW10" s="1115"/>
      <c r="HHX10" s="1115"/>
      <c r="HHY10" s="1115"/>
      <c r="HHZ10" s="1115"/>
      <c r="HIA10" s="1115"/>
      <c r="HIB10" s="1115"/>
      <c r="HIC10" s="1115"/>
      <c r="HID10" s="1115"/>
      <c r="HIE10" s="1115"/>
      <c r="HIF10" s="1115"/>
      <c r="HIG10" s="1115"/>
      <c r="HIH10" s="1115"/>
      <c r="HII10" s="1115"/>
      <c r="HIJ10" s="1115"/>
      <c r="HIK10" s="1115"/>
      <c r="HIL10" s="1115"/>
      <c r="HIM10" s="1115"/>
      <c r="HIN10" s="1115"/>
      <c r="HIO10" s="1115"/>
      <c r="HIP10" s="1115"/>
      <c r="HIQ10" s="1115"/>
      <c r="HIR10" s="1115"/>
      <c r="HIS10" s="1115"/>
      <c r="HIT10" s="1115"/>
      <c r="HIU10" s="1115"/>
      <c r="HIV10" s="1115"/>
      <c r="HIW10" s="1115"/>
      <c r="HIX10" s="1115"/>
      <c r="HIY10" s="1115"/>
      <c r="HIZ10" s="1115"/>
      <c r="HJA10" s="1115"/>
      <c r="HJB10" s="1115"/>
      <c r="HJC10" s="1115"/>
      <c r="HJD10" s="1115"/>
      <c r="HJE10" s="1115"/>
      <c r="HJF10" s="1115"/>
      <c r="HJG10" s="1115"/>
      <c r="HJH10" s="1115"/>
      <c r="HJI10" s="1115"/>
      <c r="HJJ10" s="1115"/>
      <c r="HJK10" s="1115"/>
      <c r="HJL10" s="1115"/>
      <c r="HJM10" s="1115"/>
      <c r="HJN10" s="1115"/>
      <c r="HJO10" s="1115"/>
      <c r="HJP10" s="1115"/>
      <c r="HJQ10" s="1115"/>
      <c r="HJR10" s="1115"/>
      <c r="HJS10" s="1115"/>
      <c r="HJT10" s="1115"/>
      <c r="HJU10" s="1115"/>
      <c r="HJV10" s="1115"/>
      <c r="HJW10" s="1115"/>
      <c r="HJX10" s="1115"/>
      <c r="HJY10" s="1115"/>
      <c r="HJZ10" s="1115"/>
      <c r="HKA10" s="1115"/>
      <c r="HKB10" s="1115"/>
      <c r="HKC10" s="1115"/>
      <c r="HKD10" s="1115"/>
      <c r="HKE10" s="1115"/>
      <c r="HKF10" s="1115"/>
      <c r="HKG10" s="1115"/>
      <c r="HKH10" s="1115"/>
      <c r="HKI10" s="1115"/>
      <c r="HKJ10" s="1115"/>
      <c r="HKK10" s="1115"/>
      <c r="HKL10" s="1115"/>
      <c r="HKM10" s="1115"/>
      <c r="HKN10" s="1115"/>
      <c r="HKO10" s="1115"/>
      <c r="HKP10" s="1115"/>
      <c r="HKQ10" s="1115"/>
      <c r="HKR10" s="1115"/>
      <c r="HKS10" s="1115"/>
      <c r="HKT10" s="1115"/>
      <c r="HKU10" s="1115"/>
      <c r="HKV10" s="1115"/>
      <c r="HKW10" s="1115"/>
      <c r="HKX10" s="1115"/>
      <c r="HKY10" s="1115"/>
      <c r="HKZ10" s="1115"/>
      <c r="HLA10" s="1115"/>
      <c r="HLB10" s="1115"/>
      <c r="HLC10" s="1115"/>
      <c r="HLD10" s="1115"/>
      <c r="HLE10" s="1115"/>
      <c r="HLF10" s="1115"/>
      <c r="HLG10" s="1115"/>
      <c r="HLH10" s="1115"/>
      <c r="HLI10" s="1115"/>
      <c r="HLJ10" s="1115"/>
      <c r="HLK10" s="1115"/>
      <c r="HLL10" s="1115"/>
      <c r="HLM10" s="1115"/>
      <c r="HLN10" s="1115"/>
      <c r="HLO10" s="1115"/>
      <c r="HLP10" s="1115"/>
      <c r="HLQ10" s="1115"/>
      <c r="HLR10" s="1115"/>
      <c r="HLS10" s="1115"/>
      <c r="HLT10" s="1115"/>
      <c r="HLU10" s="1115"/>
      <c r="HLV10" s="1115"/>
      <c r="HLW10" s="1115"/>
      <c r="HLX10" s="1115"/>
      <c r="HLY10" s="1115"/>
      <c r="HLZ10" s="1115"/>
      <c r="HMA10" s="1115"/>
      <c r="HMB10" s="1115"/>
      <c r="HMC10" s="1115"/>
      <c r="HMD10" s="1115"/>
      <c r="HME10" s="1115"/>
      <c r="HMF10" s="1115"/>
      <c r="HMG10" s="1115"/>
      <c r="HMH10" s="1115"/>
      <c r="HMI10" s="1115"/>
      <c r="HMJ10" s="1115"/>
      <c r="HMK10" s="1115"/>
      <c r="HML10" s="1115"/>
      <c r="HMM10" s="1115"/>
      <c r="HMN10" s="1115"/>
      <c r="HMO10" s="1115"/>
      <c r="HMP10" s="1115"/>
      <c r="HMQ10" s="1115"/>
      <c r="HMR10" s="1115"/>
      <c r="HMS10" s="1115"/>
      <c r="HMT10" s="1115"/>
      <c r="HMU10" s="1115"/>
      <c r="HMV10" s="1115"/>
      <c r="HMW10" s="1115"/>
      <c r="HMX10" s="1115"/>
      <c r="HMY10" s="1115"/>
      <c r="HMZ10" s="1115"/>
      <c r="HNA10" s="1115"/>
      <c r="HNB10" s="1115"/>
      <c r="HNC10" s="1115"/>
      <c r="HND10" s="1115"/>
      <c r="HNE10" s="1115"/>
      <c r="HNF10" s="1115"/>
      <c r="HNG10" s="1115"/>
      <c r="HNH10" s="1115"/>
      <c r="HNI10" s="1115"/>
      <c r="HNJ10" s="1115"/>
      <c r="HNK10" s="1115"/>
      <c r="HNL10" s="1115"/>
      <c r="HNM10" s="1115"/>
      <c r="HNN10" s="1115"/>
      <c r="HNO10" s="1115"/>
      <c r="HNP10" s="1115"/>
      <c r="HNQ10" s="1115"/>
      <c r="HNR10" s="1115"/>
      <c r="HNS10" s="1115"/>
      <c r="HNT10" s="1115"/>
      <c r="HNU10" s="1115"/>
      <c r="HNV10" s="1115"/>
      <c r="HNW10" s="1115"/>
      <c r="HNX10" s="1115"/>
      <c r="HNY10" s="1115"/>
      <c r="HNZ10" s="1115"/>
      <c r="HOA10" s="1115"/>
      <c r="HOB10" s="1115"/>
      <c r="HOC10" s="1115"/>
      <c r="HOD10" s="1115"/>
      <c r="HOE10" s="1115"/>
      <c r="HOF10" s="1115"/>
      <c r="HOG10" s="1115"/>
      <c r="HOH10" s="1115"/>
      <c r="HOI10" s="1115"/>
      <c r="HOJ10" s="1115"/>
      <c r="HOK10" s="1115"/>
      <c r="HOL10" s="1115"/>
      <c r="HOM10" s="1115"/>
      <c r="HON10" s="1115"/>
      <c r="HOO10" s="1115"/>
      <c r="HOP10" s="1115"/>
      <c r="HOQ10" s="1115"/>
      <c r="HOR10" s="1115"/>
      <c r="HOS10" s="1115"/>
      <c r="HOT10" s="1115"/>
      <c r="HOU10" s="1115"/>
      <c r="HOV10" s="1115"/>
      <c r="HOW10" s="1115"/>
      <c r="HOX10" s="1115"/>
      <c r="HOY10" s="1115"/>
      <c r="HOZ10" s="1115"/>
      <c r="HPA10" s="1115"/>
      <c r="HPB10" s="1115"/>
      <c r="HPC10" s="1115"/>
      <c r="HPD10" s="1115"/>
      <c r="HPE10" s="1115"/>
      <c r="HPF10" s="1115"/>
      <c r="HPG10" s="1115"/>
      <c r="HPH10" s="1115"/>
      <c r="HPI10" s="1115"/>
      <c r="HPJ10" s="1115"/>
      <c r="HPK10" s="1115"/>
      <c r="HPL10" s="1115"/>
      <c r="HPM10" s="1115"/>
      <c r="HPN10" s="1115"/>
      <c r="HPO10" s="1115"/>
      <c r="HPP10" s="1115"/>
      <c r="HPQ10" s="1115"/>
      <c r="HPR10" s="1115"/>
      <c r="HPS10" s="1115"/>
      <c r="HPT10" s="1115"/>
      <c r="HPU10" s="1115"/>
      <c r="HPV10" s="1115"/>
      <c r="HPW10" s="1115"/>
      <c r="HPX10" s="1115"/>
      <c r="HPY10" s="1115"/>
      <c r="HPZ10" s="1115"/>
      <c r="HQA10" s="1115"/>
      <c r="HQB10" s="1115"/>
      <c r="HQC10" s="1115"/>
      <c r="HQD10" s="1115"/>
      <c r="HQE10" s="1115"/>
      <c r="HQF10" s="1115"/>
      <c r="HQG10" s="1115"/>
      <c r="HQH10" s="1115"/>
      <c r="HQI10" s="1115"/>
      <c r="HQJ10" s="1115"/>
      <c r="HQK10" s="1115"/>
      <c r="HQL10" s="1115"/>
      <c r="HQM10" s="1115"/>
      <c r="HQN10" s="1115"/>
      <c r="HQO10" s="1115"/>
      <c r="HQP10" s="1115"/>
      <c r="HQQ10" s="1115"/>
      <c r="HQR10" s="1115"/>
      <c r="HQS10" s="1115"/>
      <c r="HQT10" s="1115"/>
      <c r="HQU10" s="1115"/>
      <c r="HQV10" s="1115"/>
      <c r="HQW10" s="1115"/>
      <c r="HQX10" s="1115"/>
      <c r="HQY10" s="1115"/>
      <c r="HQZ10" s="1115"/>
      <c r="HRA10" s="1115"/>
      <c r="HRB10" s="1115"/>
      <c r="HRC10" s="1115"/>
      <c r="HRD10" s="1115"/>
      <c r="HRE10" s="1115"/>
      <c r="HRF10" s="1115"/>
      <c r="HRG10" s="1115"/>
      <c r="HRH10" s="1115"/>
      <c r="HRI10" s="1115"/>
      <c r="HRJ10" s="1115"/>
      <c r="HRK10" s="1115"/>
      <c r="HRL10" s="1115"/>
      <c r="HRM10" s="1115"/>
      <c r="HRN10" s="1115"/>
      <c r="HRO10" s="1115"/>
      <c r="HRP10" s="1115"/>
      <c r="HRQ10" s="1115"/>
      <c r="HRR10" s="1115"/>
      <c r="HRS10" s="1115"/>
      <c r="HRT10" s="1115"/>
      <c r="HRU10" s="1115"/>
      <c r="HRV10" s="1115"/>
      <c r="HRW10" s="1115"/>
      <c r="HRX10" s="1115"/>
      <c r="HRY10" s="1115"/>
      <c r="HRZ10" s="1115"/>
      <c r="HSA10" s="1115"/>
      <c r="HSB10" s="1115"/>
      <c r="HSC10" s="1115"/>
      <c r="HSD10" s="1115"/>
      <c r="HSE10" s="1115"/>
      <c r="HSF10" s="1115"/>
      <c r="HSG10" s="1115"/>
      <c r="HSH10" s="1115"/>
      <c r="HSI10" s="1115"/>
      <c r="HSJ10" s="1115"/>
      <c r="HSK10" s="1115"/>
      <c r="HSL10" s="1115"/>
      <c r="HSM10" s="1115"/>
      <c r="HSN10" s="1115"/>
      <c r="HSO10" s="1115"/>
      <c r="HSP10" s="1115"/>
      <c r="HSQ10" s="1115"/>
      <c r="HSR10" s="1115"/>
      <c r="HSS10" s="1115"/>
      <c r="HST10" s="1115"/>
      <c r="HSU10" s="1115"/>
      <c r="HSV10" s="1115"/>
      <c r="HSW10" s="1115"/>
      <c r="HSX10" s="1115"/>
      <c r="HSY10" s="1115"/>
      <c r="HSZ10" s="1115"/>
      <c r="HTA10" s="1115"/>
      <c r="HTB10" s="1115"/>
      <c r="HTC10" s="1115"/>
      <c r="HTD10" s="1115"/>
      <c r="HTE10" s="1115"/>
      <c r="HTF10" s="1115"/>
      <c r="HTG10" s="1115"/>
      <c r="HTH10" s="1115"/>
      <c r="HTI10" s="1115"/>
      <c r="HTJ10" s="1115"/>
      <c r="HTK10" s="1115"/>
      <c r="HTL10" s="1115"/>
      <c r="HTM10" s="1115"/>
      <c r="HTN10" s="1115"/>
      <c r="HTO10" s="1115"/>
      <c r="HTP10" s="1115"/>
      <c r="HTQ10" s="1115"/>
      <c r="HTR10" s="1115"/>
      <c r="HTS10" s="1115"/>
      <c r="HTT10" s="1115"/>
      <c r="HTU10" s="1115"/>
      <c r="HTV10" s="1115"/>
      <c r="HTW10" s="1115"/>
      <c r="HTX10" s="1115"/>
      <c r="HTY10" s="1115"/>
      <c r="HTZ10" s="1115"/>
      <c r="HUA10" s="1115"/>
      <c r="HUB10" s="1115"/>
      <c r="HUC10" s="1115"/>
      <c r="HUD10" s="1115"/>
      <c r="HUE10" s="1115"/>
      <c r="HUF10" s="1115"/>
      <c r="HUG10" s="1115"/>
      <c r="HUH10" s="1115"/>
      <c r="HUI10" s="1115"/>
      <c r="HUJ10" s="1115"/>
      <c r="HUK10" s="1115"/>
      <c r="HUL10" s="1115"/>
      <c r="HUM10" s="1115"/>
      <c r="HUN10" s="1115"/>
      <c r="HUO10" s="1115"/>
      <c r="HUP10" s="1115"/>
      <c r="HUQ10" s="1115"/>
      <c r="HUR10" s="1115"/>
      <c r="HUS10" s="1115"/>
      <c r="HUT10" s="1115"/>
      <c r="HUU10" s="1115"/>
      <c r="HUV10" s="1115"/>
      <c r="HUW10" s="1115"/>
      <c r="HUX10" s="1115"/>
      <c r="HUY10" s="1115"/>
      <c r="HUZ10" s="1115"/>
      <c r="HVA10" s="1115"/>
      <c r="HVB10" s="1115"/>
      <c r="HVC10" s="1115"/>
      <c r="HVD10" s="1115"/>
      <c r="HVE10" s="1115"/>
      <c r="HVF10" s="1115"/>
      <c r="HVG10" s="1115"/>
      <c r="HVH10" s="1115"/>
      <c r="HVI10" s="1115"/>
      <c r="HVJ10" s="1115"/>
      <c r="HVK10" s="1115"/>
      <c r="HVL10" s="1115"/>
      <c r="HVM10" s="1115"/>
      <c r="HVN10" s="1115"/>
      <c r="HVO10" s="1115"/>
      <c r="HVP10" s="1115"/>
      <c r="HVQ10" s="1115"/>
      <c r="HVR10" s="1115"/>
      <c r="HVS10" s="1115"/>
      <c r="HVT10" s="1115"/>
      <c r="HVU10" s="1115"/>
      <c r="HVV10" s="1115"/>
      <c r="HVW10" s="1115"/>
      <c r="HVX10" s="1115"/>
      <c r="HVY10" s="1115"/>
      <c r="HVZ10" s="1115"/>
      <c r="HWA10" s="1115"/>
      <c r="HWB10" s="1115"/>
      <c r="HWC10" s="1115"/>
      <c r="HWD10" s="1115"/>
      <c r="HWE10" s="1115"/>
      <c r="HWF10" s="1115"/>
      <c r="HWG10" s="1115"/>
      <c r="HWH10" s="1115"/>
      <c r="HWI10" s="1115"/>
      <c r="HWJ10" s="1115"/>
      <c r="HWK10" s="1115"/>
      <c r="HWL10" s="1115"/>
      <c r="HWM10" s="1115"/>
      <c r="HWN10" s="1115"/>
      <c r="HWO10" s="1115"/>
      <c r="HWP10" s="1115"/>
      <c r="HWQ10" s="1115"/>
      <c r="HWR10" s="1115"/>
      <c r="HWS10" s="1115"/>
      <c r="HWT10" s="1115"/>
      <c r="HWU10" s="1115"/>
      <c r="HWV10" s="1115"/>
      <c r="HWW10" s="1115"/>
      <c r="HWX10" s="1115"/>
      <c r="HWY10" s="1115"/>
      <c r="HWZ10" s="1115"/>
      <c r="HXA10" s="1115"/>
      <c r="HXB10" s="1115"/>
      <c r="HXC10" s="1115"/>
      <c r="HXD10" s="1115"/>
      <c r="HXE10" s="1115"/>
      <c r="HXF10" s="1115"/>
      <c r="HXG10" s="1115"/>
      <c r="HXH10" s="1115"/>
      <c r="HXI10" s="1115"/>
      <c r="HXJ10" s="1115"/>
      <c r="HXK10" s="1115"/>
      <c r="HXL10" s="1115"/>
      <c r="HXM10" s="1115"/>
      <c r="HXN10" s="1115"/>
      <c r="HXO10" s="1115"/>
      <c r="HXP10" s="1115"/>
      <c r="HXQ10" s="1115"/>
      <c r="HXR10" s="1115"/>
      <c r="HXS10" s="1115"/>
      <c r="HXT10" s="1115"/>
      <c r="HXU10" s="1115"/>
      <c r="HXV10" s="1115"/>
      <c r="HXW10" s="1115"/>
      <c r="HXX10" s="1115"/>
      <c r="HXY10" s="1115"/>
      <c r="HXZ10" s="1115"/>
      <c r="HYA10" s="1115"/>
      <c r="HYB10" s="1115"/>
      <c r="HYC10" s="1115"/>
      <c r="HYD10" s="1115"/>
      <c r="HYE10" s="1115"/>
      <c r="HYF10" s="1115"/>
      <c r="HYG10" s="1115"/>
      <c r="HYH10" s="1115"/>
      <c r="HYI10" s="1115"/>
      <c r="HYJ10" s="1115"/>
      <c r="HYK10" s="1115"/>
      <c r="HYL10" s="1115"/>
      <c r="HYM10" s="1115"/>
      <c r="HYN10" s="1115"/>
      <c r="HYO10" s="1115"/>
      <c r="HYP10" s="1115"/>
      <c r="HYQ10" s="1115"/>
      <c r="HYR10" s="1115"/>
      <c r="HYS10" s="1115"/>
      <c r="HYT10" s="1115"/>
      <c r="HYU10" s="1115"/>
      <c r="HYV10" s="1115"/>
      <c r="HYW10" s="1115"/>
      <c r="HYX10" s="1115"/>
      <c r="HYY10" s="1115"/>
      <c r="HYZ10" s="1115"/>
      <c r="HZA10" s="1115"/>
      <c r="HZB10" s="1115"/>
      <c r="HZC10" s="1115"/>
      <c r="HZD10" s="1115"/>
      <c r="HZE10" s="1115"/>
      <c r="HZF10" s="1115"/>
      <c r="HZG10" s="1115"/>
      <c r="HZH10" s="1115"/>
      <c r="HZI10" s="1115"/>
      <c r="HZJ10" s="1115"/>
      <c r="HZK10" s="1115"/>
      <c r="HZL10" s="1115"/>
      <c r="HZM10" s="1115"/>
      <c r="HZN10" s="1115"/>
      <c r="HZO10" s="1115"/>
      <c r="HZP10" s="1115"/>
      <c r="HZQ10" s="1115"/>
      <c r="HZR10" s="1115"/>
      <c r="HZS10" s="1115"/>
      <c r="HZT10" s="1115"/>
      <c r="HZU10" s="1115"/>
      <c r="HZV10" s="1115"/>
      <c r="HZW10" s="1115"/>
      <c r="HZX10" s="1115"/>
      <c r="HZY10" s="1115"/>
      <c r="HZZ10" s="1115"/>
      <c r="IAA10" s="1115"/>
      <c r="IAB10" s="1115"/>
      <c r="IAC10" s="1115"/>
      <c r="IAD10" s="1115"/>
      <c r="IAE10" s="1115"/>
      <c r="IAF10" s="1115"/>
      <c r="IAG10" s="1115"/>
      <c r="IAH10" s="1115"/>
      <c r="IAI10" s="1115"/>
      <c r="IAJ10" s="1115"/>
      <c r="IAK10" s="1115"/>
      <c r="IAL10" s="1115"/>
      <c r="IAM10" s="1115"/>
      <c r="IAN10" s="1115"/>
      <c r="IAO10" s="1115"/>
      <c r="IAP10" s="1115"/>
      <c r="IAQ10" s="1115"/>
      <c r="IAR10" s="1115"/>
      <c r="IAS10" s="1115"/>
      <c r="IAT10" s="1115"/>
      <c r="IAU10" s="1115"/>
      <c r="IAV10" s="1115"/>
      <c r="IAW10" s="1115"/>
      <c r="IAX10" s="1115"/>
      <c r="IAY10" s="1115"/>
      <c r="IAZ10" s="1115"/>
      <c r="IBA10" s="1115"/>
      <c r="IBB10" s="1115"/>
      <c r="IBC10" s="1115"/>
      <c r="IBD10" s="1115"/>
      <c r="IBE10" s="1115"/>
      <c r="IBF10" s="1115"/>
      <c r="IBG10" s="1115"/>
      <c r="IBH10" s="1115"/>
      <c r="IBI10" s="1115"/>
      <c r="IBJ10" s="1115"/>
      <c r="IBK10" s="1115"/>
      <c r="IBL10" s="1115"/>
      <c r="IBM10" s="1115"/>
      <c r="IBN10" s="1115"/>
      <c r="IBO10" s="1115"/>
      <c r="IBP10" s="1115"/>
      <c r="IBQ10" s="1115"/>
      <c r="IBR10" s="1115"/>
      <c r="IBS10" s="1115"/>
      <c r="IBT10" s="1115"/>
      <c r="IBU10" s="1115"/>
      <c r="IBV10" s="1115"/>
      <c r="IBW10" s="1115"/>
      <c r="IBX10" s="1115"/>
      <c r="IBY10" s="1115"/>
      <c r="IBZ10" s="1115"/>
      <c r="ICA10" s="1115"/>
      <c r="ICB10" s="1115"/>
      <c r="ICC10" s="1115"/>
      <c r="ICD10" s="1115"/>
      <c r="ICE10" s="1115"/>
      <c r="ICF10" s="1115"/>
      <c r="ICG10" s="1115"/>
      <c r="ICH10" s="1115"/>
      <c r="ICI10" s="1115"/>
      <c r="ICJ10" s="1115"/>
      <c r="ICK10" s="1115"/>
      <c r="ICL10" s="1115"/>
      <c r="ICM10" s="1115"/>
      <c r="ICN10" s="1115"/>
      <c r="ICO10" s="1115"/>
      <c r="ICP10" s="1115"/>
      <c r="ICQ10" s="1115"/>
      <c r="ICR10" s="1115"/>
      <c r="ICS10" s="1115"/>
      <c r="ICT10" s="1115"/>
      <c r="ICU10" s="1115"/>
      <c r="ICV10" s="1115"/>
      <c r="ICW10" s="1115"/>
      <c r="ICX10" s="1115"/>
      <c r="ICY10" s="1115"/>
      <c r="ICZ10" s="1115"/>
      <c r="IDA10" s="1115"/>
      <c r="IDB10" s="1115"/>
      <c r="IDC10" s="1115"/>
      <c r="IDD10" s="1115"/>
      <c r="IDE10" s="1115"/>
      <c r="IDF10" s="1115"/>
      <c r="IDG10" s="1115"/>
      <c r="IDH10" s="1115"/>
      <c r="IDI10" s="1115"/>
      <c r="IDJ10" s="1115"/>
      <c r="IDK10" s="1115"/>
      <c r="IDL10" s="1115"/>
      <c r="IDM10" s="1115"/>
      <c r="IDN10" s="1115"/>
      <c r="IDO10" s="1115"/>
      <c r="IDP10" s="1115"/>
      <c r="IDQ10" s="1115"/>
      <c r="IDR10" s="1115"/>
      <c r="IDS10" s="1115"/>
      <c r="IDT10" s="1115"/>
      <c r="IDU10" s="1115"/>
      <c r="IDV10" s="1115"/>
      <c r="IDW10" s="1115"/>
      <c r="IDX10" s="1115"/>
      <c r="IDY10" s="1115"/>
      <c r="IDZ10" s="1115"/>
      <c r="IEA10" s="1115"/>
      <c r="IEB10" s="1115"/>
      <c r="IEC10" s="1115"/>
      <c r="IED10" s="1115"/>
      <c r="IEE10" s="1115"/>
      <c r="IEF10" s="1115"/>
      <c r="IEG10" s="1115"/>
      <c r="IEH10" s="1115"/>
      <c r="IEI10" s="1115"/>
      <c r="IEJ10" s="1115"/>
      <c r="IEK10" s="1115"/>
      <c r="IEL10" s="1115"/>
      <c r="IEM10" s="1115"/>
      <c r="IEN10" s="1115"/>
      <c r="IEO10" s="1115"/>
      <c r="IEP10" s="1115"/>
      <c r="IEQ10" s="1115"/>
      <c r="IER10" s="1115"/>
      <c r="IES10" s="1115"/>
      <c r="IET10" s="1115"/>
      <c r="IEU10" s="1115"/>
      <c r="IEV10" s="1115"/>
      <c r="IEW10" s="1115"/>
      <c r="IEX10" s="1115"/>
      <c r="IEY10" s="1115"/>
      <c r="IEZ10" s="1115"/>
      <c r="IFA10" s="1115"/>
      <c r="IFB10" s="1115"/>
      <c r="IFC10" s="1115"/>
      <c r="IFD10" s="1115"/>
      <c r="IFE10" s="1115"/>
      <c r="IFF10" s="1115"/>
      <c r="IFG10" s="1115"/>
      <c r="IFH10" s="1115"/>
      <c r="IFI10" s="1115"/>
      <c r="IFJ10" s="1115"/>
      <c r="IFK10" s="1115"/>
      <c r="IFL10" s="1115"/>
      <c r="IFM10" s="1115"/>
      <c r="IFN10" s="1115"/>
      <c r="IFO10" s="1115"/>
      <c r="IFP10" s="1115"/>
      <c r="IFQ10" s="1115"/>
      <c r="IFR10" s="1115"/>
      <c r="IFS10" s="1115"/>
      <c r="IFT10" s="1115"/>
      <c r="IFU10" s="1115"/>
      <c r="IFV10" s="1115"/>
      <c r="IFW10" s="1115"/>
      <c r="IFX10" s="1115"/>
      <c r="IFY10" s="1115"/>
      <c r="IFZ10" s="1115"/>
      <c r="IGA10" s="1115"/>
      <c r="IGB10" s="1115"/>
      <c r="IGC10" s="1115"/>
      <c r="IGD10" s="1115"/>
      <c r="IGE10" s="1115"/>
      <c r="IGF10" s="1115"/>
      <c r="IGG10" s="1115"/>
      <c r="IGH10" s="1115"/>
      <c r="IGI10" s="1115"/>
      <c r="IGJ10" s="1115"/>
      <c r="IGK10" s="1115"/>
      <c r="IGL10" s="1115"/>
      <c r="IGM10" s="1115"/>
      <c r="IGN10" s="1115"/>
      <c r="IGO10" s="1115"/>
      <c r="IGP10" s="1115"/>
      <c r="IGQ10" s="1115"/>
      <c r="IGR10" s="1115"/>
      <c r="IGS10" s="1115"/>
      <c r="IGT10" s="1115"/>
      <c r="IGU10" s="1115"/>
      <c r="IGV10" s="1115"/>
      <c r="IGW10" s="1115"/>
      <c r="IGX10" s="1115"/>
      <c r="IGY10" s="1115"/>
      <c r="IGZ10" s="1115"/>
      <c r="IHA10" s="1115"/>
      <c r="IHB10" s="1115"/>
      <c r="IHC10" s="1115"/>
      <c r="IHD10" s="1115"/>
      <c r="IHE10" s="1115"/>
      <c r="IHF10" s="1115"/>
      <c r="IHG10" s="1115"/>
      <c r="IHH10" s="1115"/>
      <c r="IHI10" s="1115"/>
      <c r="IHJ10" s="1115"/>
      <c r="IHK10" s="1115"/>
      <c r="IHL10" s="1115"/>
      <c r="IHM10" s="1115"/>
      <c r="IHN10" s="1115"/>
      <c r="IHO10" s="1115"/>
      <c r="IHP10" s="1115"/>
      <c r="IHQ10" s="1115"/>
      <c r="IHR10" s="1115"/>
      <c r="IHS10" s="1115"/>
      <c r="IHT10" s="1115"/>
      <c r="IHU10" s="1115"/>
      <c r="IHV10" s="1115"/>
      <c r="IHW10" s="1115"/>
      <c r="IHX10" s="1115"/>
      <c r="IHY10" s="1115"/>
      <c r="IHZ10" s="1115"/>
      <c r="IIA10" s="1115"/>
      <c r="IIB10" s="1115"/>
      <c r="IIC10" s="1115"/>
      <c r="IID10" s="1115"/>
      <c r="IIE10" s="1115"/>
      <c r="IIF10" s="1115"/>
      <c r="IIG10" s="1115"/>
      <c r="IIH10" s="1115"/>
      <c r="III10" s="1115"/>
      <c r="IIJ10" s="1115"/>
      <c r="IIK10" s="1115"/>
      <c r="IIL10" s="1115"/>
      <c r="IIM10" s="1115"/>
      <c r="IIN10" s="1115"/>
      <c r="IIO10" s="1115"/>
      <c r="IIP10" s="1115"/>
      <c r="IIQ10" s="1115"/>
      <c r="IIR10" s="1115"/>
      <c r="IIS10" s="1115"/>
      <c r="IIT10" s="1115"/>
      <c r="IIU10" s="1115"/>
      <c r="IIV10" s="1115"/>
      <c r="IIW10" s="1115"/>
      <c r="IIX10" s="1115"/>
      <c r="IIY10" s="1115"/>
      <c r="IIZ10" s="1115"/>
      <c r="IJA10" s="1115"/>
      <c r="IJB10" s="1115"/>
      <c r="IJC10" s="1115"/>
      <c r="IJD10" s="1115"/>
      <c r="IJE10" s="1115"/>
      <c r="IJF10" s="1115"/>
      <c r="IJG10" s="1115"/>
      <c r="IJH10" s="1115"/>
      <c r="IJI10" s="1115"/>
      <c r="IJJ10" s="1115"/>
      <c r="IJK10" s="1115"/>
      <c r="IJL10" s="1115"/>
      <c r="IJM10" s="1115"/>
      <c r="IJN10" s="1115"/>
      <c r="IJO10" s="1115"/>
      <c r="IJP10" s="1115"/>
      <c r="IJQ10" s="1115"/>
      <c r="IJR10" s="1115"/>
      <c r="IJS10" s="1115"/>
      <c r="IJT10" s="1115"/>
      <c r="IJU10" s="1115"/>
      <c r="IJV10" s="1115"/>
      <c r="IJW10" s="1115"/>
      <c r="IJX10" s="1115"/>
      <c r="IJY10" s="1115"/>
      <c r="IJZ10" s="1115"/>
      <c r="IKA10" s="1115"/>
      <c r="IKB10" s="1115"/>
      <c r="IKC10" s="1115"/>
      <c r="IKD10" s="1115"/>
      <c r="IKE10" s="1115"/>
      <c r="IKF10" s="1115"/>
      <c r="IKG10" s="1115"/>
      <c r="IKH10" s="1115"/>
      <c r="IKI10" s="1115"/>
      <c r="IKJ10" s="1115"/>
      <c r="IKK10" s="1115"/>
      <c r="IKL10" s="1115"/>
      <c r="IKM10" s="1115"/>
      <c r="IKN10" s="1115"/>
      <c r="IKO10" s="1115"/>
      <c r="IKP10" s="1115"/>
      <c r="IKQ10" s="1115"/>
      <c r="IKR10" s="1115"/>
      <c r="IKS10" s="1115"/>
      <c r="IKT10" s="1115"/>
      <c r="IKU10" s="1115"/>
      <c r="IKV10" s="1115"/>
      <c r="IKW10" s="1115"/>
      <c r="IKX10" s="1115"/>
      <c r="IKY10" s="1115"/>
      <c r="IKZ10" s="1115"/>
      <c r="ILA10" s="1115"/>
      <c r="ILB10" s="1115"/>
      <c r="ILC10" s="1115"/>
      <c r="ILD10" s="1115"/>
      <c r="ILE10" s="1115"/>
      <c r="ILF10" s="1115"/>
      <c r="ILG10" s="1115"/>
      <c r="ILH10" s="1115"/>
      <c r="ILI10" s="1115"/>
      <c r="ILJ10" s="1115"/>
      <c r="ILK10" s="1115"/>
      <c r="ILL10" s="1115"/>
      <c r="ILM10" s="1115"/>
      <c r="ILN10" s="1115"/>
      <c r="ILO10" s="1115"/>
      <c r="ILP10" s="1115"/>
      <c r="ILQ10" s="1115"/>
      <c r="ILR10" s="1115"/>
      <c r="ILS10" s="1115"/>
      <c r="ILT10" s="1115"/>
      <c r="ILU10" s="1115"/>
      <c r="ILV10" s="1115"/>
      <c r="ILW10" s="1115"/>
      <c r="ILX10" s="1115"/>
      <c r="ILY10" s="1115"/>
      <c r="ILZ10" s="1115"/>
      <c r="IMA10" s="1115"/>
      <c r="IMB10" s="1115"/>
      <c r="IMC10" s="1115"/>
      <c r="IMD10" s="1115"/>
      <c r="IME10" s="1115"/>
      <c r="IMF10" s="1115"/>
      <c r="IMG10" s="1115"/>
      <c r="IMH10" s="1115"/>
      <c r="IMI10" s="1115"/>
      <c r="IMJ10" s="1115"/>
      <c r="IMK10" s="1115"/>
      <c r="IML10" s="1115"/>
      <c r="IMM10" s="1115"/>
      <c r="IMN10" s="1115"/>
      <c r="IMO10" s="1115"/>
      <c r="IMP10" s="1115"/>
      <c r="IMQ10" s="1115"/>
      <c r="IMR10" s="1115"/>
      <c r="IMS10" s="1115"/>
      <c r="IMT10" s="1115"/>
      <c r="IMU10" s="1115"/>
      <c r="IMV10" s="1115"/>
      <c r="IMW10" s="1115"/>
      <c r="IMX10" s="1115"/>
      <c r="IMY10" s="1115"/>
      <c r="IMZ10" s="1115"/>
      <c r="INA10" s="1115"/>
      <c r="INB10" s="1115"/>
      <c r="INC10" s="1115"/>
      <c r="IND10" s="1115"/>
      <c r="INE10" s="1115"/>
      <c r="INF10" s="1115"/>
      <c r="ING10" s="1115"/>
      <c r="INH10" s="1115"/>
      <c r="INI10" s="1115"/>
      <c r="INJ10" s="1115"/>
      <c r="INK10" s="1115"/>
      <c r="INL10" s="1115"/>
      <c r="INM10" s="1115"/>
      <c r="INN10" s="1115"/>
      <c r="INO10" s="1115"/>
      <c r="INP10" s="1115"/>
      <c r="INQ10" s="1115"/>
      <c r="INR10" s="1115"/>
      <c r="INS10" s="1115"/>
      <c r="INT10" s="1115"/>
      <c r="INU10" s="1115"/>
      <c r="INV10" s="1115"/>
      <c r="INW10" s="1115"/>
      <c r="INX10" s="1115"/>
      <c r="INY10" s="1115"/>
      <c r="INZ10" s="1115"/>
      <c r="IOA10" s="1115"/>
      <c r="IOB10" s="1115"/>
      <c r="IOC10" s="1115"/>
      <c r="IOD10" s="1115"/>
      <c r="IOE10" s="1115"/>
      <c r="IOF10" s="1115"/>
      <c r="IOG10" s="1115"/>
      <c r="IOH10" s="1115"/>
      <c r="IOI10" s="1115"/>
      <c r="IOJ10" s="1115"/>
      <c r="IOK10" s="1115"/>
      <c r="IOL10" s="1115"/>
      <c r="IOM10" s="1115"/>
      <c r="ION10" s="1115"/>
      <c r="IOO10" s="1115"/>
      <c r="IOP10" s="1115"/>
      <c r="IOQ10" s="1115"/>
      <c r="IOR10" s="1115"/>
      <c r="IOS10" s="1115"/>
      <c r="IOT10" s="1115"/>
      <c r="IOU10" s="1115"/>
      <c r="IOV10" s="1115"/>
      <c r="IOW10" s="1115"/>
      <c r="IOX10" s="1115"/>
      <c r="IOY10" s="1115"/>
      <c r="IOZ10" s="1115"/>
      <c r="IPA10" s="1115"/>
      <c r="IPB10" s="1115"/>
      <c r="IPC10" s="1115"/>
      <c r="IPD10" s="1115"/>
      <c r="IPE10" s="1115"/>
      <c r="IPF10" s="1115"/>
      <c r="IPG10" s="1115"/>
      <c r="IPH10" s="1115"/>
      <c r="IPI10" s="1115"/>
      <c r="IPJ10" s="1115"/>
      <c r="IPK10" s="1115"/>
      <c r="IPL10" s="1115"/>
      <c r="IPM10" s="1115"/>
      <c r="IPN10" s="1115"/>
      <c r="IPO10" s="1115"/>
      <c r="IPP10" s="1115"/>
      <c r="IPQ10" s="1115"/>
      <c r="IPR10" s="1115"/>
      <c r="IPS10" s="1115"/>
      <c r="IPT10" s="1115"/>
      <c r="IPU10" s="1115"/>
      <c r="IPV10" s="1115"/>
      <c r="IPW10" s="1115"/>
      <c r="IPX10" s="1115"/>
      <c r="IPY10" s="1115"/>
      <c r="IPZ10" s="1115"/>
      <c r="IQA10" s="1115"/>
      <c r="IQB10" s="1115"/>
      <c r="IQC10" s="1115"/>
      <c r="IQD10" s="1115"/>
      <c r="IQE10" s="1115"/>
      <c r="IQF10" s="1115"/>
      <c r="IQG10" s="1115"/>
      <c r="IQH10" s="1115"/>
      <c r="IQI10" s="1115"/>
      <c r="IQJ10" s="1115"/>
      <c r="IQK10" s="1115"/>
      <c r="IQL10" s="1115"/>
      <c r="IQM10" s="1115"/>
      <c r="IQN10" s="1115"/>
      <c r="IQO10" s="1115"/>
      <c r="IQP10" s="1115"/>
      <c r="IQQ10" s="1115"/>
      <c r="IQR10" s="1115"/>
      <c r="IQS10" s="1115"/>
      <c r="IQT10" s="1115"/>
      <c r="IQU10" s="1115"/>
      <c r="IQV10" s="1115"/>
      <c r="IQW10" s="1115"/>
      <c r="IQX10" s="1115"/>
      <c r="IQY10" s="1115"/>
      <c r="IQZ10" s="1115"/>
      <c r="IRA10" s="1115"/>
      <c r="IRB10" s="1115"/>
      <c r="IRC10" s="1115"/>
      <c r="IRD10" s="1115"/>
      <c r="IRE10" s="1115"/>
      <c r="IRF10" s="1115"/>
      <c r="IRG10" s="1115"/>
      <c r="IRH10" s="1115"/>
      <c r="IRI10" s="1115"/>
      <c r="IRJ10" s="1115"/>
      <c r="IRK10" s="1115"/>
      <c r="IRL10" s="1115"/>
      <c r="IRM10" s="1115"/>
      <c r="IRN10" s="1115"/>
      <c r="IRO10" s="1115"/>
      <c r="IRP10" s="1115"/>
      <c r="IRQ10" s="1115"/>
      <c r="IRR10" s="1115"/>
      <c r="IRS10" s="1115"/>
      <c r="IRT10" s="1115"/>
      <c r="IRU10" s="1115"/>
      <c r="IRV10" s="1115"/>
      <c r="IRW10" s="1115"/>
      <c r="IRX10" s="1115"/>
      <c r="IRY10" s="1115"/>
      <c r="IRZ10" s="1115"/>
      <c r="ISA10" s="1115"/>
      <c r="ISB10" s="1115"/>
      <c r="ISC10" s="1115"/>
      <c r="ISD10" s="1115"/>
      <c r="ISE10" s="1115"/>
      <c r="ISF10" s="1115"/>
      <c r="ISG10" s="1115"/>
      <c r="ISH10" s="1115"/>
      <c r="ISI10" s="1115"/>
      <c r="ISJ10" s="1115"/>
      <c r="ISK10" s="1115"/>
      <c r="ISL10" s="1115"/>
      <c r="ISM10" s="1115"/>
      <c r="ISN10" s="1115"/>
      <c r="ISO10" s="1115"/>
      <c r="ISP10" s="1115"/>
      <c r="ISQ10" s="1115"/>
      <c r="ISR10" s="1115"/>
      <c r="ISS10" s="1115"/>
      <c r="IST10" s="1115"/>
      <c r="ISU10" s="1115"/>
      <c r="ISV10" s="1115"/>
      <c r="ISW10" s="1115"/>
      <c r="ISX10" s="1115"/>
      <c r="ISY10" s="1115"/>
      <c r="ISZ10" s="1115"/>
      <c r="ITA10" s="1115"/>
      <c r="ITB10" s="1115"/>
      <c r="ITC10" s="1115"/>
      <c r="ITD10" s="1115"/>
      <c r="ITE10" s="1115"/>
      <c r="ITF10" s="1115"/>
      <c r="ITG10" s="1115"/>
      <c r="ITH10" s="1115"/>
      <c r="ITI10" s="1115"/>
      <c r="ITJ10" s="1115"/>
      <c r="ITK10" s="1115"/>
      <c r="ITL10" s="1115"/>
      <c r="ITM10" s="1115"/>
      <c r="ITN10" s="1115"/>
      <c r="ITO10" s="1115"/>
      <c r="ITP10" s="1115"/>
      <c r="ITQ10" s="1115"/>
      <c r="ITR10" s="1115"/>
      <c r="ITS10" s="1115"/>
      <c r="ITT10" s="1115"/>
      <c r="ITU10" s="1115"/>
      <c r="ITV10" s="1115"/>
      <c r="ITW10" s="1115"/>
      <c r="ITX10" s="1115"/>
      <c r="ITY10" s="1115"/>
      <c r="ITZ10" s="1115"/>
      <c r="IUA10" s="1115"/>
      <c r="IUB10" s="1115"/>
      <c r="IUC10" s="1115"/>
      <c r="IUD10" s="1115"/>
      <c r="IUE10" s="1115"/>
      <c r="IUF10" s="1115"/>
      <c r="IUG10" s="1115"/>
      <c r="IUH10" s="1115"/>
      <c r="IUI10" s="1115"/>
      <c r="IUJ10" s="1115"/>
      <c r="IUK10" s="1115"/>
      <c r="IUL10" s="1115"/>
      <c r="IUM10" s="1115"/>
      <c r="IUN10" s="1115"/>
      <c r="IUO10" s="1115"/>
      <c r="IUP10" s="1115"/>
      <c r="IUQ10" s="1115"/>
      <c r="IUR10" s="1115"/>
      <c r="IUS10" s="1115"/>
      <c r="IUT10" s="1115"/>
      <c r="IUU10" s="1115"/>
      <c r="IUV10" s="1115"/>
      <c r="IUW10" s="1115"/>
      <c r="IUX10" s="1115"/>
      <c r="IUY10" s="1115"/>
      <c r="IUZ10" s="1115"/>
      <c r="IVA10" s="1115"/>
      <c r="IVB10" s="1115"/>
      <c r="IVC10" s="1115"/>
      <c r="IVD10" s="1115"/>
      <c r="IVE10" s="1115"/>
      <c r="IVF10" s="1115"/>
      <c r="IVG10" s="1115"/>
      <c r="IVH10" s="1115"/>
      <c r="IVI10" s="1115"/>
      <c r="IVJ10" s="1115"/>
      <c r="IVK10" s="1115"/>
      <c r="IVL10" s="1115"/>
      <c r="IVM10" s="1115"/>
      <c r="IVN10" s="1115"/>
      <c r="IVO10" s="1115"/>
      <c r="IVP10" s="1115"/>
      <c r="IVQ10" s="1115"/>
      <c r="IVR10" s="1115"/>
      <c r="IVS10" s="1115"/>
      <c r="IVT10" s="1115"/>
      <c r="IVU10" s="1115"/>
      <c r="IVV10" s="1115"/>
      <c r="IVW10" s="1115"/>
      <c r="IVX10" s="1115"/>
      <c r="IVY10" s="1115"/>
      <c r="IVZ10" s="1115"/>
      <c r="IWA10" s="1115"/>
      <c r="IWB10" s="1115"/>
      <c r="IWC10" s="1115"/>
      <c r="IWD10" s="1115"/>
      <c r="IWE10" s="1115"/>
      <c r="IWF10" s="1115"/>
      <c r="IWG10" s="1115"/>
      <c r="IWH10" s="1115"/>
      <c r="IWI10" s="1115"/>
      <c r="IWJ10" s="1115"/>
      <c r="IWK10" s="1115"/>
      <c r="IWL10" s="1115"/>
      <c r="IWM10" s="1115"/>
      <c r="IWN10" s="1115"/>
      <c r="IWO10" s="1115"/>
      <c r="IWP10" s="1115"/>
      <c r="IWQ10" s="1115"/>
      <c r="IWR10" s="1115"/>
      <c r="IWS10" s="1115"/>
      <c r="IWT10" s="1115"/>
      <c r="IWU10" s="1115"/>
      <c r="IWV10" s="1115"/>
      <c r="IWW10" s="1115"/>
      <c r="IWX10" s="1115"/>
      <c r="IWY10" s="1115"/>
      <c r="IWZ10" s="1115"/>
      <c r="IXA10" s="1115"/>
      <c r="IXB10" s="1115"/>
      <c r="IXC10" s="1115"/>
      <c r="IXD10" s="1115"/>
      <c r="IXE10" s="1115"/>
      <c r="IXF10" s="1115"/>
      <c r="IXG10" s="1115"/>
      <c r="IXH10" s="1115"/>
      <c r="IXI10" s="1115"/>
      <c r="IXJ10" s="1115"/>
      <c r="IXK10" s="1115"/>
      <c r="IXL10" s="1115"/>
      <c r="IXM10" s="1115"/>
      <c r="IXN10" s="1115"/>
      <c r="IXO10" s="1115"/>
      <c r="IXP10" s="1115"/>
      <c r="IXQ10" s="1115"/>
      <c r="IXR10" s="1115"/>
      <c r="IXS10" s="1115"/>
      <c r="IXT10" s="1115"/>
      <c r="IXU10" s="1115"/>
      <c r="IXV10" s="1115"/>
      <c r="IXW10" s="1115"/>
      <c r="IXX10" s="1115"/>
      <c r="IXY10" s="1115"/>
      <c r="IXZ10" s="1115"/>
      <c r="IYA10" s="1115"/>
      <c r="IYB10" s="1115"/>
      <c r="IYC10" s="1115"/>
      <c r="IYD10" s="1115"/>
      <c r="IYE10" s="1115"/>
      <c r="IYF10" s="1115"/>
      <c r="IYG10" s="1115"/>
      <c r="IYH10" s="1115"/>
      <c r="IYI10" s="1115"/>
      <c r="IYJ10" s="1115"/>
      <c r="IYK10" s="1115"/>
      <c r="IYL10" s="1115"/>
      <c r="IYM10" s="1115"/>
      <c r="IYN10" s="1115"/>
      <c r="IYO10" s="1115"/>
      <c r="IYP10" s="1115"/>
      <c r="IYQ10" s="1115"/>
      <c r="IYR10" s="1115"/>
      <c r="IYS10" s="1115"/>
      <c r="IYT10" s="1115"/>
      <c r="IYU10" s="1115"/>
      <c r="IYV10" s="1115"/>
      <c r="IYW10" s="1115"/>
      <c r="IYX10" s="1115"/>
      <c r="IYY10" s="1115"/>
      <c r="IYZ10" s="1115"/>
      <c r="IZA10" s="1115"/>
      <c r="IZB10" s="1115"/>
      <c r="IZC10" s="1115"/>
      <c r="IZD10" s="1115"/>
      <c r="IZE10" s="1115"/>
      <c r="IZF10" s="1115"/>
      <c r="IZG10" s="1115"/>
      <c r="IZH10" s="1115"/>
      <c r="IZI10" s="1115"/>
      <c r="IZJ10" s="1115"/>
      <c r="IZK10" s="1115"/>
      <c r="IZL10" s="1115"/>
      <c r="IZM10" s="1115"/>
      <c r="IZN10" s="1115"/>
      <c r="IZO10" s="1115"/>
      <c r="IZP10" s="1115"/>
      <c r="IZQ10" s="1115"/>
      <c r="IZR10" s="1115"/>
      <c r="IZS10" s="1115"/>
      <c r="IZT10" s="1115"/>
      <c r="IZU10" s="1115"/>
      <c r="IZV10" s="1115"/>
      <c r="IZW10" s="1115"/>
      <c r="IZX10" s="1115"/>
      <c r="IZY10" s="1115"/>
      <c r="IZZ10" s="1115"/>
      <c r="JAA10" s="1115"/>
      <c r="JAB10" s="1115"/>
      <c r="JAC10" s="1115"/>
      <c r="JAD10" s="1115"/>
      <c r="JAE10" s="1115"/>
      <c r="JAF10" s="1115"/>
      <c r="JAG10" s="1115"/>
      <c r="JAH10" s="1115"/>
      <c r="JAI10" s="1115"/>
      <c r="JAJ10" s="1115"/>
      <c r="JAK10" s="1115"/>
      <c r="JAL10" s="1115"/>
      <c r="JAM10" s="1115"/>
      <c r="JAN10" s="1115"/>
      <c r="JAO10" s="1115"/>
      <c r="JAP10" s="1115"/>
      <c r="JAQ10" s="1115"/>
      <c r="JAR10" s="1115"/>
      <c r="JAS10" s="1115"/>
      <c r="JAT10" s="1115"/>
      <c r="JAU10" s="1115"/>
      <c r="JAV10" s="1115"/>
      <c r="JAW10" s="1115"/>
      <c r="JAX10" s="1115"/>
      <c r="JAY10" s="1115"/>
      <c r="JAZ10" s="1115"/>
      <c r="JBA10" s="1115"/>
      <c r="JBB10" s="1115"/>
      <c r="JBC10" s="1115"/>
      <c r="JBD10" s="1115"/>
      <c r="JBE10" s="1115"/>
      <c r="JBF10" s="1115"/>
      <c r="JBG10" s="1115"/>
      <c r="JBH10" s="1115"/>
      <c r="JBI10" s="1115"/>
      <c r="JBJ10" s="1115"/>
      <c r="JBK10" s="1115"/>
      <c r="JBL10" s="1115"/>
      <c r="JBM10" s="1115"/>
      <c r="JBN10" s="1115"/>
      <c r="JBO10" s="1115"/>
      <c r="JBP10" s="1115"/>
      <c r="JBQ10" s="1115"/>
      <c r="JBR10" s="1115"/>
      <c r="JBS10" s="1115"/>
      <c r="JBT10" s="1115"/>
      <c r="JBU10" s="1115"/>
      <c r="JBV10" s="1115"/>
      <c r="JBW10" s="1115"/>
      <c r="JBX10" s="1115"/>
      <c r="JBY10" s="1115"/>
      <c r="JBZ10" s="1115"/>
      <c r="JCA10" s="1115"/>
      <c r="JCB10" s="1115"/>
      <c r="JCC10" s="1115"/>
      <c r="JCD10" s="1115"/>
      <c r="JCE10" s="1115"/>
      <c r="JCF10" s="1115"/>
      <c r="JCG10" s="1115"/>
      <c r="JCH10" s="1115"/>
      <c r="JCI10" s="1115"/>
      <c r="JCJ10" s="1115"/>
      <c r="JCK10" s="1115"/>
      <c r="JCL10" s="1115"/>
      <c r="JCM10" s="1115"/>
      <c r="JCN10" s="1115"/>
      <c r="JCO10" s="1115"/>
      <c r="JCP10" s="1115"/>
      <c r="JCQ10" s="1115"/>
      <c r="JCR10" s="1115"/>
      <c r="JCS10" s="1115"/>
      <c r="JCT10" s="1115"/>
      <c r="JCU10" s="1115"/>
      <c r="JCV10" s="1115"/>
      <c r="JCW10" s="1115"/>
      <c r="JCX10" s="1115"/>
      <c r="JCY10" s="1115"/>
      <c r="JCZ10" s="1115"/>
      <c r="JDA10" s="1115"/>
      <c r="JDB10" s="1115"/>
      <c r="JDC10" s="1115"/>
      <c r="JDD10" s="1115"/>
      <c r="JDE10" s="1115"/>
      <c r="JDF10" s="1115"/>
      <c r="JDG10" s="1115"/>
      <c r="JDH10" s="1115"/>
      <c r="JDI10" s="1115"/>
      <c r="JDJ10" s="1115"/>
      <c r="JDK10" s="1115"/>
      <c r="JDL10" s="1115"/>
      <c r="JDM10" s="1115"/>
      <c r="JDN10" s="1115"/>
      <c r="JDO10" s="1115"/>
      <c r="JDP10" s="1115"/>
      <c r="JDQ10" s="1115"/>
      <c r="JDR10" s="1115"/>
      <c r="JDS10" s="1115"/>
      <c r="JDT10" s="1115"/>
      <c r="JDU10" s="1115"/>
      <c r="JDV10" s="1115"/>
      <c r="JDW10" s="1115"/>
      <c r="JDX10" s="1115"/>
      <c r="JDY10" s="1115"/>
      <c r="JDZ10" s="1115"/>
      <c r="JEA10" s="1115"/>
      <c r="JEB10" s="1115"/>
      <c r="JEC10" s="1115"/>
      <c r="JED10" s="1115"/>
      <c r="JEE10" s="1115"/>
      <c r="JEF10" s="1115"/>
      <c r="JEG10" s="1115"/>
      <c r="JEH10" s="1115"/>
      <c r="JEI10" s="1115"/>
      <c r="JEJ10" s="1115"/>
      <c r="JEK10" s="1115"/>
      <c r="JEL10" s="1115"/>
      <c r="JEM10" s="1115"/>
      <c r="JEN10" s="1115"/>
      <c r="JEO10" s="1115"/>
      <c r="JEP10" s="1115"/>
      <c r="JEQ10" s="1115"/>
      <c r="JER10" s="1115"/>
      <c r="JES10" s="1115"/>
      <c r="JET10" s="1115"/>
      <c r="JEU10" s="1115"/>
      <c r="JEV10" s="1115"/>
      <c r="JEW10" s="1115"/>
      <c r="JEX10" s="1115"/>
      <c r="JEY10" s="1115"/>
      <c r="JEZ10" s="1115"/>
      <c r="JFA10" s="1115"/>
      <c r="JFB10" s="1115"/>
      <c r="JFC10" s="1115"/>
      <c r="JFD10" s="1115"/>
      <c r="JFE10" s="1115"/>
      <c r="JFF10" s="1115"/>
      <c r="JFG10" s="1115"/>
      <c r="JFH10" s="1115"/>
      <c r="JFI10" s="1115"/>
      <c r="JFJ10" s="1115"/>
      <c r="JFK10" s="1115"/>
      <c r="JFL10" s="1115"/>
      <c r="JFM10" s="1115"/>
      <c r="JFN10" s="1115"/>
      <c r="JFO10" s="1115"/>
      <c r="JFP10" s="1115"/>
      <c r="JFQ10" s="1115"/>
      <c r="JFR10" s="1115"/>
      <c r="JFS10" s="1115"/>
      <c r="JFT10" s="1115"/>
      <c r="JFU10" s="1115"/>
      <c r="JFV10" s="1115"/>
      <c r="JFW10" s="1115"/>
      <c r="JFX10" s="1115"/>
      <c r="JFY10" s="1115"/>
      <c r="JFZ10" s="1115"/>
      <c r="JGA10" s="1115"/>
      <c r="JGB10" s="1115"/>
      <c r="JGC10" s="1115"/>
      <c r="JGD10" s="1115"/>
      <c r="JGE10" s="1115"/>
      <c r="JGF10" s="1115"/>
      <c r="JGG10" s="1115"/>
      <c r="JGH10" s="1115"/>
      <c r="JGI10" s="1115"/>
      <c r="JGJ10" s="1115"/>
      <c r="JGK10" s="1115"/>
      <c r="JGL10" s="1115"/>
      <c r="JGM10" s="1115"/>
      <c r="JGN10" s="1115"/>
      <c r="JGO10" s="1115"/>
      <c r="JGP10" s="1115"/>
      <c r="JGQ10" s="1115"/>
      <c r="JGR10" s="1115"/>
      <c r="JGS10" s="1115"/>
      <c r="JGT10" s="1115"/>
      <c r="JGU10" s="1115"/>
      <c r="JGV10" s="1115"/>
      <c r="JGW10" s="1115"/>
      <c r="JGX10" s="1115"/>
      <c r="JGY10" s="1115"/>
      <c r="JGZ10" s="1115"/>
      <c r="JHA10" s="1115"/>
      <c r="JHB10" s="1115"/>
      <c r="JHC10" s="1115"/>
      <c r="JHD10" s="1115"/>
      <c r="JHE10" s="1115"/>
      <c r="JHF10" s="1115"/>
      <c r="JHG10" s="1115"/>
      <c r="JHH10" s="1115"/>
      <c r="JHI10" s="1115"/>
      <c r="JHJ10" s="1115"/>
      <c r="JHK10" s="1115"/>
      <c r="JHL10" s="1115"/>
      <c r="JHM10" s="1115"/>
      <c r="JHN10" s="1115"/>
      <c r="JHO10" s="1115"/>
      <c r="JHP10" s="1115"/>
      <c r="JHQ10" s="1115"/>
      <c r="JHR10" s="1115"/>
      <c r="JHS10" s="1115"/>
      <c r="JHT10" s="1115"/>
      <c r="JHU10" s="1115"/>
      <c r="JHV10" s="1115"/>
      <c r="JHW10" s="1115"/>
      <c r="JHX10" s="1115"/>
      <c r="JHY10" s="1115"/>
      <c r="JHZ10" s="1115"/>
      <c r="JIA10" s="1115"/>
      <c r="JIB10" s="1115"/>
      <c r="JIC10" s="1115"/>
      <c r="JID10" s="1115"/>
      <c r="JIE10" s="1115"/>
      <c r="JIF10" s="1115"/>
      <c r="JIG10" s="1115"/>
      <c r="JIH10" s="1115"/>
      <c r="JII10" s="1115"/>
      <c r="JIJ10" s="1115"/>
      <c r="JIK10" s="1115"/>
      <c r="JIL10" s="1115"/>
      <c r="JIM10" s="1115"/>
      <c r="JIN10" s="1115"/>
      <c r="JIO10" s="1115"/>
      <c r="JIP10" s="1115"/>
      <c r="JIQ10" s="1115"/>
      <c r="JIR10" s="1115"/>
      <c r="JIS10" s="1115"/>
      <c r="JIT10" s="1115"/>
      <c r="JIU10" s="1115"/>
      <c r="JIV10" s="1115"/>
      <c r="JIW10" s="1115"/>
      <c r="JIX10" s="1115"/>
      <c r="JIY10" s="1115"/>
      <c r="JIZ10" s="1115"/>
      <c r="JJA10" s="1115"/>
      <c r="JJB10" s="1115"/>
      <c r="JJC10" s="1115"/>
      <c r="JJD10" s="1115"/>
      <c r="JJE10" s="1115"/>
      <c r="JJF10" s="1115"/>
      <c r="JJG10" s="1115"/>
      <c r="JJH10" s="1115"/>
      <c r="JJI10" s="1115"/>
      <c r="JJJ10" s="1115"/>
      <c r="JJK10" s="1115"/>
      <c r="JJL10" s="1115"/>
      <c r="JJM10" s="1115"/>
      <c r="JJN10" s="1115"/>
      <c r="JJO10" s="1115"/>
      <c r="JJP10" s="1115"/>
      <c r="JJQ10" s="1115"/>
      <c r="JJR10" s="1115"/>
      <c r="JJS10" s="1115"/>
      <c r="JJT10" s="1115"/>
      <c r="JJU10" s="1115"/>
      <c r="JJV10" s="1115"/>
      <c r="JJW10" s="1115"/>
      <c r="JJX10" s="1115"/>
      <c r="JJY10" s="1115"/>
      <c r="JJZ10" s="1115"/>
      <c r="JKA10" s="1115"/>
      <c r="JKB10" s="1115"/>
      <c r="JKC10" s="1115"/>
      <c r="JKD10" s="1115"/>
      <c r="JKE10" s="1115"/>
      <c r="JKF10" s="1115"/>
      <c r="JKG10" s="1115"/>
      <c r="JKH10" s="1115"/>
      <c r="JKI10" s="1115"/>
      <c r="JKJ10" s="1115"/>
      <c r="JKK10" s="1115"/>
      <c r="JKL10" s="1115"/>
      <c r="JKM10" s="1115"/>
      <c r="JKN10" s="1115"/>
      <c r="JKO10" s="1115"/>
      <c r="JKP10" s="1115"/>
      <c r="JKQ10" s="1115"/>
      <c r="JKR10" s="1115"/>
      <c r="JKS10" s="1115"/>
      <c r="JKT10" s="1115"/>
      <c r="JKU10" s="1115"/>
      <c r="JKV10" s="1115"/>
      <c r="JKW10" s="1115"/>
      <c r="JKX10" s="1115"/>
      <c r="JKY10" s="1115"/>
      <c r="JKZ10" s="1115"/>
      <c r="JLA10" s="1115"/>
      <c r="JLB10" s="1115"/>
      <c r="JLC10" s="1115"/>
      <c r="JLD10" s="1115"/>
      <c r="JLE10" s="1115"/>
      <c r="JLF10" s="1115"/>
      <c r="JLG10" s="1115"/>
      <c r="JLH10" s="1115"/>
      <c r="JLI10" s="1115"/>
      <c r="JLJ10" s="1115"/>
      <c r="JLK10" s="1115"/>
      <c r="JLL10" s="1115"/>
      <c r="JLM10" s="1115"/>
      <c r="JLN10" s="1115"/>
      <c r="JLO10" s="1115"/>
      <c r="JLP10" s="1115"/>
      <c r="JLQ10" s="1115"/>
      <c r="JLR10" s="1115"/>
      <c r="JLS10" s="1115"/>
      <c r="JLT10" s="1115"/>
      <c r="JLU10" s="1115"/>
      <c r="JLV10" s="1115"/>
      <c r="JLW10" s="1115"/>
      <c r="JLX10" s="1115"/>
      <c r="JLY10" s="1115"/>
      <c r="JLZ10" s="1115"/>
      <c r="JMA10" s="1115"/>
      <c r="JMB10" s="1115"/>
      <c r="JMC10" s="1115"/>
      <c r="JMD10" s="1115"/>
      <c r="JME10" s="1115"/>
      <c r="JMF10" s="1115"/>
      <c r="JMG10" s="1115"/>
      <c r="JMH10" s="1115"/>
      <c r="JMI10" s="1115"/>
      <c r="JMJ10" s="1115"/>
      <c r="JMK10" s="1115"/>
      <c r="JML10" s="1115"/>
      <c r="JMM10" s="1115"/>
      <c r="JMN10" s="1115"/>
      <c r="JMO10" s="1115"/>
      <c r="JMP10" s="1115"/>
      <c r="JMQ10" s="1115"/>
      <c r="JMR10" s="1115"/>
      <c r="JMS10" s="1115"/>
      <c r="JMT10" s="1115"/>
      <c r="JMU10" s="1115"/>
      <c r="JMV10" s="1115"/>
      <c r="JMW10" s="1115"/>
      <c r="JMX10" s="1115"/>
      <c r="JMY10" s="1115"/>
      <c r="JMZ10" s="1115"/>
      <c r="JNA10" s="1115"/>
      <c r="JNB10" s="1115"/>
      <c r="JNC10" s="1115"/>
      <c r="JND10" s="1115"/>
      <c r="JNE10" s="1115"/>
      <c r="JNF10" s="1115"/>
      <c r="JNG10" s="1115"/>
      <c r="JNH10" s="1115"/>
      <c r="JNI10" s="1115"/>
      <c r="JNJ10" s="1115"/>
      <c r="JNK10" s="1115"/>
      <c r="JNL10" s="1115"/>
      <c r="JNM10" s="1115"/>
      <c r="JNN10" s="1115"/>
      <c r="JNO10" s="1115"/>
      <c r="JNP10" s="1115"/>
      <c r="JNQ10" s="1115"/>
      <c r="JNR10" s="1115"/>
      <c r="JNS10" s="1115"/>
      <c r="JNT10" s="1115"/>
      <c r="JNU10" s="1115"/>
      <c r="JNV10" s="1115"/>
      <c r="JNW10" s="1115"/>
      <c r="JNX10" s="1115"/>
      <c r="JNY10" s="1115"/>
      <c r="JNZ10" s="1115"/>
      <c r="JOA10" s="1115"/>
      <c r="JOB10" s="1115"/>
      <c r="JOC10" s="1115"/>
      <c r="JOD10" s="1115"/>
      <c r="JOE10" s="1115"/>
      <c r="JOF10" s="1115"/>
      <c r="JOG10" s="1115"/>
      <c r="JOH10" s="1115"/>
      <c r="JOI10" s="1115"/>
      <c r="JOJ10" s="1115"/>
      <c r="JOK10" s="1115"/>
      <c r="JOL10" s="1115"/>
      <c r="JOM10" s="1115"/>
      <c r="JON10" s="1115"/>
      <c r="JOO10" s="1115"/>
      <c r="JOP10" s="1115"/>
      <c r="JOQ10" s="1115"/>
      <c r="JOR10" s="1115"/>
      <c r="JOS10" s="1115"/>
      <c r="JOT10" s="1115"/>
      <c r="JOU10" s="1115"/>
      <c r="JOV10" s="1115"/>
      <c r="JOW10" s="1115"/>
      <c r="JOX10" s="1115"/>
      <c r="JOY10" s="1115"/>
      <c r="JOZ10" s="1115"/>
      <c r="JPA10" s="1115"/>
      <c r="JPB10" s="1115"/>
      <c r="JPC10" s="1115"/>
      <c r="JPD10" s="1115"/>
      <c r="JPE10" s="1115"/>
      <c r="JPF10" s="1115"/>
      <c r="JPG10" s="1115"/>
      <c r="JPH10" s="1115"/>
      <c r="JPI10" s="1115"/>
      <c r="JPJ10" s="1115"/>
      <c r="JPK10" s="1115"/>
      <c r="JPL10" s="1115"/>
      <c r="JPM10" s="1115"/>
      <c r="JPN10" s="1115"/>
      <c r="JPO10" s="1115"/>
      <c r="JPP10" s="1115"/>
      <c r="JPQ10" s="1115"/>
      <c r="JPR10" s="1115"/>
      <c r="JPS10" s="1115"/>
      <c r="JPT10" s="1115"/>
      <c r="JPU10" s="1115"/>
      <c r="JPV10" s="1115"/>
      <c r="JPW10" s="1115"/>
      <c r="JPX10" s="1115"/>
      <c r="JPY10" s="1115"/>
      <c r="JPZ10" s="1115"/>
      <c r="JQA10" s="1115"/>
      <c r="JQB10" s="1115"/>
      <c r="JQC10" s="1115"/>
      <c r="JQD10" s="1115"/>
      <c r="JQE10" s="1115"/>
      <c r="JQF10" s="1115"/>
      <c r="JQG10" s="1115"/>
      <c r="JQH10" s="1115"/>
      <c r="JQI10" s="1115"/>
      <c r="JQJ10" s="1115"/>
      <c r="JQK10" s="1115"/>
      <c r="JQL10" s="1115"/>
      <c r="JQM10" s="1115"/>
      <c r="JQN10" s="1115"/>
      <c r="JQO10" s="1115"/>
      <c r="JQP10" s="1115"/>
      <c r="JQQ10" s="1115"/>
      <c r="JQR10" s="1115"/>
      <c r="JQS10" s="1115"/>
      <c r="JQT10" s="1115"/>
      <c r="JQU10" s="1115"/>
      <c r="JQV10" s="1115"/>
      <c r="JQW10" s="1115"/>
      <c r="JQX10" s="1115"/>
      <c r="JQY10" s="1115"/>
      <c r="JQZ10" s="1115"/>
      <c r="JRA10" s="1115"/>
      <c r="JRB10" s="1115"/>
      <c r="JRC10" s="1115"/>
      <c r="JRD10" s="1115"/>
      <c r="JRE10" s="1115"/>
      <c r="JRF10" s="1115"/>
      <c r="JRG10" s="1115"/>
      <c r="JRH10" s="1115"/>
      <c r="JRI10" s="1115"/>
      <c r="JRJ10" s="1115"/>
      <c r="JRK10" s="1115"/>
      <c r="JRL10" s="1115"/>
      <c r="JRM10" s="1115"/>
      <c r="JRN10" s="1115"/>
      <c r="JRO10" s="1115"/>
      <c r="JRP10" s="1115"/>
      <c r="JRQ10" s="1115"/>
      <c r="JRR10" s="1115"/>
      <c r="JRS10" s="1115"/>
      <c r="JRT10" s="1115"/>
      <c r="JRU10" s="1115"/>
      <c r="JRV10" s="1115"/>
      <c r="JRW10" s="1115"/>
      <c r="JRX10" s="1115"/>
      <c r="JRY10" s="1115"/>
      <c r="JRZ10" s="1115"/>
      <c r="JSA10" s="1115"/>
      <c r="JSB10" s="1115"/>
      <c r="JSC10" s="1115"/>
      <c r="JSD10" s="1115"/>
      <c r="JSE10" s="1115"/>
      <c r="JSF10" s="1115"/>
      <c r="JSG10" s="1115"/>
      <c r="JSH10" s="1115"/>
      <c r="JSI10" s="1115"/>
      <c r="JSJ10" s="1115"/>
      <c r="JSK10" s="1115"/>
      <c r="JSL10" s="1115"/>
      <c r="JSM10" s="1115"/>
      <c r="JSN10" s="1115"/>
      <c r="JSO10" s="1115"/>
      <c r="JSP10" s="1115"/>
      <c r="JSQ10" s="1115"/>
      <c r="JSR10" s="1115"/>
      <c r="JSS10" s="1115"/>
      <c r="JST10" s="1115"/>
      <c r="JSU10" s="1115"/>
      <c r="JSV10" s="1115"/>
      <c r="JSW10" s="1115"/>
      <c r="JSX10" s="1115"/>
      <c r="JSY10" s="1115"/>
      <c r="JSZ10" s="1115"/>
      <c r="JTA10" s="1115"/>
      <c r="JTB10" s="1115"/>
      <c r="JTC10" s="1115"/>
      <c r="JTD10" s="1115"/>
      <c r="JTE10" s="1115"/>
      <c r="JTF10" s="1115"/>
      <c r="JTG10" s="1115"/>
      <c r="JTH10" s="1115"/>
      <c r="JTI10" s="1115"/>
      <c r="JTJ10" s="1115"/>
      <c r="JTK10" s="1115"/>
      <c r="JTL10" s="1115"/>
      <c r="JTM10" s="1115"/>
      <c r="JTN10" s="1115"/>
      <c r="JTO10" s="1115"/>
      <c r="JTP10" s="1115"/>
      <c r="JTQ10" s="1115"/>
      <c r="JTR10" s="1115"/>
      <c r="JTS10" s="1115"/>
      <c r="JTT10" s="1115"/>
      <c r="JTU10" s="1115"/>
      <c r="JTV10" s="1115"/>
      <c r="JTW10" s="1115"/>
      <c r="JTX10" s="1115"/>
      <c r="JTY10" s="1115"/>
      <c r="JTZ10" s="1115"/>
      <c r="JUA10" s="1115"/>
      <c r="JUB10" s="1115"/>
      <c r="JUC10" s="1115"/>
      <c r="JUD10" s="1115"/>
      <c r="JUE10" s="1115"/>
      <c r="JUF10" s="1115"/>
      <c r="JUG10" s="1115"/>
      <c r="JUH10" s="1115"/>
      <c r="JUI10" s="1115"/>
      <c r="JUJ10" s="1115"/>
      <c r="JUK10" s="1115"/>
      <c r="JUL10" s="1115"/>
      <c r="JUM10" s="1115"/>
      <c r="JUN10" s="1115"/>
      <c r="JUO10" s="1115"/>
      <c r="JUP10" s="1115"/>
      <c r="JUQ10" s="1115"/>
      <c r="JUR10" s="1115"/>
      <c r="JUS10" s="1115"/>
      <c r="JUT10" s="1115"/>
      <c r="JUU10" s="1115"/>
      <c r="JUV10" s="1115"/>
      <c r="JUW10" s="1115"/>
      <c r="JUX10" s="1115"/>
      <c r="JUY10" s="1115"/>
      <c r="JUZ10" s="1115"/>
      <c r="JVA10" s="1115"/>
      <c r="JVB10" s="1115"/>
      <c r="JVC10" s="1115"/>
      <c r="JVD10" s="1115"/>
      <c r="JVE10" s="1115"/>
      <c r="JVF10" s="1115"/>
      <c r="JVG10" s="1115"/>
      <c r="JVH10" s="1115"/>
      <c r="JVI10" s="1115"/>
      <c r="JVJ10" s="1115"/>
      <c r="JVK10" s="1115"/>
      <c r="JVL10" s="1115"/>
      <c r="JVM10" s="1115"/>
      <c r="JVN10" s="1115"/>
      <c r="JVO10" s="1115"/>
      <c r="JVP10" s="1115"/>
      <c r="JVQ10" s="1115"/>
      <c r="JVR10" s="1115"/>
      <c r="JVS10" s="1115"/>
      <c r="JVT10" s="1115"/>
      <c r="JVU10" s="1115"/>
      <c r="JVV10" s="1115"/>
      <c r="JVW10" s="1115"/>
      <c r="JVX10" s="1115"/>
      <c r="JVY10" s="1115"/>
      <c r="JVZ10" s="1115"/>
      <c r="JWA10" s="1115"/>
      <c r="JWB10" s="1115"/>
      <c r="JWC10" s="1115"/>
      <c r="JWD10" s="1115"/>
      <c r="JWE10" s="1115"/>
      <c r="JWF10" s="1115"/>
      <c r="JWG10" s="1115"/>
      <c r="JWH10" s="1115"/>
      <c r="JWI10" s="1115"/>
      <c r="JWJ10" s="1115"/>
      <c r="JWK10" s="1115"/>
      <c r="JWL10" s="1115"/>
      <c r="JWM10" s="1115"/>
      <c r="JWN10" s="1115"/>
      <c r="JWO10" s="1115"/>
      <c r="JWP10" s="1115"/>
      <c r="JWQ10" s="1115"/>
      <c r="JWR10" s="1115"/>
      <c r="JWS10" s="1115"/>
      <c r="JWT10" s="1115"/>
      <c r="JWU10" s="1115"/>
      <c r="JWV10" s="1115"/>
      <c r="JWW10" s="1115"/>
      <c r="JWX10" s="1115"/>
      <c r="JWY10" s="1115"/>
      <c r="JWZ10" s="1115"/>
      <c r="JXA10" s="1115"/>
      <c r="JXB10" s="1115"/>
      <c r="JXC10" s="1115"/>
      <c r="JXD10" s="1115"/>
      <c r="JXE10" s="1115"/>
      <c r="JXF10" s="1115"/>
      <c r="JXG10" s="1115"/>
      <c r="JXH10" s="1115"/>
      <c r="JXI10" s="1115"/>
      <c r="JXJ10" s="1115"/>
      <c r="JXK10" s="1115"/>
      <c r="JXL10" s="1115"/>
      <c r="JXM10" s="1115"/>
      <c r="JXN10" s="1115"/>
      <c r="JXO10" s="1115"/>
      <c r="JXP10" s="1115"/>
      <c r="JXQ10" s="1115"/>
      <c r="JXR10" s="1115"/>
      <c r="JXS10" s="1115"/>
      <c r="JXT10" s="1115"/>
      <c r="JXU10" s="1115"/>
      <c r="JXV10" s="1115"/>
      <c r="JXW10" s="1115"/>
      <c r="JXX10" s="1115"/>
      <c r="JXY10" s="1115"/>
      <c r="JXZ10" s="1115"/>
      <c r="JYA10" s="1115"/>
      <c r="JYB10" s="1115"/>
      <c r="JYC10" s="1115"/>
      <c r="JYD10" s="1115"/>
      <c r="JYE10" s="1115"/>
      <c r="JYF10" s="1115"/>
      <c r="JYG10" s="1115"/>
      <c r="JYH10" s="1115"/>
      <c r="JYI10" s="1115"/>
      <c r="JYJ10" s="1115"/>
      <c r="JYK10" s="1115"/>
      <c r="JYL10" s="1115"/>
      <c r="JYM10" s="1115"/>
      <c r="JYN10" s="1115"/>
      <c r="JYO10" s="1115"/>
      <c r="JYP10" s="1115"/>
      <c r="JYQ10" s="1115"/>
      <c r="JYR10" s="1115"/>
      <c r="JYS10" s="1115"/>
      <c r="JYT10" s="1115"/>
      <c r="JYU10" s="1115"/>
      <c r="JYV10" s="1115"/>
      <c r="JYW10" s="1115"/>
      <c r="JYX10" s="1115"/>
      <c r="JYY10" s="1115"/>
      <c r="JYZ10" s="1115"/>
      <c r="JZA10" s="1115"/>
      <c r="JZB10" s="1115"/>
      <c r="JZC10" s="1115"/>
      <c r="JZD10" s="1115"/>
      <c r="JZE10" s="1115"/>
      <c r="JZF10" s="1115"/>
      <c r="JZG10" s="1115"/>
      <c r="JZH10" s="1115"/>
      <c r="JZI10" s="1115"/>
      <c r="JZJ10" s="1115"/>
      <c r="JZK10" s="1115"/>
      <c r="JZL10" s="1115"/>
      <c r="JZM10" s="1115"/>
      <c r="JZN10" s="1115"/>
      <c r="JZO10" s="1115"/>
      <c r="JZP10" s="1115"/>
      <c r="JZQ10" s="1115"/>
      <c r="JZR10" s="1115"/>
      <c r="JZS10" s="1115"/>
      <c r="JZT10" s="1115"/>
      <c r="JZU10" s="1115"/>
      <c r="JZV10" s="1115"/>
      <c r="JZW10" s="1115"/>
      <c r="JZX10" s="1115"/>
      <c r="JZY10" s="1115"/>
      <c r="JZZ10" s="1115"/>
      <c r="KAA10" s="1115"/>
      <c r="KAB10" s="1115"/>
      <c r="KAC10" s="1115"/>
      <c r="KAD10" s="1115"/>
      <c r="KAE10" s="1115"/>
      <c r="KAF10" s="1115"/>
      <c r="KAG10" s="1115"/>
      <c r="KAH10" s="1115"/>
      <c r="KAI10" s="1115"/>
      <c r="KAJ10" s="1115"/>
      <c r="KAK10" s="1115"/>
      <c r="KAL10" s="1115"/>
      <c r="KAM10" s="1115"/>
      <c r="KAN10" s="1115"/>
      <c r="KAO10" s="1115"/>
      <c r="KAP10" s="1115"/>
      <c r="KAQ10" s="1115"/>
      <c r="KAR10" s="1115"/>
      <c r="KAS10" s="1115"/>
      <c r="KAT10" s="1115"/>
      <c r="KAU10" s="1115"/>
      <c r="KAV10" s="1115"/>
      <c r="KAW10" s="1115"/>
      <c r="KAX10" s="1115"/>
      <c r="KAY10" s="1115"/>
      <c r="KAZ10" s="1115"/>
      <c r="KBA10" s="1115"/>
      <c r="KBB10" s="1115"/>
      <c r="KBC10" s="1115"/>
      <c r="KBD10" s="1115"/>
      <c r="KBE10" s="1115"/>
      <c r="KBF10" s="1115"/>
      <c r="KBG10" s="1115"/>
      <c r="KBH10" s="1115"/>
      <c r="KBI10" s="1115"/>
      <c r="KBJ10" s="1115"/>
      <c r="KBK10" s="1115"/>
      <c r="KBL10" s="1115"/>
      <c r="KBM10" s="1115"/>
      <c r="KBN10" s="1115"/>
      <c r="KBO10" s="1115"/>
      <c r="KBP10" s="1115"/>
      <c r="KBQ10" s="1115"/>
      <c r="KBR10" s="1115"/>
      <c r="KBS10" s="1115"/>
      <c r="KBT10" s="1115"/>
      <c r="KBU10" s="1115"/>
      <c r="KBV10" s="1115"/>
      <c r="KBW10" s="1115"/>
      <c r="KBX10" s="1115"/>
      <c r="KBY10" s="1115"/>
      <c r="KBZ10" s="1115"/>
      <c r="KCA10" s="1115"/>
      <c r="KCB10" s="1115"/>
      <c r="KCC10" s="1115"/>
      <c r="KCD10" s="1115"/>
      <c r="KCE10" s="1115"/>
      <c r="KCF10" s="1115"/>
      <c r="KCG10" s="1115"/>
      <c r="KCH10" s="1115"/>
      <c r="KCI10" s="1115"/>
      <c r="KCJ10" s="1115"/>
      <c r="KCK10" s="1115"/>
      <c r="KCL10" s="1115"/>
      <c r="KCM10" s="1115"/>
      <c r="KCN10" s="1115"/>
      <c r="KCO10" s="1115"/>
      <c r="KCP10" s="1115"/>
      <c r="KCQ10" s="1115"/>
      <c r="KCR10" s="1115"/>
      <c r="KCS10" s="1115"/>
      <c r="KCT10" s="1115"/>
      <c r="KCU10" s="1115"/>
      <c r="KCV10" s="1115"/>
      <c r="KCW10" s="1115"/>
      <c r="KCX10" s="1115"/>
      <c r="KCY10" s="1115"/>
      <c r="KCZ10" s="1115"/>
      <c r="KDA10" s="1115"/>
      <c r="KDB10" s="1115"/>
      <c r="KDC10" s="1115"/>
      <c r="KDD10" s="1115"/>
      <c r="KDE10" s="1115"/>
      <c r="KDF10" s="1115"/>
      <c r="KDG10" s="1115"/>
      <c r="KDH10" s="1115"/>
      <c r="KDI10" s="1115"/>
      <c r="KDJ10" s="1115"/>
      <c r="KDK10" s="1115"/>
      <c r="KDL10" s="1115"/>
      <c r="KDM10" s="1115"/>
      <c r="KDN10" s="1115"/>
      <c r="KDO10" s="1115"/>
      <c r="KDP10" s="1115"/>
      <c r="KDQ10" s="1115"/>
      <c r="KDR10" s="1115"/>
      <c r="KDS10" s="1115"/>
      <c r="KDT10" s="1115"/>
      <c r="KDU10" s="1115"/>
      <c r="KDV10" s="1115"/>
      <c r="KDW10" s="1115"/>
      <c r="KDX10" s="1115"/>
      <c r="KDY10" s="1115"/>
      <c r="KDZ10" s="1115"/>
      <c r="KEA10" s="1115"/>
      <c r="KEB10" s="1115"/>
      <c r="KEC10" s="1115"/>
      <c r="KED10" s="1115"/>
      <c r="KEE10" s="1115"/>
      <c r="KEF10" s="1115"/>
      <c r="KEG10" s="1115"/>
      <c r="KEH10" s="1115"/>
      <c r="KEI10" s="1115"/>
      <c r="KEJ10" s="1115"/>
      <c r="KEK10" s="1115"/>
      <c r="KEL10" s="1115"/>
      <c r="KEM10" s="1115"/>
      <c r="KEN10" s="1115"/>
      <c r="KEO10" s="1115"/>
      <c r="KEP10" s="1115"/>
      <c r="KEQ10" s="1115"/>
      <c r="KER10" s="1115"/>
      <c r="KES10" s="1115"/>
      <c r="KET10" s="1115"/>
      <c r="KEU10" s="1115"/>
      <c r="KEV10" s="1115"/>
      <c r="KEW10" s="1115"/>
      <c r="KEX10" s="1115"/>
      <c r="KEY10" s="1115"/>
      <c r="KEZ10" s="1115"/>
      <c r="KFA10" s="1115"/>
      <c r="KFB10" s="1115"/>
      <c r="KFC10" s="1115"/>
      <c r="KFD10" s="1115"/>
      <c r="KFE10" s="1115"/>
      <c r="KFF10" s="1115"/>
      <c r="KFG10" s="1115"/>
      <c r="KFH10" s="1115"/>
      <c r="KFI10" s="1115"/>
      <c r="KFJ10" s="1115"/>
      <c r="KFK10" s="1115"/>
      <c r="KFL10" s="1115"/>
      <c r="KFM10" s="1115"/>
      <c r="KFN10" s="1115"/>
      <c r="KFO10" s="1115"/>
      <c r="KFP10" s="1115"/>
      <c r="KFQ10" s="1115"/>
      <c r="KFR10" s="1115"/>
      <c r="KFS10" s="1115"/>
      <c r="KFT10" s="1115"/>
      <c r="KFU10" s="1115"/>
      <c r="KFV10" s="1115"/>
      <c r="KFW10" s="1115"/>
      <c r="KFX10" s="1115"/>
      <c r="KFY10" s="1115"/>
      <c r="KFZ10" s="1115"/>
      <c r="KGA10" s="1115"/>
      <c r="KGB10" s="1115"/>
      <c r="KGC10" s="1115"/>
      <c r="KGD10" s="1115"/>
      <c r="KGE10" s="1115"/>
      <c r="KGF10" s="1115"/>
      <c r="KGG10" s="1115"/>
      <c r="KGH10" s="1115"/>
      <c r="KGI10" s="1115"/>
      <c r="KGJ10" s="1115"/>
      <c r="KGK10" s="1115"/>
      <c r="KGL10" s="1115"/>
      <c r="KGM10" s="1115"/>
      <c r="KGN10" s="1115"/>
      <c r="KGO10" s="1115"/>
      <c r="KGP10" s="1115"/>
      <c r="KGQ10" s="1115"/>
      <c r="KGR10" s="1115"/>
      <c r="KGS10" s="1115"/>
      <c r="KGT10" s="1115"/>
      <c r="KGU10" s="1115"/>
      <c r="KGV10" s="1115"/>
      <c r="KGW10" s="1115"/>
      <c r="KGX10" s="1115"/>
      <c r="KGY10" s="1115"/>
      <c r="KGZ10" s="1115"/>
      <c r="KHA10" s="1115"/>
      <c r="KHB10" s="1115"/>
      <c r="KHC10" s="1115"/>
      <c r="KHD10" s="1115"/>
      <c r="KHE10" s="1115"/>
      <c r="KHF10" s="1115"/>
      <c r="KHG10" s="1115"/>
      <c r="KHH10" s="1115"/>
      <c r="KHI10" s="1115"/>
      <c r="KHJ10" s="1115"/>
      <c r="KHK10" s="1115"/>
      <c r="KHL10" s="1115"/>
      <c r="KHM10" s="1115"/>
      <c r="KHN10" s="1115"/>
      <c r="KHO10" s="1115"/>
      <c r="KHP10" s="1115"/>
      <c r="KHQ10" s="1115"/>
      <c r="KHR10" s="1115"/>
      <c r="KHS10" s="1115"/>
      <c r="KHT10" s="1115"/>
      <c r="KHU10" s="1115"/>
      <c r="KHV10" s="1115"/>
      <c r="KHW10" s="1115"/>
      <c r="KHX10" s="1115"/>
      <c r="KHY10" s="1115"/>
      <c r="KHZ10" s="1115"/>
      <c r="KIA10" s="1115"/>
      <c r="KIB10" s="1115"/>
      <c r="KIC10" s="1115"/>
      <c r="KID10" s="1115"/>
      <c r="KIE10" s="1115"/>
      <c r="KIF10" s="1115"/>
      <c r="KIG10" s="1115"/>
      <c r="KIH10" s="1115"/>
      <c r="KII10" s="1115"/>
      <c r="KIJ10" s="1115"/>
      <c r="KIK10" s="1115"/>
      <c r="KIL10" s="1115"/>
      <c r="KIM10" s="1115"/>
      <c r="KIN10" s="1115"/>
      <c r="KIO10" s="1115"/>
      <c r="KIP10" s="1115"/>
      <c r="KIQ10" s="1115"/>
      <c r="KIR10" s="1115"/>
      <c r="KIS10" s="1115"/>
      <c r="KIT10" s="1115"/>
      <c r="KIU10" s="1115"/>
      <c r="KIV10" s="1115"/>
      <c r="KIW10" s="1115"/>
      <c r="KIX10" s="1115"/>
      <c r="KIY10" s="1115"/>
      <c r="KIZ10" s="1115"/>
      <c r="KJA10" s="1115"/>
      <c r="KJB10" s="1115"/>
      <c r="KJC10" s="1115"/>
      <c r="KJD10" s="1115"/>
      <c r="KJE10" s="1115"/>
      <c r="KJF10" s="1115"/>
      <c r="KJG10" s="1115"/>
      <c r="KJH10" s="1115"/>
      <c r="KJI10" s="1115"/>
      <c r="KJJ10" s="1115"/>
      <c r="KJK10" s="1115"/>
      <c r="KJL10" s="1115"/>
      <c r="KJM10" s="1115"/>
      <c r="KJN10" s="1115"/>
      <c r="KJO10" s="1115"/>
      <c r="KJP10" s="1115"/>
      <c r="KJQ10" s="1115"/>
      <c r="KJR10" s="1115"/>
      <c r="KJS10" s="1115"/>
      <c r="KJT10" s="1115"/>
      <c r="KJU10" s="1115"/>
      <c r="KJV10" s="1115"/>
      <c r="KJW10" s="1115"/>
      <c r="KJX10" s="1115"/>
      <c r="KJY10" s="1115"/>
      <c r="KJZ10" s="1115"/>
      <c r="KKA10" s="1115"/>
      <c r="KKB10" s="1115"/>
      <c r="KKC10" s="1115"/>
      <c r="KKD10" s="1115"/>
      <c r="KKE10" s="1115"/>
      <c r="KKF10" s="1115"/>
      <c r="KKG10" s="1115"/>
      <c r="KKH10" s="1115"/>
      <c r="KKI10" s="1115"/>
      <c r="KKJ10" s="1115"/>
      <c r="KKK10" s="1115"/>
      <c r="KKL10" s="1115"/>
      <c r="KKM10" s="1115"/>
      <c r="KKN10" s="1115"/>
      <c r="KKO10" s="1115"/>
      <c r="KKP10" s="1115"/>
      <c r="KKQ10" s="1115"/>
      <c r="KKR10" s="1115"/>
      <c r="KKS10" s="1115"/>
      <c r="KKT10" s="1115"/>
      <c r="KKU10" s="1115"/>
      <c r="KKV10" s="1115"/>
      <c r="KKW10" s="1115"/>
      <c r="KKX10" s="1115"/>
      <c r="KKY10" s="1115"/>
      <c r="KKZ10" s="1115"/>
      <c r="KLA10" s="1115"/>
      <c r="KLB10" s="1115"/>
      <c r="KLC10" s="1115"/>
      <c r="KLD10" s="1115"/>
      <c r="KLE10" s="1115"/>
      <c r="KLF10" s="1115"/>
      <c r="KLG10" s="1115"/>
      <c r="KLH10" s="1115"/>
      <c r="KLI10" s="1115"/>
      <c r="KLJ10" s="1115"/>
      <c r="KLK10" s="1115"/>
      <c r="KLL10" s="1115"/>
      <c r="KLM10" s="1115"/>
      <c r="KLN10" s="1115"/>
      <c r="KLO10" s="1115"/>
      <c r="KLP10" s="1115"/>
      <c r="KLQ10" s="1115"/>
      <c r="KLR10" s="1115"/>
      <c r="KLS10" s="1115"/>
      <c r="KLT10" s="1115"/>
      <c r="KLU10" s="1115"/>
      <c r="KLV10" s="1115"/>
      <c r="KLW10" s="1115"/>
      <c r="KLX10" s="1115"/>
      <c r="KLY10" s="1115"/>
      <c r="KLZ10" s="1115"/>
      <c r="KMA10" s="1115"/>
      <c r="KMB10" s="1115"/>
      <c r="KMC10" s="1115"/>
      <c r="KMD10" s="1115"/>
      <c r="KME10" s="1115"/>
      <c r="KMF10" s="1115"/>
      <c r="KMG10" s="1115"/>
      <c r="KMH10" s="1115"/>
      <c r="KMI10" s="1115"/>
      <c r="KMJ10" s="1115"/>
      <c r="KMK10" s="1115"/>
      <c r="KML10" s="1115"/>
      <c r="KMM10" s="1115"/>
      <c r="KMN10" s="1115"/>
      <c r="KMO10" s="1115"/>
      <c r="KMP10" s="1115"/>
      <c r="KMQ10" s="1115"/>
      <c r="KMR10" s="1115"/>
      <c r="KMS10" s="1115"/>
      <c r="KMT10" s="1115"/>
      <c r="KMU10" s="1115"/>
      <c r="KMV10" s="1115"/>
      <c r="KMW10" s="1115"/>
      <c r="KMX10" s="1115"/>
      <c r="KMY10" s="1115"/>
      <c r="KMZ10" s="1115"/>
      <c r="KNA10" s="1115"/>
      <c r="KNB10" s="1115"/>
      <c r="KNC10" s="1115"/>
      <c r="KND10" s="1115"/>
      <c r="KNE10" s="1115"/>
      <c r="KNF10" s="1115"/>
      <c r="KNG10" s="1115"/>
      <c r="KNH10" s="1115"/>
      <c r="KNI10" s="1115"/>
      <c r="KNJ10" s="1115"/>
      <c r="KNK10" s="1115"/>
      <c r="KNL10" s="1115"/>
      <c r="KNM10" s="1115"/>
      <c r="KNN10" s="1115"/>
      <c r="KNO10" s="1115"/>
      <c r="KNP10" s="1115"/>
      <c r="KNQ10" s="1115"/>
      <c r="KNR10" s="1115"/>
      <c r="KNS10" s="1115"/>
      <c r="KNT10" s="1115"/>
      <c r="KNU10" s="1115"/>
      <c r="KNV10" s="1115"/>
      <c r="KNW10" s="1115"/>
      <c r="KNX10" s="1115"/>
      <c r="KNY10" s="1115"/>
      <c r="KNZ10" s="1115"/>
      <c r="KOA10" s="1115"/>
      <c r="KOB10" s="1115"/>
      <c r="KOC10" s="1115"/>
      <c r="KOD10" s="1115"/>
      <c r="KOE10" s="1115"/>
      <c r="KOF10" s="1115"/>
      <c r="KOG10" s="1115"/>
      <c r="KOH10" s="1115"/>
      <c r="KOI10" s="1115"/>
      <c r="KOJ10" s="1115"/>
      <c r="KOK10" s="1115"/>
      <c r="KOL10" s="1115"/>
      <c r="KOM10" s="1115"/>
      <c r="KON10" s="1115"/>
      <c r="KOO10" s="1115"/>
      <c r="KOP10" s="1115"/>
      <c r="KOQ10" s="1115"/>
      <c r="KOR10" s="1115"/>
      <c r="KOS10" s="1115"/>
      <c r="KOT10" s="1115"/>
      <c r="KOU10" s="1115"/>
      <c r="KOV10" s="1115"/>
      <c r="KOW10" s="1115"/>
      <c r="KOX10" s="1115"/>
      <c r="KOY10" s="1115"/>
      <c r="KOZ10" s="1115"/>
      <c r="KPA10" s="1115"/>
      <c r="KPB10" s="1115"/>
      <c r="KPC10" s="1115"/>
      <c r="KPD10" s="1115"/>
      <c r="KPE10" s="1115"/>
      <c r="KPF10" s="1115"/>
      <c r="KPG10" s="1115"/>
      <c r="KPH10" s="1115"/>
      <c r="KPI10" s="1115"/>
      <c r="KPJ10" s="1115"/>
      <c r="KPK10" s="1115"/>
      <c r="KPL10" s="1115"/>
      <c r="KPM10" s="1115"/>
      <c r="KPN10" s="1115"/>
      <c r="KPO10" s="1115"/>
      <c r="KPP10" s="1115"/>
      <c r="KPQ10" s="1115"/>
      <c r="KPR10" s="1115"/>
      <c r="KPS10" s="1115"/>
      <c r="KPT10" s="1115"/>
      <c r="KPU10" s="1115"/>
      <c r="KPV10" s="1115"/>
      <c r="KPW10" s="1115"/>
      <c r="KPX10" s="1115"/>
      <c r="KPY10" s="1115"/>
      <c r="KPZ10" s="1115"/>
      <c r="KQA10" s="1115"/>
      <c r="KQB10" s="1115"/>
      <c r="KQC10" s="1115"/>
      <c r="KQD10" s="1115"/>
      <c r="KQE10" s="1115"/>
      <c r="KQF10" s="1115"/>
      <c r="KQG10" s="1115"/>
      <c r="KQH10" s="1115"/>
      <c r="KQI10" s="1115"/>
      <c r="KQJ10" s="1115"/>
      <c r="KQK10" s="1115"/>
      <c r="KQL10" s="1115"/>
      <c r="KQM10" s="1115"/>
      <c r="KQN10" s="1115"/>
      <c r="KQO10" s="1115"/>
      <c r="KQP10" s="1115"/>
      <c r="KQQ10" s="1115"/>
      <c r="KQR10" s="1115"/>
      <c r="KQS10" s="1115"/>
      <c r="KQT10" s="1115"/>
      <c r="KQU10" s="1115"/>
      <c r="KQV10" s="1115"/>
      <c r="KQW10" s="1115"/>
      <c r="KQX10" s="1115"/>
      <c r="KQY10" s="1115"/>
      <c r="KQZ10" s="1115"/>
      <c r="KRA10" s="1115"/>
      <c r="KRB10" s="1115"/>
      <c r="KRC10" s="1115"/>
      <c r="KRD10" s="1115"/>
      <c r="KRE10" s="1115"/>
      <c r="KRF10" s="1115"/>
      <c r="KRG10" s="1115"/>
      <c r="KRH10" s="1115"/>
      <c r="KRI10" s="1115"/>
      <c r="KRJ10" s="1115"/>
      <c r="KRK10" s="1115"/>
      <c r="KRL10" s="1115"/>
      <c r="KRM10" s="1115"/>
      <c r="KRN10" s="1115"/>
      <c r="KRO10" s="1115"/>
      <c r="KRP10" s="1115"/>
      <c r="KRQ10" s="1115"/>
      <c r="KRR10" s="1115"/>
      <c r="KRS10" s="1115"/>
      <c r="KRT10" s="1115"/>
      <c r="KRU10" s="1115"/>
      <c r="KRV10" s="1115"/>
      <c r="KRW10" s="1115"/>
      <c r="KRX10" s="1115"/>
      <c r="KRY10" s="1115"/>
      <c r="KRZ10" s="1115"/>
      <c r="KSA10" s="1115"/>
      <c r="KSB10" s="1115"/>
      <c r="KSC10" s="1115"/>
      <c r="KSD10" s="1115"/>
      <c r="KSE10" s="1115"/>
      <c r="KSF10" s="1115"/>
      <c r="KSG10" s="1115"/>
      <c r="KSH10" s="1115"/>
      <c r="KSI10" s="1115"/>
      <c r="KSJ10" s="1115"/>
      <c r="KSK10" s="1115"/>
      <c r="KSL10" s="1115"/>
      <c r="KSM10" s="1115"/>
      <c r="KSN10" s="1115"/>
      <c r="KSO10" s="1115"/>
      <c r="KSP10" s="1115"/>
      <c r="KSQ10" s="1115"/>
      <c r="KSR10" s="1115"/>
      <c r="KSS10" s="1115"/>
      <c r="KST10" s="1115"/>
      <c r="KSU10" s="1115"/>
      <c r="KSV10" s="1115"/>
      <c r="KSW10" s="1115"/>
      <c r="KSX10" s="1115"/>
      <c r="KSY10" s="1115"/>
      <c r="KSZ10" s="1115"/>
      <c r="KTA10" s="1115"/>
      <c r="KTB10" s="1115"/>
      <c r="KTC10" s="1115"/>
      <c r="KTD10" s="1115"/>
      <c r="KTE10" s="1115"/>
      <c r="KTF10" s="1115"/>
      <c r="KTG10" s="1115"/>
      <c r="KTH10" s="1115"/>
      <c r="KTI10" s="1115"/>
      <c r="KTJ10" s="1115"/>
      <c r="KTK10" s="1115"/>
      <c r="KTL10" s="1115"/>
      <c r="KTM10" s="1115"/>
      <c r="KTN10" s="1115"/>
      <c r="KTO10" s="1115"/>
      <c r="KTP10" s="1115"/>
      <c r="KTQ10" s="1115"/>
      <c r="KTR10" s="1115"/>
      <c r="KTS10" s="1115"/>
      <c r="KTT10" s="1115"/>
      <c r="KTU10" s="1115"/>
      <c r="KTV10" s="1115"/>
      <c r="KTW10" s="1115"/>
      <c r="KTX10" s="1115"/>
      <c r="KTY10" s="1115"/>
      <c r="KTZ10" s="1115"/>
      <c r="KUA10" s="1115"/>
      <c r="KUB10" s="1115"/>
      <c r="KUC10" s="1115"/>
      <c r="KUD10" s="1115"/>
      <c r="KUE10" s="1115"/>
      <c r="KUF10" s="1115"/>
      <c r="KUG10" s="1115"/>
      <c r="KUH10" s="1115"/>
      <c r="KUI10" s="1115"/>
      <c r="KUJ10" s="1115"/>
      <c r="KUK10" s="1115"/>
      <c r="KUL10" s="1115"/>
      <c r="KUM10" s="1115"/>
      <c r="KUN10" s="1115"/>
      <c r="KUO10" s="1115"/>
      <c r="KUP10" s="1115"/>
      <c r="KUQ10" s="1115"/>
      <c r="KUR10" s="1115"/>
      <c r="KUS10" s="1115"/>
      <c r="KUT10" s="1115"/>
      <c r="KUU10" s="1115"/>
      <c r="KUV10" s="1115"/>
      <c r="KUW10" s="1115"/>
      <c r="KUX10" s="1115"/>
      <c r="KUY10" s="1115"/>
      <c r="KUZ10" s="1115"/>
      <c r="KVA10" s="1115"/>
      <c r="KVB10" s="1115"/>
      <c r="KVC10" s="1115"/>
      <c r="KVD10" s="1115"/>
      <c r="KVE10" s="1115"/>
      <c r="KVF10" s="1115"/>
      <c r="KVG10" s="1115"/>
      <c r="KVH10" s="1115"/>
      <c r="KVI10" s="1115"/>
      <c r="KVJ10" s="1115"/>
      <c r="KVK10" s="1115"/>
      <c r="KVL10" s="1115"/>
      <c r="KVM10" s="1115"/>
      <c r="KVN10" s="1115"/>
      <c r="KVO10" s="1115"/>
      <c r="KVP10" s="1115"/>
      <c r="KVQ10" s="1115"/>
      <c r="KVR10" s="1115"/>
      <c r="KVS10" s="1115"/>
      <c r="KVT10" s="1115"/>
      <c r="KVU10" s="1115"/>
      <c r="KVV10" s="1115"/>
      <c r="KVW10" s="1115"/>
      <c r="KVX10" s="1115"/>
      <c r="KVY10" s="1115"/>
      <c r="KVZ10" s="1115"/>
      <c r="KWA10" s="1115"/>
      <c r="KWB10" s="1115"/>
      <c r="KWC10" s="1115"/>
      <c r="KWD10" s="1115"/>
      <c r="KWE10" s="1115"/>
      <c r="KWF10" s="1115"/>
      <c r="KWG10" s="1115"/>
      <c r="KWH10" s="1115"/>
      <c r="KWI10" s="1115"/>
      <c r="KWJ10" s="1115"/>
      <c r="KWK10" s="1115"/>
      <c r="KWL10" s="1115"/>
      <c r="KWM10" s="1115"/>
      <c r="KWN10" s="1115"/>
      <c r="KWO10" s="1115"/>
      <c r="KWP10" s="1115"/>
      <c r="KWQ10" s="1115"/>
      <c r="KWR10" s="1115"/>
      <c r="KWS10" s="1115"/>
      <c r="KWT10" s="1115"/>
      <c r="KWU10" s="1115"/>
      <c r="KWV10" s="1115"/>
      <c r="KWW10" s="1115"/>
      <c r="KWX10" s="1115"/>
      <c r="KWY10" s="1115"/>
      <c r="KWZ10" s="1115"/>
      <c r="KXA10" s="1115"/>
      <c r="KXB10" s="1115"/>
      <c r="KXC10" s="1115"/>
      <c r="KXD10" s="1115"/>
      <c r="KXE10" s="1115"/>
      <c r="KXF10" s="1115"/>
      <c r="KXG10" s="1115"/>
      <c r="KXH10" s="1115"/>
      <c r="KXI10" s="1115"/>
      <c r="KXJ10" s="1115"/>
      <c r="KXK10" s="1115"/>
      <c r="KXL10" s="1115"/>
      <c r="KXM10" s="1115"/>
      <c r="KXN10" s="1115"/>
      <c r="KXO10" s="1115"/>
      <c r="KXP10" s="1115"/>
      <c r="KXQ10" s="1115"/>
      <c r="KXR10" s="1115"/>
      <c r="KXS10" s="1115"/>
      <c r="KXT10" s="1115"/>
      <c r="KXU10" s="1115"/>
      <c r="KXV10" s="1115"/>
      <c r="KXW10" s="1115"/>
      <c r="KXX10" s="1115"/>
      <c r="KXY10" s="1115"/>
      <c r="KXZ10" s="1115"/>
      <c r="KYA10" s="1115"/>
      <c r="KYB10" s="1115"/>
      <c r="KYC10" s="1115"/>
      <c r="KYD10" s="1115"/>
      <c r="KYE10" s="1115"/>
      <c r="KYF10" s="1115"/>
      <c r="KYG10" s="1115"/>
      <c r="KYH10" s="1115"/>
      <c r="KYI10" s="1115"/>
      <c r="KYJ10" s="1115"/>
      <c r="KYK10" s="1115"/>
      <c r="KYL10" s="1115"/>
      <c r="KYM10" s="1115"/>
      <c r="KYN10" s="1115"/>
      <c r="KYO10" s="1115"/>
      <c r="KYP10" s="1115"/>
      <c r="KYQ10" s="1115"/>
      <c r="KYR10" s="1115"/>
      <c r="KYS10" s="1115"/>
      <c r="KYT10" s="1115"/>
      <c r="KYU10" s="1115"/>
      <c r="KYV10" s="1115"/>
      <c r="KYW10" s="1115"/>
      <c r="KYX10" s="1115"/>
      <c r="KYY10" s="1115"/>
      <c r="KYZ10" s="1115"/>
      <c r="KZA10" s="1115"/>
      <c r="KZB10" s="1115"/>
      <c r="KZC10" s="1115"/>
      <c r="KZD10" s="1115"/>
      <c r="KZE10" s="1115"/>
      <c r="KZF10" s="1115"/>
      <c r="KZG10" s="1115"/>
      <c r="KZH10" s="1115"/>
      <c r="KZI10" s="1115"/>
      <c r="KZJ10" s="1115"/>
      <c r="KZK10" s="1115"/>
      <c r="KZL10" s="1115"/>
      <c r="KZM10" s="1115"/>
      <c r="KZN10" s="1115"/>
      <c r="KZO10" s="1115"/>
      <c r="KZP10" s="1115"/>
      <c r="KZQ10" s="1115"/>
      <c r="KZR10" s="1115"/>
      <c r="KZS10" s="1115"/>
      <c r="KZT10" s="1115"/>
      <c r="KZU10" s="1115"/>
      <c r="KZV10" s="1115"/>
      <c r="KZW10" s="1115"/>
      <c r="KZX10" s="1115"/>
      <c r="KZY10" s="1115"/>
      <c r="KZZ10" s="1115"/>
      <c r="LAA10" s="1115"/>
      <c r="LAB10" s="1115"/>
      <c r="LAC10" s="1115"/>
      <c r="LAD10" s="1115"/>
      <c r="LAE10" s="1115"/>
      <c r="LAF10" s="1115"/>
      <c r="LAG10" s="1115"/>
      <c r="LAH10" s="1115"/>
      <c r="LAI10" s="1115"/>
      <c r="LAJ10" s="1115"/>
      <c r="LAK10" s="1115"/>
      <c r="LAL10" s="1115"/>
      <c r="LAM10" s="1115"/>
      <c r="LAN10" s="1115"/>
      <c r="LAO10" s="1115"/>
      <c r="LAP10" s="1115"/>
      <c r="LAQ10" s="1115"/>
      <c r="LAR10" s="1115"/>
      <c r="LAS10" s="1115"/>
      <c r="LAT10" s="1115"/>
      <c r="LAU10" s="1115"/>
      <c r="LAV10" s="1115"/>
      <c r="LAW10" s="1115"/>
      <c r="LAX10" s="1115"/>
      <c r="LAY10" s="1115"/>
      <c r="LAZ10" s="1115"/>
      <c r="LBA10" s="1115"/>
      <c r="LBB10" s="1115"/>
      <c r="LBC10" s="1115"/>
      <c r="LBD10" s="1115"/>
      <c r="LBE10" s="1115"/>
      <c r="LBF10" s="1115"/>
      <c r="LBG10" s="1115"/>
      <c r="LBH10" s="1115"/>
      <c r="LBI10" s="1115"/>
      <c r="LBJ10" s="1115"/>
      <c r="LBK10" s="1115"/>
      <c r="LBL10" s="1115"/>
      <c r="LBM10" s="1115"/>
      <c r="LBN10" s="1115"/>
      <c r="LBO10" s="1115"/>
      <c r="LBP10" s="1115"/>
      <c r="LBQ10" s="1115"/>
      <c r="LBR10" s="1115"/>
      <c r="LBS10" s="1115"/>
      <c r="LBT10" s="1115"/>
      <c r="LBU10" s="1115"/>
      <c r="LBV10" s="1115"/>
      <c r="LBW10" s="1115"/>
      <c r="LBX10" s="1115"/>
      <c r="LBY10" s="1115"/>
      <c r="LBZ10" s="1115"/>
      <c r="LCA10" s="1115"/>
      <c r="LCB10" s="1115"/>
      <c r="LCC10" s="1115"/>
      <c r="LCD10" s="1115"/>
      <c r="LCE10" s="1115"/>
      <c r="LCF10" s="1115"/>
      <c r="LCG10" s="1115"/>
      <c r="LCH10" s="1115"/>
      <c r="LCI10" s="1115"/>
      <c r="LCJ10" s="1115"/>
      <c r="LCK10" s="1115"/>
      <c r="LCL10" s="1115"/>
      <c r="LCM10" s="1115"/>
      <c r="LCN10" s="1115"/>
      <c r="LCO10" s="1115"/>
      <c r="LCP10" s="1115"/>
      <c r="LCQ10" s="1115"/>
      <c r="LCR10" s="1115"/>
      <c r="LCS10" s="1115"/>
      <c r="LCT10" s="1115"/>
      <c r="LCU10" s="1115"/>
      <c r="LCV10" s="1115"/>
      <c r="LCW10" s="1115"/>
      <c r="LCX10" s="1115"/>
      <c r="LCY10" s="1115"/>
      <c r="LCZ10" s="1115"/>
      <c r="LDA10" s="1115"/>
      <c r="LDB10" s="1115"/>
      <c r="LDC10" s="1115"/>
      <c r="LDD10" s="1115"/>
      <c r="LDE10" s="1115"/>
      <c r="LDF10" s="1115"/>
      <c r="LDG10" s="1115"/>
      <c r="LDH10" s="1115"/>
      <c r="LDI10" s="1115"/>
      <c r="LDJ10" s="1115"/>
      <c r="LDK10" s="1115"/>
      <c r="LDL10" s="1115"/>
      <c r="LDM10" s="1115"/>
      <c r="LDN10" s="1115"/>
      <c r="LDO10" s="1115"/>
      <c r="LDP10" s="1115"/>
      <c r="LDQ10" s="1115"/>
      <c r="LDR10" s="1115"/>
      <c r="LDS10" s="1115"/>
      <c r="LDT10" s="1115"/>
      <c r="LDU10" s="1115"/>
      <c r="LDV10" s="1115"/>
      <c r="LDW10" s="1115"/>
      <c r="LDX10" s="1115"/>
      <c r="LDY10" s="1115"/>
      <c r="LDZ10" s="1115"/>
      <c r="LEA10" s="1115"/>
      <c r="LEB10" s="1115"/>
      <c r="LEC10" s="1115"/>
      <c r="LED10" s="1115"/>
      <c r="LEE10" s="1115"/>
      <c r="LEF10" s="1115"/>
      <c r="LEG10" s="1115"/>
      <c r="LEH10" s="1115"/>
      <c r="LEI10" s="1115"/>
      <c r="LEJ10" s="1115"/>
      <c r="LEK10" s="1115"/>
      <c r="LEL10" s="1115"/>
      <c r="LEM10" s="1115"/>
      <c r="LEN10" s="1115"/>
      <c r="LEO10" s="1115"/>
      <c r="LEP10" s="1115"/>
      <c r="LEQ10" s="1115"/>
      <c r="LER10" s="1115"/>
      <c r="LES10" s="1115"/>
      <c r="LET10" s="1115"/>
      <c r="LEU10" s="1115"/>
      <c r="LEV10" s="1115"/>
      <c r="LEW10" s="1115"/>
      <c r="LEX10" s="1115"/>
      <c r="LEY10" s="1115"/>
      <c r="LEZ10" s="1115"/>
      <c r="LFA10" s="1115"/>
      <c r="LFB10" s="1115"/>
      <c r="LFC10" s="1115"/>
      <c r="LFD10" s="1115"/>
      <c r="LFE10" s="1115"/>
      <c r="LFF10" s="1115"/>
      <c r="LFG10" s="1115"/>
      <c r="LFH10" s="1115"/>
      <c r="LFI10" s="1115"/>
      <c r="LFJ10" s="1115"/>
      <c r="LFK10" s="1115"/>
      <c r="LFL10" s="1115"/>
      <c r="LFM10" s="1115"/>
      <c r="LFN10" s="1115"/>
      <c r="LFO10" s="1115"/>
      <c r="LFP10" s="1115"/>
      <c r="LFQ10" s="1115"/>
      <c r="LFR10" s="1115"/>
      <c r="LFS10" s="1115"/>
      <c r="LFT10" s="1115"/>
      <c r="LFU10" s="1115"/>
      <c r="LFV10" s="1115"/>
      <c r="LFW10" s="1115"/>
      <c r="LFX10" s="1115"/>
      <c r="LFY10" s="1115"/>
      <c r="LFZ10" s="1115"/>
      <c r="LGA10" s="1115"/>
      <c r="LGB10" s="1115"/>
      <c r="LGC10" s="1115"/>
      <c r="LGD10" s="1115"/>
      <c r="LGE10" s="1115"/>
      <c r="LGF10" s="1115"/>
      <c r="LGG10" s="1115"/>
      <c r="LGH10" s="1115"/>
      <c r="LGI10" s="1115"/>
      <c r="LGJ10" s="1115"/>
      <c r="LGK10" s="1115"/>
      <c r="LGL10" s="1115"/>
      <c r="LGM10" s="1115"/>
      <c r="LGN10" s="1115"/>
      <c r="LGO10" s="1115"/>
      <c r="LGP10" s="1115"/>
      <c r="LGQ10" s="1115"/>
      <c r="LGR10" s="1115"/>
      <c r="LGS10" s="1115"/>
      <c r="LGT10" s="1115"/>
      <c r="LGU10" s="1115"/>
      <c r="LGV10" s="1115"/>
      <c r="LGW10" s="1115"/>
      <c r="LGX10" s="1115"/>
      <c r="LGY10" s="1115"/>
      <c r="LGZ10" s="1115"/>
      <c r="LHA10" s="1115"/>
      <c r="LHB10" s="1115"/>
      <c r="LHC10" s="1115"/>
      <c r="LHD10" s="1115"/>
      <c r="LHE10" s="1115"/>
      <c r="LHF10" s="1115"/>
      <c r="LHG10" s="1115"/>
      <c r="LHH10" s="1115"/>
      <c r="LHI10" s="1115"/>
      <c r="LHJ10" s="1115"/>
      <c r="LHK10" s="1115"/>
      <c r="LHL10" s="1115"/>
      <c r="LHM10" s="1115"/>
      <c r="LHN10" s="1115"/>
      <c r="LHO10" s="1115"/>
      <c r="LHP10" s="1115"/>
      <c r="LHQ10" s="1115"/>
      <c r="LHR10" s="1115"/>
      <c r="LHS10" s="1115"/>
      <c r="LHT10" s="1115"/>
      <c r="LHU10" s="1115"/>
      <c r="LHV10" s="1115"/>
      <c r="LHW10" s="1115"/>
      <c r="LHX10" s="1115"/>
      <c r="LHY10" s="1115"/>
      <c r="LHZ10" s="1115"/>
      <c r="LIA10" s="1115"/>
      <c r="LIB10" s="1115"/>
      <c r="LIC10" s="1115"/>
      <c r="LID10" s="1115"/>
      <c r="LIE10" s="1115"/>
      <c r="LIF10" s="1115"/>
      <c r="LIG10" s="1115"/>
      <c r="LIH10" s="1115"/>
      <c r="LII10" s="1115"/>
      <c r="LIJ10" s="1115"/>
      <c r="LIK10" s="1115"/>
      <c r="LIL10" s="1115"/>
      <c r="LIM10" s="1115"/>
      <c r="LIN10" s="1115"/>
      <c r="LIO10" s="1115"/>
      <c r="LIP10" s="1115"/>
      <c r="LIQ10" s="1115"/>
      <c r="LIR10" s="1115"/>
      <c r="LIS10" s="1115"/>
      <c r="LIT10" s="1115"/>
      <c r="LIU10" s="1115"/>
      <c r="LIV10" s="1115"/>
      <c r="LIW10" s="1115"/>
      <c r="LIX10" s="1115"/>
      <c r="LIY10" s="1115"/>
      <c r="LIZ10" s="1115"/>
      <c r="LJA10" s="1115"/>
      <c r="LJB10" s="1115"/>
      <c r="LJC10" s="1115"/>
      <c r="LJD10" s="1115"/>
      <c r="LJE10" s="1115"/>
      <c r="LJF10" s="1115"/>
      <c r="LJG10" s="1115"/>
      <c r="LJH10" s="1115"/>
      <c r="LJI10" s="1115"/>
      <c r="LJJ10" s="1115"/>
      <c r="LJK10" s="1115"/>
      <c r="LJL10" s="1115"/>
      <c r="LJM10" s="1115"/>
      <c r="LJN10" s="1115"/>
      <c r="LJO10" s="1115"/>
      <c r="LJP10" s="1115"/>
      <c r="LJQ10" s="1115"/>
      <c r="LJR10" s="1115"/>
      <c r="LJS10" s="1115"/>
      <c r="LJT10" s="1115"/>
      <c r="LJU10" s="1115"/>
      <c r="LJV10" s="1115"/>
      <c r="LJW10" s="1115"/>
      <c r="LJX10" s="1115"/>
      <c r="LJY10" s="1115"/>
      <c r="LJZ10" s="1115"/>
      <c r="LKA10" s="1115"/>
      <c r="LKB10" s="1115"/>
      <c r="LKC10" s="1115"/>
      <c r="LKD10" s="1115"/>
      <c r="LKE10" s="1115"/>
      <c r="LKF10" s="1115"/>
      <c r="LKG10" s="1115"/>
      <c r="LKH10" s="1115"/>
      <c r="LKI10" s="1115"/>
      <c r="LKJ10" s="1115"/>
      <c r="LKK10" s="1115"/>
      <c r="LKL10" s="1115"/>
      <c r="LKM10" s="1115"/>
      <c r="LKN10" s="1115"/>
      <c r="LKO10" s="1115"/>
      <c r="LKP10" s="1115"/>
      <c r="LKQ10" s="1115"/>
      <c r="LKR10" s="1115"/>
      <c r="LKS10" s="1115"/>
      <c r="LKT10" s="1115"/>
      <c r="LKU10" s="1115"/>
      <c r="LKV10" s="1115"/>
      <c r="LKW10" s="1115"/>
      <c r="LKX10" s="1115"/>
      <c r="LKY10" s="1115"/>
      <c r="LKZ10" s="1115"/>
      <c r="LLA10" s="1115"/>
      <c r="LLB10" s="1115"/>
      <c r="LLC10" s="1115"/>
      <c r="LLD10" s="1115"/>
      <c r="LLE10" s="1115"/>
      <c r="LLF10" s="1115"/>
      <c r="LLG10" s="1115"/>
      <c r="LLH10" s="1115"/>
      <c r="LLI10" s="1115"/>
      <c r="LLJ10" s="1115"/>
      <c r="LLK10" s="1115"/>
      <c r="LLL10" s="1115"/>
      <c r="LLM10" s="1115"/>
      <c r="LLN10" s="1115"/>
      <c r="LLO10" s="1115"/>
      <c r="LLP10" s="1115"/>
      <c r="LLQ10" s="1115"/>
      <c r="LLR10" s="1115"/>
      <c r="LLS10" s="1115"/>
      <c r="LLT10" s="1115"/>
      <c r="LLU10" s="1115"/>
      <c r="LLV10" s="1115"/>
      <c r="LLW10" s="1115"/>
      <c r="LLX10" s="1115"/>
      <c r="LLY10" s="1115"/>
      <c r="LLZ10" s="1115"/>
      <c r="LMA10" s="1115"/>
      <c r="LMB10" s="1115"/>
      <c r="LMC10" s="1115"/>
      <c r="LMD10" s="1115"/>
      <c r="LME10" s="1115"/>
      <c r="LMF10" s="1115"/>
      <c r="LMG10" s="1115"/>
      <c r="LMH10" s="1115"/>
      <c r="LMI10" s="1115"/>
      <c r="LMJ10" s="1115"/>
      <c r="LMK10" s="1115"/>
      <c r="LML10" s="1115"/>
      <c r="LMM10" s="1115"/>
      <c r="LMN10" s="1115"/>
      <c r="LMO10" s="1115"/>
      <c r="LMP10" s="1115"/>
      <c r="LMQ10" s="1115"/>
      <c r="LMR10" s="1115"/>
      <c r="LMS10" s="1115"/>
      <c r="LMT10" s="1115"/>
      <c r="LMU10" s="1115"/>
      <c r="LMV10" s="1115"/>
      <c r="LMW10" s="1115"/>
      <c r="LMX10" s="1115"/>
      <c r="LMY10" s="1115"/>
      <c r="LMZ10" s="1115"/>
      <c r="LNA10" s="1115"/>
      <c r="LNB10" s="1115"/>
      <c r="LNC10" s="1115"/>
      <c r="LND10" s="1115"/>
      <c r="LNE10" s="1115"/>
      <c r="LNF10" s="1115"/>
      <c r="LNG10" s="1115"/>
      <c r="LNH10" s="1115"/>
      <c r="LNI10" s="1115"/>
      <c r="LNJ10" s="1115"/>
      <c r="LNK10" s="1115"/>
      <c r="LNL10" s="1115"/>
      <c r="LNM10" s="1115"/>
      <c r="LNN10" s="1115"/>
      <c r="LNO10" s="1115"/>
      <c r="LNP10" s="1115"/>
      <c r="LNQ10" s="1115"/>
      <c r="LNR10" s="1115"/>
      <c r="LNS10" s="1115"/>
      <c r="LNT10" s="1115"/>
      <c r="LNU10" s="1115"/>
      <c r="LNV10" s="1115"/>
      <c r="LNW10" s="1115"/>
      <c r="LNX10" s="1115"/>
      <c r="LNY10" s="1115"/>
      <c r="LNZ10" s="1115"/>
      <c r="LOA10" s="1115"/>
      <c r="LOB10" s="1115"/>
      <c r="LOC10" s="1115"/>
      <c r="LOD10" s="1115"/>
      <c r="LOE10" s="1115"/>
      <c r="LOF10" s="1115"/>
      <c r="LOG10" s="1115"/>
      <c r="LOH10" s="1115"/>
      <c r="LOI10" s="1115"/>
      <c r="LOJ10" s="1115"/>
      <c r="LOK10" s="1115"/>
      <c r="LOL10" s="1115"/>
      <c r="LOM10" s="1115"/>
      <c r="LON10" s="1115"/>
      <c r="LOO10" s="1115"/>
      <c r="LOP10" s="1115"/>
      <c r="LOQ10" s="1115"/>
      <c r="LOR10" s="1115"/>
      <c r="LOS10" s="1115"/>
      <c r="LOT10" s="1115"/>
      <c r="LOU10" s="1115"/>
      <c r="LOV10" s="1115"/>
      <c r="LOW10" s="1115"/>
      <c r="LOX10" s="1115"/>
      <c r="LOY10" s="1115"/>
      <c r="LOZ10" s="1115"/>
      <c r="LPA10" s="1115"/>
      <c r="LPB10" s="1115"/>
      <c r="LPC10" s="1115"/>
      <c r="LPD10" s="1115"/>
      <c r="LPE10" s="1115"/>
      <c r="LPF10" s="1115"/>
      <c r="LPG10" s="1115"/>
      <c r="LPH10" s="1115"/>
      <c r="LPI10" s="1115"/>
      <c r="LPJ10" s="1115"/>
      <c r="LPK10" s="1115"/>
      <c r="LPL10" s="1115"/>
      <c r="LPM10" s="1115"/>
      <c r="LPN10" s="1115"/>
      <c r="LPO10" s="1115"/>
      <c r="LPP10" s="1115"/>
      <c r="LPQ10" s="1115"/>
      <c r="LPR10" s="1115"/>
      <c r="LPS10" s="1115"/>
      <c r="LPT10" s="1115"/>
      <c r="LPU10" s="1115"/>
      <c r="LPV10" s="1115"/>
      <c r="LPW10" s="1115"/>
      <c r="LPX10" s="1115"/>
      <c r="LPY10" s="1115"/>
      <c r="LPZ10" s="1115"/>
      <c r="LQA10" s="1115"/>
      <c r="LQB10" s="1115"/>
      <c r="LQC10" s="1115"/>
      <c r="LQD10" s="1115"/>
      <c r="LQE10" s="1115"/>
      <c r="LQF10" s="1115"/>
      <c r="LQG10" s="1115"/>
      <c r="LQH10" s="1115"/>
      <c r="LQI10" s="1115"/>
      <c r="LQJ10" s="1115"/>
      <c r="LQK10" s="1115"/>
      <c r="LQL10" s="1115"/>
      <c r="LQM10" s="1115"/>
      <c r="LQN10" s="1115"/>
      <c r="LQO10" s="1115"/>
      <c r="LQP10" s="1115"/>
      <c r="LQQ10" s="1115"/>
      <c r="LQR10" s="1115"/>
      <c r="LQS10" s="1115"/>
      <c r="LQT10" s="1115"/>
      <c r="LQU10" s="1115"/>
      <c r="LQV10" s="1115"/>
      <c r="LQW10" s="1115"/>
      <c r="LQX10" s="1115"/>
      <c r="LQY10" s="1115"/>
      <c r="LQZ10" s="1115"/>
      <c r="LRA10" s="1115"/>
      <c r="LRB10" s="1115"/>
      <c r="LRC10" s="1115"/>
      <c r="LRD10" s="1115"/>
      <c r="LRE10" s="1115"/>
      <c r="LRF10" s="1115"/>
      <c r="LRG10" s="1115"/>
      <c r="LRH10" s="1115"/>
      <c r="LRI10" s="1115"/>
      <c r="LRJ10" s="1115"/>
      <c r="LRK10" s="1115"/>
      <c r="LRL10" s="1115"/>
      <c r="LRM10" s="1115"/>
      <c r="LRN10" s="1115"/>
      <c r="LRO10" s="1115"/>
      <c r="LRP10" s="1115"/>
      <c r="LRQ10" s="1115"/>
      <c r="LRR10" s="1115"/>
      <c r="LRS10" s="1115"/>
      <c r="LRT10" s="1115"/>
      <c r="LRU10" s="1115"/>
      <c r="LRV10" s="1115"/>
      <c r="LRW10" s="1115"/>
      <c r="LRX10" s="1115"/>
      <c r="LRY10" s="1115"/>
      <c r="LRZ10" s="1115"/>
      <c r="LSA10" s="1115"/>
      <c r="LSB10" s="1115"/>
      <c r="LSC10" s="1115"/>
      <c r="LSD10" s="1115"/>
      <c r="LSE10" s="1115"/>
      <c r="LSF10" s="1115"/>
      <c r="LSG10" s="1115"/>
      <c r="LSH10" s="1115"/>
      <c r="LSI10" s="1115"/>
      <c r="LSJ10" s="1115"/>
      <c r="LSK10" s="1115"/>
      <c r="LSL10" s="1115"/>
      <c r="LSM10" s="1115"/>
      <c r="LSN10" s="1115"/>
      <c r="LSO10" s="1115"/>
      <c r="LSP10" s="1115"/>
      <c r="LSQ10" s="1115"/>
      <c r="LSR10" s="1115"/>
      <c r="LSS10" s="1115"/>
      <c r="LST10" s="1115"/>
      <c r="LSU10" s="1115"/>
      <c r="LSV10" s="1115"/>
      <c r="LSW10" s="1115"/>
      <c r="LSX10" s="1115"/>
      <c r="LSY10" s="1115"/>
      <c r="LSZ10" s="1115"/>
      <c r="LTA10" s="1115"/>
      <c r="LTB10" s="1115"/>
      <c r="LTC10" s="1115"/>
      <c r="LTD10" s="1115"/>
      <c r="LTE10" s="1115"/>
      <c r="LTF10" s="1115"/>
      <c r="LTG10" s="1115"/>
      <c r="LTH10" s="1115"/>
      <c r="LTI10" s="1115"/>
      <c r="LTJ10" s="1115"/>
      <c r="LTK10" s="1115"/>
      <c r="LTL10" s="1115"/>
      <c r="LTM10" s="1115"/>
      <c r="LTN10" s="1115"/>
      <c r="LTO10" s="1115"/>
      <c r="LTP10" s="1115"/>
      <c r="LTQ10" s="1115"/>
      <c r="LTR10" s="1115"/>
      <c r="LTS10" s="1115"/>
      <c r="LTT10" s="1115"/>
      <c r="LTU10" s="1115"/>
      <c r="LTV10" s="1115"/>
      <c r="LTW10" s="1115"/>
      <c r="LTX10" s="1115"/>
      <c r="LTY10" s="1115"/>
      <c r="LTZ10" s="1115"/>
      <c r="LUA10" s="1115"/>
      <c r="LUB10" s="1115"/>
      <c r="LUC10" s="1115"/>
      <c r="LUD10" s="1115"/>
      <c r="LUE10" s="1115"/>
      <c r="LUF10" s="1115"/>
      <c r="LUG10" s="1115"/>
      <c r="LUH10" s="1115"/>
      <c r="LUI10" s="1115"/>
      <c r="LUJ10" s="1115"/>
      <c r="LUK10" s="1115"/>
      <c r="LUL10" s="1115"/>
      <c r="LUM10" s="1115"/>
      <c r="LUN10" s="1115"/>
      <c r="LUO10" s="1115"/>
      <c r="LUP10" s="1115"/>
      <c r="LUQ10" s="1115"/>
      <c r="LUR10" s="1115"/>
      <c r="LUS10" s="1115"/>
      <c r="LUT10" s="1115"/>
      <c r="LUU10" s="1115"/>
      <c r="LUV10" s="1115"/>
      <c r="LUW10" s="1115"/>
      <c r="LUX10" s="1115"/>
      <c r="LUY10" s="1115"/>
      <c r="LUZ10" s="1115"/>
      <c r="LVA10" s="1115"/>
      <c r="LVB10" s="1115"/>
      <c r="LVC10" s="1115"/>
      <c r="LVD10" s="1115"/>
      <c r="LVE10" s="1115"/>
      <c r="LVF10" s="1115"/>
      <c r="LVG10" s="1115"/>
      <c r="LVH10" s="1115"/>
      <c r="LVI10" s="1115"/>
      <c r="LVJ10" s="1115"/>
      <c r="LVK10" s="1115"/>
      <c r="LVL10" s="1115"/>
      <c r="LVM10" s="1115"/>
      <c r="LVN10" s="1115"/>
      <c r="LVO10" s="1115"/>
      <c r="LVP10" s="1115"/>
      <c r="LVQ10" s="1115"/>
      <c r="LVR10" s="1115"/>
      <c r="LVS10" s="1115"/>
      <c r="LVT10" s="1115"/>
      <c r="LVU10" s="1115"/>
      <c r="LVV10" s="1115"/>
      <c r="LVW10" s="1115"/>
      <c r="LVX10" s="1115"/>
      <c r="LVY10" s="1115"/>
      <c r="LVZ10" s="1115"/>
      <c r="LWA10" s="1115"/>
      <c r="LWB10" s="1115"/>
      <c r="LWC10" s="1115"/>
      <c r="LWD10" s="1115"/>
      <c r="LWE10" s="1115"/>
      <c r="LWF10" s="1115"/>
      <c r="LWG10" s="1115"/>
      <c r="LWH10" s="1115"/>
      <c r="LWI10" s="1115"/>
      <c r="LWJ10" s="1115"/>
      <c r="LWK10" s="1115"/>
      <c r="LWL10" s="1115"/>
      <c r="LWM10" s="1115"/>
      <c r="LWN10" s="1115"/>
      <c r="LWO10" s="1115"/>
      <c r="LWP10" s="1115"/>
      <c r="LWQ10" s="1115"/>
      <c r="LWR10" s="1115"/>
      <c r="LWS10" s="1115"/>
      <c r="LWT10" s="1115"/>
      <c r="LWU10" s="1115"/>
      <c r="LWV10" s="1115"/>
      <c r="LWW10" s="1115"/>
      <c r="LWX10" s="1115"/>
      <c r="LWY10" s="1115"/>
      <c r="LWZ10" s="1115"/>
      <c r="LXA10" s="1115"/>
      <c r="LXB10" s="1115"/>
      <c r="LXC10" s="1115"/>
      <c r="LXD10" s="1115"/>
      <c r="LXE10" s="1115"/>
      <c r="LXF10" s="1115"/>
      <c r="LXG10" s="1115"/>
      <c r="LXH10" s="1115"/>
      <c r="LXI10" s="1115"/>
      <c r="LXJ10" s="1115"/>
      <c r="LXK10" s="1115"/>
      <c r="LXL10" s="1115"/>
      <c r="LXM10" s="1115"/>
      <c r="LXN10" s="1115"/>
      <c r="LXO10" s="1115"/>
      <c r="LXP10" s="1115"/>
      <c r="LXQ10" s="1115"/>
      <c r="LXR10" s="1115"/>
      <c r="LXS10" s="1115"/>
      <c r="LXT10" s="1115"/>
      <c r="LXU10" s="1115"/>
      <c r="LXV10" s="1115"/>
      <c r="LXW10" s="1115"/>
      <c r="LXX10" s="1115"/>
      <c r="LXY10" s="1115"/>
      <c r="LXZ10" s="1115"/>
      <c r="LYA10" s="1115"/>
      <c r="LYB10" s="1115"/>
      <c r="LYC10" s="1115"/>
      <c r="LYD10" s="1115"/>
      <c r="LYE10" s="1115"/>
      <c r="LYF10" s="1115"/>
      <c r="LYG10" s="1115"/>
      <c r="LYH10" s="1115"/>
      <c r="LYI10" s="1115"/>
      <c r="LYJ10" s="1115"/>
      <c r="LYK10" s="1115"/>
      <c r="LYL10" s="1115"/>
      <c r="LYM10" s="1115"/>
      <c r="LYN10" s="1115"/>
      <c r="LYO10" s="1115"/>
      <c r="LYP10" s="1115"/>
      <c r="LYQ10" s="1115"/>
      <c r="LYR10" s="1115"/>
      <c r="LYS10" s="1115"/>
      <c r="LYT10" s="1115"/>
      <c r="LYU10" s="1115"/>
      <c r="LYV10" s="1115"/>
      <c r="LYW10" s="1115"/>
      <c r="LYX10" s="1115"/>
      <c r="LYY10" s="1115"/>
      <c r="LYZ10" s="1115"/>
      <c r="LZA10" s="1115"/>
      <c r="LZB10" s="1115"/>
      <c r="LZC10" s="1115"/>
      <c r="LZD10" s="1115"/>
      <c r="LZE10" s="1115"/>
      <c r="LZF10" s="1115"/>
      <c r="LZG10" s="1115"/>
      <c r="LZH10" s="1115"/>
      <c r="LZI10" s="1115"/>
      <c r="LZJ10" s="1115"/>
      <c r="LZK10" s="1115"/>
      <c r="LZL10" s="1115"/>
      <c r="LZM10" s="1115"/>
      <c r="LZN10" s="1115"/>
      <c r="LZO10" s="1115"/>
      <c r="LZP10" s="1115"/>
      <c r="LZQ10" s="1115"/>
      <c r="LZR10" s="1115"/>
      <c r="LZS10" s="1115"/>
      <c r="LZT10" s="1115"/>
      <c r="LZU10" s="1115"/>
      <c r="LZV10" s="1115"/>
      <c r="LZW10" s="1115"/>
      <c r="LZX10" s="1115"/>
      <c r="LZY10" s="1115"/>
      <c r="LZZ10" s="1115"/>
      <c r="MAA10" s="1115"/>
      <c r="MAB10" s="1115"/>
      <c r="MAC10" s="1115"/>
      <c r="MAD10" s="1115"/>
      <c r="MAE10" s="1115"/>
      <c r="MAF10" s="1115"/>
      <c r="MAG10" s="1115"/>
      <c r="MAH10" s="1115"/>
      <c r="MAI10" s="1115"/>
      <c r="MAJ10" s="1115"/>
      <c r="MAK10" s="1115"/>
      <c r="MAL10" s="1115"/>
      <c r="MAM10" s="1115"/>
      <c r="MAN10" s="1115"/>
      <c r="MAO10" s="1115"/>
      <c r="MAP10" s="1115"/>
      <c r="MAQ10" s="1115"/>
      <c r="MAR10" s="1115"/>
      <c r="MAS10" s="1115"/>
      <c r="MAT10" s="1115"/>
      <c r="MAU10" s="1115"/>
      <c r="MAV10" s="1115"/>
      <c r="MAW10" s="1115"/>
      <c r="MAX10" s="1115"/>
      <c r="MAY10" s="1115"/>
      <c r="MAZ10" s="1115"/>
      <c r="MBA10" s="1115"/>
      <c r="MBB10" s="1115"/>
      <c r="MBC10" s="1115"/>
      <c r="MBD10" s="1115"/>
      <c r="MBE10" s="1115"/>
      <c r="MBF10" s="1115"/>
      <c r="MBG10" s="1115"/>
      <c r="MBH10" s="1115"/>
      <c r="MBI10" s="1115"/>
      <c r="MBJ10" s="1115"/>
      <c r="MBK10" s="1115"/>
      <c r="MBL10" s="1115"/>
      <c r="MBM10" s="1115"/>
      <c r="MBN10" s="1115"/>
      <c r="MBO10" s="1115"/>
      <c r="MBP10" s="1115"/>
      <c r="MBQ10" s="1115"/>
      <c r="MBR10" s="1115"/>
      <c r="MBS10" s="1115"/>
      <c r="MBT10" s="1115"/>
      <c r="MBU10" s="1115"/>
      <c r="MBV10" s="1115"/>
      <c r="MBW10" s="1115"/>
      <c r="MBX10" s="1115"/>
      <c r="MBY10" s="1115"/>
      <c r="MBZ10" s="1115"/>
      <c r="MCA10" s="1115"/>
      <c r="MCB10" s="1115"/>
      <c r="MCC10" s="1115"/>
      <c r="MCD10" s="1115"/>
      <c r="MCE10" s="1115"/>
      <c r="MCF10" s="1115"/>
      <c r="MCG10" s="1115"/>
      <c r="MCH10" s="1115"/>
      <c r="MCI10" s="1115"/>
      <c r="MCJ10" s="1115"/>
      <c r="MCK10" s="1115"/>
      <c r="MCL10" s="1115"/>
      <c r="MCM10" s="1115"/>
      <c r="MCN10" s="1115"/>
      <c r="MCO10" s="1115"/>
      <c r="MCP10" s="1115"/>
      <c r="MCQ10" s="1115"/>
      <c r="MCR10" s="1115"/>
      <c r="MCS10" s="1115"/>
      <c r="MCT10" s="1115"/>
      <c r="MCU10" s="1115"/>
      <c r="MCV10" s="1115"/>
      <c r="MCW10" s="1115"/>
      <c r="MCX10" s="1115"/>
      <c r="MCY10" s="1115"/>
      <c r="MCZ10" s="1115"/>
      <c r="MDA10" s="1115"/>
      <c r="MDB10" s="1115"/>
      <c r="MDC10" s="1115"/>
      <c r="MDD10" s="1115"/>
      <c r="MDE10" s="1115"/>
      <c r="MDF10" s="1115"/>
      <c r="MDG10" s="1115"/>
      <c r="MDH10" s="1115"/>
      <c r="MDI10" s="1115"/>
      <c r="MDJ10" s="1115"/>
      <c r="MDK10" s="1115"/>
      <c r="MDL10" s="1115"/>
      <c r="MDM10" s="1115"/>
      <c r="MDN10" s="1115"/>
      <c r="MDO10" s="1115"/>
      <c r="MDP10" s="1115"/>
      <c r="MDQ10" s="1115"/>
      <c r="MDR10" s="1115"/>
      <c r="MDS10" s="1115"/>
      <c r="MDT10" s="1115"/>
      <c r="MDU10" s="1115"/>
      <c r="MDV10" s="1115"/>
      <c r="MDW10" s="1115"/>
      <c r="MDX10" s="1115"/>
      <c r="MDY10" s="1115"/>
      <c r="MDZ10" s="1115"/>
      <c r="MEA10" s="1115"/>
      <c r="MEB10" s="1115"/>
      <c r="MEC10" s="1115"/>
      <c r="MED10" s="1115"/>
      <c r="MEE10" s="1115"/>
      <c r="MEF10" s="1115"/>
      <c r="MEG10" s="1115"/>
      <c r="MEH10" s="1115"/>
      <c r="MEI10" s="1115"/>
      <c r="MEJ10" s="1115"/>
      <c r="MEK10" s="1115"/>
      <c r="MEL10" s="1115"/>
      <c r="MEM10" s="1115"/>
      <c r="MEN10" s="1115"/>
      <c r="MEO10" s="1115"/>
      <c r="MEP10" s="1115"/>
      <c r="MEQ10" s="1115"/>
      <c r="MER10" s="1115"/>
      <c r="MES10" s="1115"/>
      <c r="MET10" s="1115"/>
      <c r="MEU10" s="1115"/>
      <c r="MEV10" s="1115"/>
      <c r="MEW10" s="1115"/>
      <c r="MEX10" s="1115"/>
      <c r="MEY10" s="1115"/>
      <c r="MEZ10" s="1115"/>
      <c r="MFA10" s="1115"/>
      <c r="MFB10" s="1115"/>
      <c r="MFC10" s="1115"/>
      <c r="MFD10" s="1115"/>
      <c r="MFE10" s="1115"/>
      <c r="MFF10" s="1115"/>
      <c r="MFG10" s="1115"/>
      <c r="MFH10" s="1115"/>
      <c r="MFI10" s="1115"/>
      <c r="MFJ10" s="1115"/>
      <c r="MFK10" s="1115"/>
      <c r="MFL10" s="1115"/>
      <c r="MFM10" s="1115"/>
      <c r="MFN10" s="1115"/>
      <c r="MFO10" s="1115"/>
      <c r="MFP10" s="1115"/>
      <c r="MFQ10" s="1115"/>
      <c r="MFR10" s="1115"/>
      <c r="MFS10" s="1115"/>
      <c r="MFT10" s="1115"/>
      <c r="MFU10" s="1115"/>
      <c r="MFV10" s="1115"/>
      <c r="MFW10" s="1115"/>
      <c r="MFX10" s="1115"/>
      <c r="MFY10" s="1115"/>
      <c r="MFZ10" s="1115"/>
      <c r="MGA10" s="1115"/>
      <c r="MGB10" s="1115"/>
      <c r="MGC10" s="1115"/>
      <c r="MGD10" s="1115"/>
      <c r="MGE10" s="1115"/>
      <c r="MGF10" s="1115"/>
      <c r="MGG10" s="1115"/>
      <c r="MGH10" s="1115"/>
      <c r="MGI10" s="1115"/>
      <c r="MGJ10" s="1115"/>
      <c r="MGK10" s="1115"/>
      <c r="MGL10" s="1115"/>
      <c r="MGM10" s="1115"/>
      <c r="MGN10" s="1115"/>
      <c r="MGO10" s="1115"/>
      <c r="MGP10" s="1115"/>
      <c r="MGQ10" s="1115"/>
      <c r="MGR10" s="1115"/>
      <c r="MGS10" s="1115"/>
      <c r="MGT10" s="1115"/>
      <c r="MGU10" s="1115"/>
      <c r="MGV10" s="1115"/>
      <c r="MGW10" s="1115"/>
      <c r="MGX10" s="1115"/>
      <c r="MGY10" s="1115"/>
      <c r="MGZ10" s="1115"/>
      <c r="MHA10" s="1115"/>
      <c r="MHB10" s="1115"/>
      <c r="MHC10" s="1115"/>
      <c r="MHD10" s="1115"/>
      <c r="MHE10" s="1115"/>
      <c r="MHF10" s="1115"/>
      <c r="MHG10" s="1115"/>
      <c r="MHH10" s="1115"/>
      <c r="MHI10" s="1115"/>
      <c r="MHJ10" s="1115"/>
      <c r="MHK10" s="1115"/>
      <c r="MHL10" s="1115"/>
      <c r="MHM10" s="1115"/>
      <c r="MHN10" s="1115"/>
      <c r="MHO10" s="1115"/>
      <c r="MHP10" s="1115"/>
      <c r="MHQ10" s="1115"/>
      <c r="MHR10" s="1115"/>
      <c r="MHS10" s="1115"/>
      <c r="MHT10" s="1115"/>
      <c r="MHU10" s="1115"/>
      <c r="MHV10" s="1115"/>
      <c r="MHW10" s="1115"/>
      <c r="MHX10" s="1115"/>
      <c r="MHY10" s="1115"/>
      <c r="MHZ10" s="1115"/>
      <c r="MIA10" s="1115"/>
      <c r="MIB10" s="1115"/>
      <c r="MIC10" s="1115"/>
      <c r="MID10" s="1115"/>
      <c r="MIE10" s="1115"/>
      <c r="MIF10" s="1115"/>
      <c r="MIG10" s="1115"/>
      <c r="MIH10" s="1115"/>
      <c r="MII10" s="1115"/>
      <c r="MIJ10" s="1115"/>
      <c r="MIK10" s="1115"/>
      <c r="MIL10" s="1115"/>
      <c r="MIM10" s="1115"/>
      <c r="MIN10" s="1115"/>
      <c r="MIO10" s="1115"/>
      <c r="MIP10" s="1115"/>
      <c r="MIQ10" s="1115"/>
      <c r="MIR10" s="1115"/>
      <c r="MIS10" s="1115"/>
      <c r="MIT10" s="1115"/>
      <c r="MIU10" s="1115"/>
      <c r="MIV10" s="1115"/>
      <c r="MIW10" s="1115"/>
      <c r="MIX10" s="1115"/>
      <c r="MIY10" s="1115"/>
      <c r="MIZ10" s="1115"/>
      <c r="MJA10" s="1115"/>
      <c r="MJB10" s="1115"/>
      <c r="MJC10" s="1115"/>
      <c r="MJD10" s="1115"/>
      <c r="MJE10" s="1115"/>
      <c r="MJF10" s="1115"/>
      <c r="MJG10" s="1115"/>
      <c r="MJH10" s="1115"/>
      <c r="MJI10" s="1115"/>
      <c r="MJJ10" s="1115"/>
      <c r="MJK10" s="1115"/>
      <c r="MJL10" s="1115"/>
      <c r="MJM10" s="1115"/>
      <c r="MJN10" s="1115"/>
      <c r="MJO10" s="1115"/>
      <c r="MJP10" s="1115"/>
      <c r="MJQ10" s="1115"/>
      <c r="MJR10" s="1115"/>
      <c r="MJS10" s="1115"/>
      <c r="MJT10" s="1115"/>
      <c r="MJU10" s="1115"/>
      <c r="MJV10" s="1115"/>
      <c r="MJW10" s="1115"/>
      <c r="MJX10" s="1115"/>
      <c r="MJY10" s="1115"/>
      <c r="MJZ10" s="1115"/>
      <c r="MKA10" s="1115"/>
      <c r="MKB10" s="1115"/>
      <c r="MKC10" s="1115"/>
      <c r="MKD10" s="1115"/>
      <c r="MKE10" s="1115"/>
      <c r="MKF10" s="1115"/>
      <c r="MKG10" s="1115"/>
      <c r="MKH10" s="1115"/>
      <c r="MKI10" s="1115"/>
      <c r="MKJ10" s="1115"/>
      <c r="MKK10" s="1115"/>
      <c r="MKL10" s="1115"/>
      <c r="MKM10" s="1115"/>
      <c r="MKN10" s="1115"/>
      <c r="MKO10" s="1115"/>
      <c r="MKP10" s="1115"/>
      <c r="MKQ10" s="1115"/>
      <c r="MKR10" s="1115"/>
      <c r="MKS10" s="1115"/>
      <c r="MKT10" s="1115"/>
      <c r="MKU10" s="1115"/>
      <c r="MKV10" s="1115"/>
      <c r="MKW10" s="1115"/>
      <c r="MKX10" s="1115"/>
      <c r="MKY10" s="1115"/>
      <c r="MKZ10" s="1115"/>
      <c r="MLA10" s="1115"/>
      <c r="MLB10" s="1115"/>
      <c r="MLC10" s="1115"/>
      <c r="MLD10" s="1115"/>
      <c r="MLE10" s="1115"/>
      <c r="MLF10" s="1115"/>
      <c r="MLG10" s="1115"/>
      <c r="MLH10" s="1115"/>
      <c r="MLI10" s="1115"/>
      <c r="MLJ10" s="1115"/>
      <c r="MLK10" s="1115"/>
      <c r="MLL10" s="1115"/>
      <c r="MLM10" s="1115"/>
      <c r="MLN10" s="1115"/>
      <c r="MLO10" s="1115"/>
      <c r="MLP10" s="1115"/>
      <c r="MLQ10" s="1115"/>
      <c r="MLR10" s="1115"/>
      <c r="MLS10" s="1115"/>
      <c r="MLT10" s="1115"/>
      <c r="MLU10" s="1115"/>
      <c r="MLV10" s="1115"/>
      <c r="MLW10" s="1115"/>
      <c r="MLX10" s="1115"/>
      <c r="MLY10" s="1115"/>
      <c r="MLZ10" s="1115"/>
      <c r="MMA10" s="1115"/>
      <c r="MMB10" s="1115"/>
      <c r="MMC10" s="1115"/>
      <c r="MMD10" s="1115"/>
      <c r="MME10" s="1115"/>
      <c r="MMF10" s="1115"/>
      <c r="MMG10" s="1115"/>
      <c r="MMH10" s="1115"/>
      <c r="MMI10" s="1115"/>
      <c r="MMJ10" s="1115"/>
      <c r="MMK10" s="1115"/>
      <c r="MML10" s="1115"/>
      <c r="MMM10" s="1115"/>
      <c r="MMN10" s="1115"/>
      <c r="MMO10" s="1115"/>
      <c r="MMP10" s="1115"/>
      <c r="MMQ10" s="1115"/>
      <c r="MMR10" s="1115"/>
      <c r="MMS10" s="1115"/>
      <c r="MMT10" s="1115"/>
      <c r="MMU10" s="1115"/>
      <c r="MMV10" s="1115"/>
      <c r="MMW10" s="1115"/>
      <c r="MMX10" s="1115"/>
      <c r="MMY10" s="1115"/>
      <c r="MMZ10" s="1115"/>
      <c r="MNA10" s="1115"/>
      <c r="MNB10" s="1115"/>
      <c r="MNC10" s="1115"/>
      <c r="MND10" s="1115"/>
      <c r="MNE10" s="1115"/>
      <c r="MNF10" s="1115"/>
      <c r="MNG10" s="1115"/>
      <c r="MNH10" s="1115"/>
      <c r="MNI10" s="1115"/>
      <c r="MNJ10" s="1115"/>
      <c r="MNK10" s="1115"/>
      <c r="MNL10" s="1115"/>
      <c r="MNM10" s="1115"/>
      <c r="MNN10" s="1115"/>
      <c r="MNO10" s="1115"/>
      <c r="MNP10" s="1115"/>
      <c r="MNQ10" s="1115"/>
      <c r="MNR10" s="1115"/>
      <c r="MNS10" s="1115"/>
      <c r="MNT10" s="1115"/>
      <c r="MNU10" s="1115"/>
      <c r="MNV10" s="1115"/>
      <c r="MNW10" s="1115"/>
      <c r="MNX10" s="1115"/>
      <c r="MNY10" s="1115"/>
      <c r="MNZ10" s="1115"/>
      <c r="MOA10" s="1115"/>
      <c r="MOB10" s="1115"/>
      <c r="MOC10" s="1115"/>
      <c r="MOD10" s="1115"/>
      <c r="MOE10" s="1115"/>
      <c r="MOF10" s="1115"/>
      <c r="MOG10" s="1115"/>
      <c r="MOH10" s="1115"/>
      <c r="MOI10" s="1115"/>
      <c r="MOJ10" s="1115"/>
      <c r="MOK10" s="1115"/>
      <c r="MOL10" s="1115"/>
      <c r="MOM10" s="1115"/>
      <c r="MON10" s="1115"/>
      <c r="MOO10" s="1115"/>
      <c r="MOP10" s="1115"/>
      <c r="MOQ10" s="1115"/>
      <c r="MOR10" s="1115"/>
      <c r="MOS10" s="1115"/>
      <c r="MOT10" s="1115"/>
      <c r="MOU10" s="1115"/>
      <c r="MOV10" s="1115"/>
      <c r="MOW10" s="1115"/>
      <c r="MOX10" s="1115"/>
      <c r="MOY10" s="1115"/>
      <c r="MOZ10" s="1115"/>
      <c r="MPA10" s="1115"/>
      <c r="MPB10" s="1115"/>
      <c r="MPC10" s="1115"/>
      <c r="MPD10" s="1115"/>
      <c r="MPE10" s="1115"/>
      <c r="MPF10" s="1115"/>
      <c r="MPG10" s="1115"/>
      <c r="MPH10" s="1115"/>
      <c r="MPI10" s="1115"/>
      <c r="MPJ10" s="1115"/>
      <c r="MPK10" s="1115"/>
      <c r="MPL10" s="1115"/>
      <c r="MPM10" s="1115"/>
      <c r="MPN10" s="1115"/>
      <c r="MPO10" s="1115"/>
      <c r="MPP10" s="1115"/>
      <c r="MPQ10" s="1115"/>
      <c r="MPR10" s="1115"/>
      <c r="MPS10" s="1115"/>
      <c r="MPT10" s="1115"/>
      <c r="MPU10" s="1115"/>
      <c r="MPV10" s="1115"/>
      <c r="MPW10" s="1115"/>
      <c r="MPX10" s="1115"/>
      <c r="MPY10" s="1115"/>
      <c r="MPZ10" s="1115"/>
      <c r="MQA10" s="1115"/>
      <c r="MQB10" s="1115"/>
      <c r="MQC10" s="1115"/>
      <c r="MQD10" s="1115"/>
      <c r="MQE10" s="1115"/>
      <c r="MQF10" s="1115"/>
      <c r="MQG10" s="1115"/>
      <c r="MQH10" s="1115"/>
      <c r="MQI10" s="1115"/>
      <c r="MQJ10" s="1115"/>
      <c r="MQK10" s="1115"/>
      <c r="MQL10" s="1115"/>
      <c r="MQM10" s="1115"/>
      <c r="MQN10" s="1115"/>
      <c r="MQO10" s="1115"/>
      <c r="MQP10" s="1115"/>
      <c r="MQQ10" s="1115"/>
      <c r="MQR10" s="1115"/>
      <c r="MQS10" s="1115"/>
      <c r="MQT10" s="1115"/>
      <c r="MQU10" s="1115"/>
      <c r="MQV10" s="1115"/>
      <c r="MQW10" s="1115"/>
      <c r="MQX10" s="1115"/>
      <c r="MQY10" s="1115"/>
      <c r="MQZ10" s="1115"/>
      <c r="MRA10" s="1115"/>
      <c r="MRB10" s="1115"/>
      <c r="MRC10" s="1115"/>
      <c r="MRD10" s="1115"/>
      <c r="MRE10" s="1115"/>
      <c r="MRF10" s="1115"/>
      <c r="MRG10" s="1115"/>
      <c r="MRH10" s="1115"/>
      <c r="MRI10" s="1115"/>
      <c r="MRJ10" s="1115"/>
      <c r="MRK10" s="1115"/>
      <c r="MRL10" s="1115"/>
      <c r="MRM10" s="1115"/>
      <c r="MRN10" s="1115"/>
      <c r="MRO10" s="1115"/>
      <c r="MRP10" s="1115"/>
      <c r="MRQ10" s="1115"/>
      <c r="MRR10" s="1115"/>
      <c r="MRS10" s="1115"/>
      <c r="MRT10" s="1115"/>
      <c r="MRU10" s="1115"/>
      <c r="MRV10" s="1115"/>
      <c r="MRW10" s="1115"/>
      <c r="MRX10" s="1115"/>
      <c r="MRY10" s="1115"/>
      <c r="MRZ10" s="1115"/>
      <c r="MSA10" s="1115"/>
      <c r="MSB10" s="1115"/>
      <c r="MSC10" s="1115"/>
      <c r="MSD10" s="1115"/>
      <c r="MSE10" s="1115"/>
      <c r="MSF10" s="1115"/>
      <c r="MSG10" s="1115"/>
      <c r="MSH10" s="1115"/>
      <c r="MSI10" s="1115"/>
      <c r="MSJ10" s="1115"/>
      <c r="MSK10" s="1115"/>
      <c r="MSL10" s="1115"/>
      <c r="MSM10" s="1115"/>
      <c r="MSN10" s="1115"/>
      <c r="MSO10" s="1115"/>
      <c r="MSP10" s="1115"/>
      <c r="MSQ10" s="1115"/>
      <c r="MSR10" s="1115"/>
      <c r="MSS10" s="1115"/>
      <c r="MST10" s="1115"/>
      <c r="MSU10" s="1115"/>
      <c r="MSV10" s="1115"/>
      <c r="MSW10" s="1115"/>
      <c r="MSX10" s="1115"/>
      <c r="MSY10" s="1115"/>
      <c r="MSZ10" s="1115"/>
      <c r="MTA10" s="1115"/>
      <c r="MTB10" s="1115"/>
      <c r="MTC10" s="1115"/>
      <c r="MTD10" s="1115"/>
      <c r="MTE10" s="1115"/>
      <c r="MTF10" s="1115"/>
      <c r="MTG10" s="1115"/>
      <c r="MTH10" s="1115"/>
      <c r="MTI10" s="1115"/>
      <c r="MTJ10" s="1115"/>
      <c r="MTK10" s="1115"/>
      <c r="MTL10" s="1115"/>
      <c r="MTM10" s="1115"/>
      <c r="MTN10" s="1115"/>
      <c r="MTO10" s="1115"/>
      <c r="MTP10" s="1115"/>
      <c r="MTQ10" s="1115"/>
      <c r="MTR10" s="1115"/>
      <c r="MTS10" s="1115"/>
      <c r="MTT10" s="1115"/>
      <c r="MTU10" s="1115"/>
      <c r="MTV10" s="1115"/>
      <c r="MTW10" s="1115"/>
      <c r="MTX10" s="1115"/>
      <c r="MTY10" s="1115"/>
      <c r="MTZ10" s="1115"/>
      <c r="MUA10" s="1115"/>
      <c r="MUB10" s="1115"/>
      <c r="MUC10" s="1115"/>
      <c r="MUD10" s="1115"/>
      <c r="MUE10" s="1115"/>
      <c r="MUF10" s="1115"/>
      <c r="MUG10" s="1115"/>
      <c r="MUH10" s="1115"/>
      <c r="MUI10" s="1115"/>
      <c r="MUJ10" s="1115"/>
      <c r="MUK10" s="1115"/>
      <c r="MUL10" s="1115"/>
      <c r="MUM10" s="1115"/>
      <c r="MUN10" s="1115"/>
      <c r="MUO10" s="1115"/>
      <c r="MUP10" s="1115"/>
      <c r="MUQ10" s="1115"/>
      <c r="MUR10" s="1115"/>
      <c r="MUS10" s="1115"/>
      <c r="MUT10" s="1115"/>
      <c r="MUU10" s="1115"/>
      <c r="MUV10" s="1115"/>
      <c r="MUW10" s="1115"/>
      <c r="MUX10" s="1115"/>
      <c r="MUY10" s="1115"/>
      <c r="MUZ10" s="1115"/>
      <c r="MVA10" s="1115"/>
      <c r="MVB10" s="1115"/>
      <c r="MVC10" s="1115"/>
      <c r="MVD10" s="1115"/>
      <c r="MVE10" s="1115"/>
      <c r="MVF10" s="1115"/>
      <c r="MVG10" s="1115"/>
      <c r="MVH10" s="1115"/>
      <c r="MVI10" s="1115"/>
      <c r="MVJ10" s="1115"/>
      <c r="MVK10" s="1115"/>
      <c r="MVL10" s="1115"/>
      <c r="MVM10" s="1115"/>
      <c r="MVN10" s="1115"/>
      <c r="MVO10" s="1115"/>
      <c r="MVP10" s="1115"/>
      <c r="MVQ10" s="1115"/>
      <c r="MVR10" s="1115"/>
      <c r="MVS10" s="1115"/>
      <c r="MVT10" s="1115"/>
      <c r="MVU10" s="1115"/>
      <c r="MVV10" s="1115"/>
      <c r="MVW10" s="1115"/>
      <c r="MVX10" s="1115"/>
      <c r="MVY10" s="1115"/>
      <c r="MVZ10" s="1115"/>
      <c r="MWA10" s="1115"/>
      <c r="MWB10" s="1115"/>
      <c r="MWC10" s="1115"/>
      <c r="MWD10" s="1115"/>
      <c r="MWE10" s="1115"/>
      <c r="MWF10" s="1115"/>
      <c r="MWG10" s="1115"/>
      <c r="MWH10" s="1115"/>
      <c r="MWI10" s="1115"/>
      <c r="MWJ10" s="1115"/>
      <c r="MWK10" s="1115"/>
      <c r="MWL10" s="1115"/>
      <c r="MWM10" s="1115"/>
      <c r="MWN10" s="1115"/>
      <c r="MWO10" s="1115"/>
      <c r="MWP10" s="1115"/>
      <c r="MWQ10" s="1115"/>
      <c r="MWR10" s="1115"/>
      <c r="MWS10" s="1115"/>
      <c r="MWT10" s="1115"/>
      <c r="MWU10" s="1115"/>
      <c r="MWV10" s="1115"/>
      <c r="MWW10" s="1115"/>
      <c r="MWX10" s="1115"/>
      <c r="MWY10" s="1115"/>
      <c r="MWZ10" s="1115"/>
      <c r="MXA10" s="1115"/>
      <c r="MXB10" s="1115"/>
      <c r="MXC10" s="1115"/>
      <c r="MXD10" s="1115"/>
      <c r="MXE10" s="1115"/>
      <c r="MXF10" s="1115"/>
      <c r="MXG10" s="1115"/>
      <c r="MXH10" s="1115"/>
      <c r="MXI10" s="1115"/>
      <c r="MXJ10" s="1115"/>
      <c r="MXK10" s="1115"/>
      <c r="MXL10" s="1115"/>
      <c r="MXM10" s="1115"/>
      <c r="MXN10" s="1115"/>
      <c r="MXO10" s="1115"/>
      <c r="MXP10" s="1115"/>
      <c r="MXQ10" s="1115"/>
      <c r="MXR10" s="1115"/>
      <c r="MXS10" s="1115"/>
      <c r="MXT10" s="1115"/>
      <c r="MXU10" s="1115"/>
      <c r="MXV10" s="1115"/>
      <c r="MXW10" s="1115"/>
      <c r="MXX10" s="1115"/>
      <c r="MXY10" s="1115"/>
      <c r="MXZ10" s="1115"/>
      <c r="MYA10" s="1115"/>
      <c r="MYB10" s="1115"/>
      <c r="MYC10" s="1115"/>
      <c r="MYD10" s="1115"/>
      <c r="MYE10" s="1115"/>
      <c r="MYF10" s="1115"/>
      <c r="MYG10" s="1115"/>
      <c r="MYH10" s="1115"/>
      <c r="MYI10" s="1115"/>
      <c r="MYJ10" s="1115"/>
      <c r="MYK10" s="1115"/>
      <c r="MYL10" s="1115"/>
      <c r="MYM10" s="1115"/>
      <c r="MYN10" s="1115"/>
      <c r="MYO10" s="1115"/>
      <c r="MYP10" s="1115"/>
      <c r="MYQ10" s="1115"/>
      <c r="MYR10" s="1115"/>
      <c r="MYS10" s="1115"/>
      <c r="MYT10" s="1115"/>
      <c r="MYU10" s="1115"/>
      <c r="MYV10" s="1115"/>
      <c r="MYW10" s="1115"/>
      <c r="MYX10" s="1115"/>
      <c r="MYY10" s="1115"/>
      <c r="MYZ10" s="1115"/>
      <c r="MZA10" s="1115"/>
      <c r="MZB10" s="1115"/>
      <c r="MZC10" s="1115"/>
      <c r="MZD10" s="1115"/>
      <c r="MZE10" s="1115"/>
      <c r="MZF10" s="1115"/>
      <c r="MZG10" s="1115"/>
      <c r="MZH10" s="1115"/>
      <c r="MZI10" s="1115"/>
      <c r="MZJ10" s="1115"/>
      <c r="MZK10" s="1115"/>
      <c r="MZL10" s="1115"/>
      <c r="MZM10" s="1115"/>
      <c r="MZN10" s="1115"/>
      <c r="MZO10" s="1115"/>
      <c r="MZP10" s="1115"/>
      <c r="MZQ10" s="1115"/>
      <c r="MZR10" s="1115"/>
      <c r="MZS10" s="1115"/>
      <c r="MZT10" s="1115"/>
      <c r="MZU10" s="1115"/>
      <c r="MZV10" s="1115"/>
      <c r="MZW10" s="1115"/>
      <c r="MZX10" s="1115"/>
      <c r="MZY10" s="1115"/>
      <c r="MZZ10" s="1115"/>
      <c r="NAA10" s="1115"/>
      <c r="NAB10" s="1115"/>
      <c r="NAC10" s="1115"/>
      <c r="NAD10" s="1115"/>
      <c r="NAE10" s="1115"/>
      <c r="NAF10" s="1115"/>
      <c r="NAG10" s="1115"/>
      <c r="NAH10" s="1115"/>
      <c r="NAI10" s="1115"/>
      <c r="NAJ10" s="1115"/>
      <c r="NAK10" s="1115"/>
      <c r="NAL10" s="1115"/>
      <c r="NAM10" s="1115"/>
      <c r="NAN10" s="1115"/>
      <c r="NAO10" s="1115"/>
      <c r="NAP10" s="1115"/>
      <c r="NAQ10" s="1115"/>
      <c r="NAR10" s="1115"/>
      <c r="NAS10" s="1115"/>
      <c r="NAT10" s="1115"/>
      <c r="NAU10" s="1115"/>
      <c r="NAV10" s="1115"/>
      <c r="NAW10" s="1115"/>
      <c r="NAX10" s="1115"/>
      <c r="NAY10" s="1115"/>
      <c r="NAZ10" s="1115"/>
      <c r="NBA10" s="1115"/>
      <c r="NBB10" s="1115"/>
      <c r="NBC10" s="1115"/>
      <c r="NBD10" s="1115"/>
      <c r="NBE10" s="1115"/>
      <c r="NBF10" s="1115"/>
      <c r="NBG10" s="1115"/>
      <c r="NBH10" s="1115"/>
      <c r="NBI10" s="1115"/>
      <c r="NBJ10" s="1115"/>
      <c r="NBK10" s="1115"/>
      <c r="NBL10" s="1115"/>
      <c r="NBM10" s="1115"/>
      <c r="NBN10" s="1115"/>
      <c r="NBO10" s="1115"/>
      <c r="NBP10" s="1115"/>
      <c r="NBQ10" s="1115"/>
      <c r="NBR10" s="1115"/>
      <c r="NBS10" s="1115"/>
      <c r="NBT10" s="1115"/>
      <c r="NBU10" s="1115"/>
      <c r="NBV10" s="1115"/>
      <c r="NBW10" s="1115"/>
      <c r="NBX10" s="1115"/>
      <c r="NBY10" s="1115"/>
      <c r="NBZ10" s="1115"/>
      <c r="NCA10" s="1115"/>
      <c r="NCB10" s="1115"/>
      <c r="NCC10" s="1115"/>
      <c r="NCD10" s="1115"/>
      <c r="NCE10" s="1115"/>
      <c r="NCF10" s="1115"/>
      <c r="NCG10" s="1115"/>
      <c r="NCH10" s="1115"/>
      <c r="NCI10" s="1115"/>
      <c r="NCJ10" s="1115"/>
      <c r="NCK10" s="1115"/>
      <c r="NCL10" s="1115"/>
      <c r="NCM10" s="1115"/>
      <c r="NCN10" s="1115"/>
      <c r="NCO10" s="1115"/>
      <c r="NCP10" s="1115"/>
      <c r="NCQ10" s="1115"/>
      <c r="NCR10" s="1115"/>
      <c r="NCS10" s="1115"/>
      <c r="NCT10" s="1115"/>
      <c r="NCU10" s="1115"/>
      <c r="NCV10" s="1115"/>
      <c r="NCW10" s="1115"/>
      <c r="NCX10" s="1115"/>
      <c r="NCY10" s="1115"/>
      <c r="NCZ10" s="1115"/>
      <c r="NDA10" s="1115"/>
      <c r="NDB10" s="1115"/>
      <c r="NDC10" s="1115"/>
      <c r="NDD10" s="1115"/>
      <c r="NDE10" s="1115"/>
      <c r="NDF10" s="1115"/>
      <c r="NDG10" s="1115"/>
      <c r="NDH10" s="1115"/>
      <c r="NDI10" s="1115"/>
      <c r="NDJ10" s="1115"/>
      <c r="NDK10" s="1115"/>
      <c r="NDL10" s="1115"/>
      <c r="NDM10" s="1115"/>
      <c r="NDN10" s="1115"/>
      <c r="NDO10" s="1115"/>
      <c r="NDP10" s="1115"/>
      <c r="NDQ10" s="1115"/>
      <c r="NDR10" s="1115"/>
      <c r="NDS10" s="1115"/>
      <c r="NDT10" s="1115"/>
      <c r="NDU10" s="1115"/>
      <c r="NDV10" s="1115"/>
      <c r="NDW10" s="1115"/>
      <c r="NDX10" s="1115"/>
      <c r="NDY10" s="1115"/>
      <c r="NDZ10" s="1115"/>
      <c r="NEA10" s="1115"/>
      <c r="NEB10" s="1115"/>
      <c r="NEC10" s="1115"/>
      <c r="NED10" s="1115"/>
      <c r="NEE10" s="1115"/>
      <c r="NEF10" s="1115"/>
      <c r="NEG10" s="1115"/>
      <c r="NEH10" s="1115"/>
      <c r="NEI10" s="1115"/>
      <c r="NEJ10" s="1115"/>
      <c r="NEK10" s="1115"/>
      <c r="NEL10" s="1115"/>
      <c r="NEM10" s="1115"/>
      <c r="NEN10" s="1115"/>
      <c r="NEO10" s="1115"/>
      <c r="NEP10" s="1115"/>
      <c r="NEQ10" s="1115"/>
      <c r="NER10" s="1115"/>
      <c r="NES10" s="1115"/>
      <c r="NET10" s="1115"/>
      <c r="NEU10" s="1115"/>
      <c r="NEV10" s="1115"/>
      <c r="NEW10" s="1115"/>
      <c r="NEX10" s="1115"/>
      <c r="NEY10" s="1115"/>
      <c r="NEZ10" s="1115"/>
      <c r="NFA10" s="1115"/>
      <c r="NFB10" s="1115"/>
      <c r="NFC10" s="1115"/>
      <c r="NFD10" s="1115"/>
      <c r="NFE10" s="1115"/>
      <c r="NFF10" s="1115"/>
      <c r="NFG10" s="1115"/>
      <c r="NFH10" s="1115"/>
      <c r="NFI10" s="1115"/>
      <c r="NFJ10" s="1115"/>
      <c r="NFK10" s="1115"/>
      <c r="NFL10" s="1115"/>
      <c r="NFM10" s="1115"/>
      <c r="NFN10" s="1115"/>
      <c r="NFO10" s="1115"/>
      <c r="NFP10" s="1115"/>
      <c r="NFQ10" s="1115"/>
      <c r="NFR10" s="1115"/>
      <c r="NFS10" s="1115"/>
      <c r="NFT10" s="1115"/>
      <c r="NFU10" s="1115"/>
      <c r="NFV10" s="1115"/>
      <c r="NFW10" s="1115"/>
      <c r="NFX10" s="1115"/>
      <c r="NFY10" s="1115"/>
      <c r="NFZ10" s="1115"/>
      <c r="NGA10" s="1115"/>
      <c r="NGB10" s="1115"/>
      <c r="NGC10" s="1115"/>
      <c r="NGD10" s="1115"/>
      <c r="NGE10" s="1115"/>
      <c r="NGF10" s="1115"/>
      <c r="NGG10" s="1115"/>
      <c r="NGH10" s="1115"/>
      <c r="NGI10" s="1115"/>
      <c r="NGJ10" s="1115"/>
      <c r="NGK10" s="1115"/>
      <c r="NGL10" s="1115"/>
      <c r="NGM10" s="1115"/>
      <c r="NGN10" s="1115"/>
      <c r="NGO10" s="1115"/>
      <c r="NGP10" s="1115"/>
      <c r="NGQ10" s="1115"/>
      <c r="NGR10" s="1115"/>
      <c r="NGS10" s="1115"/>
      <c r="NGT10" s="1115"/>
      <c r="NGU10" s="1115"/>
      <c r="NGV10" s="1115"/>
      <c r="NGW10" s="1115"/>
      <c r="NGX10" s="1115"/>
      <c r="NGY10" s="1115"/>
      <c r="NGZ10" s="1115"/>
      <c r="NHA10" s="1115"/>
      <c r="NHB10" s="1115"/>
      <c r="NHC10" s="1115"/>
      <c r="NHD10" s="1115"/>
      <c r="NHE10" s="1115"/>
      <c r="NHF10" s="1115"/>
      <c r="NHG10" s="1115"/>
      <c r="NHH10" s="1115"/>
      <c r="NHI10" s="1115"/>
      <c r="NHJ10" s="1115"/>
      <c r="NHK10" s="1115"/>
      <c r="NHL10" s="1115"/>
      <c r="NHM10" s="1115"/>
      <c r="NHN10" s="1115"/>
      <c r="NHO10" s="1115"/>
      <c r="NHP10" s="1115"/>
      <c r="NHQ10" s="1115"/>
      <c r="NHR10" s="1115"/>
      <c r="NHS10" s="1115"/>
      <c r="NHT10" s="1115"/>
      <c r="NHU10" s="1115"/>
      <c r="NHV10" s="1115"/>
      <c r="NHW10" s="1115"/>
      <c r="NHX10" s="1115"/>
      <c r="NHY10" s="1115"/>
      <c r="NHZ10" s="1115"/>
      <c r="NIA10" s="1115"/>
      <c r="NIB10" s="1115"/>
      <c r="NIC10" s="1115"/>
      <c r="NID10" s="1115"/>
      <c r="NIE10" s="1115"/>
      <c r="NIF10" s="1115"/>
      <c r="NIG10" s="1115"/>
      <c r="NIH10" s="1115"/>
      <c r="NII10" s="1115"/>
      <c r="NIJ10" s="1115"/>
      <c r="NIK10" s="1115"/>
      <c r="NIL10" s="1115"/>
      <c r="NIM10" s="1115"/>
      <c r="NIN10" s="1115"/>
      <c r="NIO10" s="1115"/>
      <c r="NIP10" s="1115"/>
      <c r="NIQ10" s="1115"/>
      <c r="NIR10" s="1115"/>
      <c r="NIS10" s="1115"/>
      <c r="NIT10" s="1115"/>
      <c r="NIU10" s="1115"/>
      <c r="NIV10" s="1115"/>
      <c r="NIW10" s="1115"/>
      <c r="NIX10" s="1115"/>
      <c r="NIY10" s="1115"/>
      <c r="NIZ10" s="1115"/>
      <c r="NJA10" s="1115"/>
      <c r="NJB10" s="1115"/>
      <c r="NJC10" s="1115"/>
      <c r="NJD10" s="1115"/>
      <c r="NJE10" s="1115"/>
      <c r="NJF10" s="1115"/>
      <c r="NJG10" s="1115"/>
      <c r="NJH10" s="1115"/>
      <c r="NJI10" s="1115"/>
      <c r="NJJ10" s="1115"/>
      <c r="NJK10" s="1115"/>
      <c r="NJL10" s="1115"/>
      <c r="NJM10" s="1115"/>
      <c r="NJN10" s="1115"/>
      <c r="NJO10" s="1115"/>
      <c r="NJP10" s="1115"/>
      <c r="NJQ10" s="1115"/>
      <c r="NJR10" s="1115"/>
      <c r="NJS10" s="1115"/>
      <c r="NJT10" s="1115"/>
      <c r="NJU10" s="1115"/>
      <c r="NJV10" s="1115"/>
      <c r="NJW10" s="1115"/>
      <c r="NJX10" s="1115"/>
      <c r="NJY10" s="1115"/>
      <c r="NJZ10" s="1115"/>
      <c r="NKA10" s="1115"/>
      <c r="NKB10" s="1115"/>
      <c r="NKC10" s="1115"/>
      <c r="NKD10" s="1115"/>
      <c r="NKE10" s="1115"/>
      <c r="NKF10" s="1115"/>
      <c r="NKG10" s="1115"/>
      <c r="NKH10" s="1115"/>
      <c r="NKI10" s="1115"/>
      <c r="NKJ10" s="1115"/>
      <c r="NKK10" s="1115"/>
      <c r="NKL10" s="1115"/>
      <c r="NKM10" s="1115"/>
      <c r="NKN10" s="1115"/>
      <c r="NKO10" s="1115"/>
      <c r="NKP10" s="1115"/>
      <c r="NKQ10" s="1115"/>
      <c r="NKR10" s="1115"/>
      <c r="NKS10" s="1115"/>
      <c r="NKT10" s="1115"/>
      <c r="NKU10" s="1115"/>
      <c r="NKV10" s="1115"/>
      <c r="NKW10" s="1115"/>
      <c r="NKX10" s="1115"/>
      <c r="NKY10" s="1115"/>
      <c r="NKZ10" s="1115"/>
      <c r="NLA10" s="1115"/>
      <c r="NLB10" s="1115"/>
      <c r="NLC10" s="1115"/>
      <c r="NLD10" s="1115"/>
      <c r="NLE10" s="1115"/>
      <c r="NLF10" s="1115"/>
      <c r="NLG10" s="1115"/>
      <c r="NLH10" s="1115"/>
      <c r="NLI10" s="1115"/>
      <c r="NLJ10" s="1115"/>
      <c r="NLK10" s="1115"/>
      <c r="NLL10" s="1115"/>
      <c r="NLM10" s="1115"/>
      <c r="NLN10" s="1115"/>
      <c r="NLO10" s="1115"/>
      <c r="NLP10" s="1115"/>
      <c r="NLQ10" s="1115"/>
      <c r="NLR10" s="1115"/>
      <c r="NLS10" s="1115"/>
      <c r="NLT10" s="1115"/>
      <c r="NLU10" s="1115"/>
      <c r="NLV10" s="1115"/>
      <c r="NLW10" s="1115"/>
      <c r="NLX10" s="1115"/>
      <c r="NLY10" s="1115"/>
      <c r="NLZ10" s="1115"/>
      <c r="NMA10" s="1115"/>
      <c r="NMB10" s="1115"/>
      <c r="NMC10" s="1115"/>
      <c r="NMD10" s="1115"/>
      <c r="NME10" s="1115"/>
      <c r="NMF10" s="1115"/>
      <c r="NMG10" s="1115"/>
      <c r="NMH10" s="1115"/>
      <c r="NMI10" s="1115"/>
      <c r="NMJ10" s="1115"/>
      <c r="NMK10" s="1115"/>
      <c r="NML10" s="1115"/>
      <c r="NMM10" s="1115"/>
      <c r="NMN10" s="1115"/>
      <c r="NMO10" s="1115"/>
      <c r="NMP10" s="1115"/>
      <c r="NMQ10" s="1115"/>
      <c r="NMR10" s="1115"/>
      <c r="NMS10" s="1115"/>
      <c r="NMT10" s="1115"/>
      <c r="NMU10" s="1115"/>
      <c r="NMV10" s="1115"/>
      <c r="NMW10" s="1115"/>
      <c r="NMX10" s="1115"/>
      <c r="NMY10" s="1115"/>
      <c r="NMZ10" s="1115"/>
      <c r="NNA10" s="1115"/>
      <c r="NNB10" s="1115"/>
      <c r="NNC10" s="1115"/>
      <c r="NND10" s="1115"/>
      <c r="NNE10" s="1115"/>
      <c r="NNF10" s="1115"/>
      <c r="NNG10" s="1115"/>
      <c r="NNH10" s="1115"/>
      <c r="NNI10" s="1115"/>
      <c r="NNJ10" s="1115"/>
      <c r="NNK10" s="1115"/>
      <c r="NNL10" s="1115"/>
      <c r="NNM10" s="1115"/>
      <c r="NNN10" s="1115"/>
      <c r="NNO10" s="1115"/>
      <c r="NNP10" s="1115"/>
      <c r="NNQ10" s="1115"/>
      <c r="NNR10" s="1115"/>
      <c r="NNS10" s="1115"/>
      <c r="NNT10" s="1115"/>
      <c r="NNU10" s="1115"/>
      <c r="NNV10" s="1115"/>
      <c r="NNW10" s="1115"/>
      <c r="NNX10" s="1115"/>
      <c r="NNY10" s="1115"/>
      <c r="NNZ10" s="1115"/>
      <c r="NOA10" s="1115"/>
      <c r="NOB10" s="1115"/>
      <c r="NOC10" s="1115"/>
      <c r="NOD10" s="1115"/>
      <c r="NOE10" s="1115"/>
      <c r="NOF10" s="1115"/>
      <c r="NOG10" s="1115"/>
      <c r="NOH10" s="1115"/>
      <c r="NOI10" s="1115"/>
      <c r="NOJ10" s="1115"/>
      <c r="NOK10" s="1115"/>
      <c r="NOL10" s="1115"/>
      <c r="NOM10" s="1115"/>
      <c r="NON10" s="1115"/>
      <c r="NOO10" s="1115"/>
      <c r="NOP10" s="1115"/>
      <c r="NOQ10" s="1115"/>
      <c r="NOR10" s="1115"/>
      <c r="NOS10" s="1115"/>
      <c r="NOT10" s="1115"/>
      <c r="NOU10" s="1115"/>
      <c r="NOV10" s="1115"/>
      <c r="NOW10" s="1115"/>
      <c r="NOX10" s="1115"/>
      <c r="NOY10" s="1115"/>
      <c r="NOZ10" s="1115"/>
      <c r="NPA10" s="1115"/>
      <c r="NPB10" s="1115"/>
      <c r="NPC10" s="1115"/>
      <c r="NPD10" s="1115"/>
      <c r="NPE10" s="1115"/>
      <c r="NPF10" s="1115"/>
      <c r="NPG10" s="1115"/>
      <c r="NPH10" s="1115"/>
      <c r="NPI10" s="1115"/>
      <c r="NPJ10" s="1115"/>
      <c r="NPK10" s="1115"/>
      <c r="NPL10" s="1115"/>
      <c r="NPM10" s="1115"/>
      <c r="NPN10" s="1115"/>
      <c r="NPO10" s="1115"/>
      <c r="NPP10" s="1115"/>
      <c r="NPQ10" s="1115"/>
      <c r="NPR10" s="1115"/>
      <c r="NPS10" s="1115"/>
      <c r="NPT10" s="1115"/>
      <c r="NPU10" s="1115"/>
      <c r="NPV10" s="1115"/>
      <c r="NPW10" s="1115"/>
      <c r="NPX10" s="1115"/>
      <c r="NPY10" s="1115"/>
      <c r="NPZ10" s="1115"/>
      <c r="NQA10" s="1115"/>
      <c r="NQB10" s="1115"/>
      <c r="NQC10" s="1115"/>
      <c r="NQD10" s="1115"/>
      <c r="NQE10" s="1115"/>
      <c r="NQF10" s="1115"/>
      <c r="NQG10" s="1115"/>
      <c r="NQH10" s="1115"/>
      <c r="NQI10" s="1115"/>
      <c r="NQJ10" s="1115"/>
      <c r="NQK10" s="1115"/>
      <c r="NQL10" s="1115"/>
      <c r="NQM10" s="1115"/>
      <c r="NQN10" s="1115"/>
      <c r="NQO10" s="1115"/>
      <c r="NQP10" s="1115"/>
      <c r="NQQ10" s="1115"/>
      <c r="NQR10" s="1115"/>
      <c r="NQS10" s="1115"/>
      <c r="NQT10" s="1115"/>
      <c r="NQU10" s="1115"/>
      <c r="NQV10" s="1115"/>
      <c r="NQW10" s="1115"/>
      <c r="NQX10" s="1115"/>
      <c r="NQY10" s="1115"/>
      <c r="NQZ10" s="1115"/>
      <c r="NRA10" s="1115"/>
      <c r="NRB10" s="1115"/>
      <c r="NRC10" s="1115"/>
      <c r="NRD10" s="1115"/>
      <c r="NRE10" s="1115"/>
      <c r="NRF10" s="1115"/>
      <c r="NRG10" s="1115"/>
      <c r="NRH10" s="1115"/>
      <c r="NRI10" s="1115"/>
      <c r="NRJ10" s="1115"/>
      <c r="NRK10" s="1115"/>
      <c r="NRL10" s="1115"/>
      <c r="NRM10" s="1115"/>
      <c r="NRN10" s="1115"/>
      <c r="NRO10" s="1115"/>
      <c r="NRP10" s="1115"/>
      <c r="NRQ10" s="1115"/>
      <c r="NRR10" s="1115"/>
      <c r="NRS10" s="1115"/>
      <c r="NRT10" s="1115"/>
      <c r="NRU10" s="1115"/>
      <c r="NRV10" s="1115"/>
      <c r="NRW10" s="1115"/>
      <c r="NRX10" s="1115"/>
      <c r="NRY10" s="1115"/>
      <c r="NRZ10" s="1115"/>
      <c r="NSA10" s="1115"/>
      <c r="NSB10" s="1115"/>
      <c r="NSC10" s="1115"/>
      <c r="NSD10" s="1115"/>
      <c r="NSE10" s="1115"/>
      <c r="NSF10" s="1115"/>
      <c r="NSG10" s="1115"/>
      <c r="NSH10" s="1115"/>
      <c r="NSI10" s="1115"/>
      <c r="NSJ10" s="1115"/>
      <c r="NSK10" s="1115"/>
      <c r="NSL10" s="1115"/>
      <c r="NSM10" s="1115"/>
      <c r="NSN10" s="1115"/>
      <c r="NSO10" s="1115"/>
      <c r="NSP10" s="1115"/>
      <c r="NSQ10" s="1115"/>
      <c r="NSR10" s="1115"/>
      <c r="NSS10" s="1115"/>
      <c r="NST10" s="1115"/>
      <c r="NSU10" s="1115"/>
      <c r="NSV10" s="1115"/>
      <c r="NSW10" s="1115"/>
      <c r="NSX10" s="1115"/>
      <c r="NSY10" s="1115"/>
      <c r="NSZ10" s="1115"/>
      <c r="NTA10" s="1115"/>
      <c r="NTB10" s="1115"/>
      <c r="NTC10" s="1115"/>
      <c r="NTD10" s="1115"/>
      <c r="NTE10" s="1115"/>
      <c r="NTF10" s="1115"/>
      <c r="NTG10" s="1115"/>
      <c r="NTH10" s="1115"/>
      <c r="NTI10" s="1115"/>
      <c r="NTJ10" s="1115"/>
      <c r="NTK10" s="1115"/>
      <c r="NTL10" s="1115"/>
      <c r="NTM10" s="1115"/>
      <c r="NTN10" s="1115"/>
      <c r="NTO10" s="1115"/>
      <c r="NTP10" s="1115"/>
      <c r="NTQ10" s="1115"/>
      <c r="NTR10" s="1115"/>
      <c r="NTS10" s="1115"/>
      <c r="NTT10" s="1115"/>
      <c r="NTU10" s="1115"/>
      <c r="NTV10" s="1115"/>
      <c r="NTW10" s="1115"/>
      <c r="NTX10" s="1115"/>
      <c r="NTY10" s="1115"/>
      <c r="NTZ10" s="1115"/>
      <c r="NUA10" s="1115"/>
      <c r="NUB10" s="1115"/>
      <c r="NUC10" s="1115"/>
      <c r="NUD10" s="1115"/>
      <c r="NUE10" s="1115"/>
      <c r="NUF10" s="1115"/>
      <c r="NUG10" s="1115"/>
      <c r="NUH10" s="1115"/>
      <c r="NUI10" s="1115"/>
      <c r="NUJ10" s="1115"/>
      <c r="NUK10" s="1115"/>
      <c r="NUL10" s="1115"/>
      <c r="NUM10" s="1115"/>
      <c r="NUN10" s="1115"/>
      <c r="NUO10" s="1115"/>
      <c r="NUP10" s="1115"/>
      <c r="NUQ10" s="1115"/>
      <c r="NUR10" s="1115"/>
      <c r="NUS10" s="1115"/>
      <c r="NUT10" s="1115"/>
      <c r="NUU10" s="1115"/>
      <c r="NUV10" s="1115"/>
      <c r="NUW10" s="1115"/>
      <c r="NUX10" s="1115"/>
      <c r="NUY10" s="1115"/>
      <c r="NUZ10" s="1115"/>
      <c r="NVA10" s="1115"/>
      <c r="NVB10" s="1115"/>
      <c r="NVC10" s="1115"/>
      <c r="NVD10" s="1115"/>
      <c r="NVE10" s="1115"/>
      <c r="NVF10" s="1115"/>
      <c r="NVG10" s="1115"/>
      <c r="NVH10" s="1115"/>
      <c r="NVI10" s="1115"/>
      <c r="NVJ10" s="1115"/>
      <c r="NVK10" s="1115"/>
      <c r="NVL10" s="1115"/>
      <c r="NVM10" s="1115"/>
      <c r="NVN10" s="1115"/>
      <c r="NVO10" s="1115"/>
      <c r="NVP10" s="1115"/>
      <c r="NVQ10" s="1115"/>
      <c r="NVR10" s="1115"/>
      <c r="NVS10" s="1115"/>
      <c r="NVT10" s="1115"/>
      <c r="NVU10" s="1115"/>
      <c r="NVV10" s="1115"/>
      <c r="NVW10" s="1115"/>
      <c r="NVX10" s="1115"/>
      <c r="NVY10" s="1115"/>
      <c r="NVZ10" s="1115"/>
      <c r="NWA10" s="1115"/>
      <c r="NWB10" s="1115"/>
      <c r="NWC10" s="1115"/>
      <c r="NWD10" s="1115"/>
      <c r="NWE10" s="1115"/>
      <c r="NWF10" s="1115"/>
      <c r="NWG10" s="1115"/>
      <c r="NWH10" s="1115"/>
      <c r="NWI10" s="1115"/>
      <c r="NWJ10" s="1115"/>
      <c r="NWK10" s="1115"/>
      <c r="NWL10" s="1115"/>
      <c r="NWM10" s="1115"/>
      <c r="NWN10" s="1115"/>
      <c r="NWO10" s="1115"/>
      <c r="NWP10" s="1115"/>
      <c r="NWQ10" s="1115"/>
      <c r="NWR10" s="1115"/>
      <c r="NWS10" s="1115"/>
      <c r="NWT10" s="1115"/>
      <c r="NWU10" s="1115"/>
      <c r="NWV10" s="1115"/>
      <c r="NWW10" s="1115"/>
      <c r="NWX10" s="1115"/>
      <c r="NWY10" s="1115"/>
      <c r="NWZ10" s="1115"/>
      <c r="NXA10" s="1115"/>
      <c r="NXB10" s="1115"/>
      <c r="NXC10" s="1115"/>
      <c r="NXD10" s="1115"/>
      <c r="NXE10" s="1115"/>
      <c r="NXF10" s="1115"/>
      <c r="NXG10" s="1115"/>
      <c r="NXH10" s="1115"/>
      <c r="NXI10" s="1115"/>
      <c r="NXJ10" s="1115"/>
      <c r="NXK10" s="1115"/>
      <c r="NXL10" s="1115"/>
      <c r="NXM10" s="1115"/>
      <c r="NXN10" s="1115"/>
      <c r="NXO10" s="1115"/>
      <c r="NXP10" s="1115"/>
      <c r="NXQ10" s="1115"/>
      <c r="NXR10" s="1115"/>
      <c r="NXS10" s="1115"/>
      <c r="NXT10" s="1115"/>
      <c r="NXU10" s="1115"/>
      <c r="NXV10" s="1115"/>
      <c r="NXW10" s="1115"/>
      <c r="NXX10" s="1115"/>
      <c r="NXY10" s="1115"/>
      <c r="NXZ10" s="1115"/>
      <c r="NYA10" s="1115"/>
      <c r="NYB10" s="1115"/>
      <c r="NYC10" s="1115"/>
      <c r="NYD10" s="1115"/>
      <c r="NYE10" s="1115"/>
      <c r="NYF10" s="1115"/>
      <c r="NYG10" s="1115"/>
      <c r="NYH10" s="1115"/>
      <c r="NYI10" s="1115"/>
      <c r="NYJ10" s="1115"/>
      <c r="NYK10" s="1115"/>
      <c r="NYL10" s="1115"/>
      <c r="NYM10" s="1115"/>
      <c r="NYN10" s="1115"/>
      <c r="NYO10" s="1115"/>
      <c r="NYP10" s="1115"/>
      <c r="NYQ10" s="1115"/>
      <c r="NYR10" s="1115"/>
      <c r="NYS10" s="1115"/>
      <c r="NYT10" s="1115"/>
      <c r="NYU10" s="1115"/>
      <c r="NYV10" s="1115"/>
      <c r="NYW10" s="1115"/>
      <c r="NYX10" s="1115"/>
      <c r="NYY10" s="1115"/>
      <c r="NYZ10" s="1115"/>
      <c r="NZA10" s="1115"/>
      <c r="NZB10" s="1115"/>
      <c r="NZC10" s="1115"/>
      <c r="NZD10" s="1115"/>
      <c r="NZE10" s="1115"/>
      <c r="NZF10" s="1115"/>
      <c r="NZG10" s="1115"/>
      <c r="NZH10" s="1115"/>
      <c r="NZI10" s="1115"/>
      <c r="NZJ10" s="1115"/>
      <c r="NZK10" s="1115"/>
      <c r="NZL10" s="1115"/>
      <c r="NZM10" s="1115"/>
      <c r="NZN10" s="1115"/>
      <c r="NZO10" s="1115"/>
      <c r="NZP10" s="1115"/>
      <c r="NZQ10" s="1115"/>
      <c r="NZR10" s="1115"/>
      <c r="NZS10" s="1115"/>
      <c r="NZT10" s="1115"/>
      <c r="NZU10" s="1115"/>
      <c r="NZV10" s="1115"/>
      <c r="NZW10" s="1115"/>
      <c r="NZX10" s="1115"/>
      <c r="NZY10" s="1115"/>
      <c r="NZZ10" s="1115"/>
      <c r="OAA10" s="1115"/>
      <c r="OAB10" s="1115"/>
      <c r="OAC10" s="1115"/>
      <c r="OAD10" s="1115"/>
      <c r="OAE10" s="1115"/>
      <c r="OAF10" s="1115"/>
      <c r="OAG10" s="1115"/>
      <c r="OAH10" s="1115"/>
      <c r="OAI10" s="1115"/>
      <c r="OAJ10" s="1115"/>
      <c r="OAK10" s="1115"/>
      <c r="OAL10" s="1115"/>
      <c r="OAM10" s="1115"/>
      <c r="OAN10" s="1115"/>
      <c r="OAO10" s="1115"/>
      <c r="OAP10" s="1115"/>
      <c r="OAQ10" s="1115"/>
      <c r="OAR10" s="1115"/>
      <c r="OAS10" s="1115"/>
      <c r="OAT10" s="1115"/>
      <c r="OAU10" s="1115"/>
      <c r="OAV10" s="1115"/>
      <c r="OAW10" s="1115"/>
      <c r="OAX10" s="1115"/>
      <c r="OAY10" s="1115"/>
      <c r="OAZ10" s="1115"/>
      <c r="OBA10" s="1115"/>
      <c r="OBB10" s="1115"/>
      <c r="OBC10" s="1115"/>
      <c r="OBD10" s="1115"/>
      <c r="OBE10" s="1115"/>
      <c r="OBF10" s="1115"/>
      <c r="OBG10" s="1115"/>
      <c r="OBH10" s="1115"/>
      <c r="OBI10" s="1115"/>
      <c r="OBJ10" s="1115"/>
      <c r="OBK10" s="1115"/>
      <c r="OBL10" s="1115"/>
      <c r="OBM10" s="1115"/>
      <c r="OBN10" s="1115"/>
      <c r="OBO10" s="1115"/>
      <c r="OBP10" s="1115"/>
      <c r="OBQ10" s="1115"/>
      <c r="OBR10" s="1115"/>
      <c r="OBS10" s="1115"/>
      <c r="OBT10" s="1115"/>
      <c r="OBU10" s="1115"/>
      <c r="OBV10" s="1115"/>
      <c r="OBW10" s="1115"/>
      <c r="OBX10" s="1115"/>
      <c r="OBY10" s="1115"/>
      <c r="OBZ10" s="1115"/>
      <c r="OCA10" s="1115"/>
      <c r="OCB10" s="1115"/>
      <c r="OCC10" s="1115"/>
      <c r="OCD10" s="1115"/>
      <c r="OCE10" s="1115"/>
      <c r="OCF10" s="1115"/>
      <c r="OCG10" s="1115"/>
      <c r="OCH10" s="1115"/>
      <c r="OCI10" s="1115"/>
      <c r="OCJ10" s="1115"/>
      <c r="OCK10" s="1115"/>
      <c r="OCL10" s="1115"/>
      <c r="OCM10" s="1115"/>
      <c r="OCN10" s="1115"/>
      <c r="OCO10" s="1115"/>
      <c r="OCP10" s="1115"/>
      <c r="OCQ10" s="1115"/>
      <c r="OCR10" s="1115"/>
      <c r="OCS10" s="1115"/>
      <c r="OCT10" s="1115"/>
      <c r="OCU10" s="1115"/>
      <c r="OCV10" s="1115"/>
      <c r="OCW10" s="1115"/>
      <c r="OCX10" s="1115"/>
      <c r="OCY10" s="1115"/>
      <c r="OCZ10" s="1115"/>
      <c r="ODA10" s="1115"/>
      <c r="ODB10" s="1115"/>
      <c r="ODC10" s="1115"/>
      <c r="ODD10" s="1115"/>
      <c r="ODE10" s="1115"/>
      <c r="ODF10" s="1115"/>
      <c r="ODG10" s="1115"/>
      <c r="ODH10" s="1115"/>
      <c r="ODI10" s="1115"/>
      <c r="ODJ10" s="1115"/>
      <c r="ODK10" s="1115"/>
      <c r="ODL10" s="1115"/>
      <c r="ODM10" s="1115"/>
      <c r="ODN10" s="1115"/>
      <c r="ODO10" s="1115"/>
      <c r="ODP10" s="1115"/>
      <c r="ODQ10" s="1115"/>
      <c r="ODR10" s="1115"/>
      <c r="ODS10" s="1115"/>
      <c r="ODT10" s="1115"/>
      <c r="ODU10" s="1115"/>
      <c r="ODV10" s="1115"/>
      <c r="ODW10" s="1115"/>
      <c r="ODX10" s="1115"/>
      <c r="ODY10" s="1115"/>
      <c r="ODZ10" s="1115"/>
      <c r="OEA10" s="1115"/>
      <c r="OEB10" s="1115"/>
      <c r="OEC10" s="1115"/>
      <c r="OED10" s="1115"/>
      <c r="OEE10" s="1115"/>
      <c r="OEF10" s="1115"/>
      <c r="OEG10" s="1115"/>
      <c r="OEH10" s="1115"/>
      <c r="OEI10" s="1115"/>
      <c r="OEJ10" s="1115"/>
      <c r="OEK10" s="1115"/>
      <c r="OEL10" s="1115"/>
      <c r="OEM10" s="1115"/>
      <c r="OEN10" s="1115"/>
      <c r="OEO10" s="1115"/>
      <c r="OEP10" s="1115"/>
      <c r="OEQ10" s="1115"/>
      <c r="OER10" s="1115"/>
      <c r="OES10" s="1115"/>
      <c r="OET10" s="1115"/>
      <c r="OEU10" s="1115"/>
      <c r="OEV10" s="1115"/>
      <c r="OEW10" s="1115"/>
      <c r="OEX10" s="1115"/>
      <c r="OEY10" s="1115"/>
      <c r="OEZ10" s="1115"/>
      <c r="OFA10" s="1115"/>
      <c r="OFB10" s="1115"/>
      <c r="OFC10" s="1115"/>
      <c r="OFD10" s="1115"/>
      <c r="OFE10" s="1115"/>
      <c r="OFF10" s="1115"/>
      <c r="OFG10" s="1115"/>
      <c r="OFH10" s="1115"/>
      <c r="OFI10" s="1115"/>
      <c r="OFJ10" s="1115"/>
      <c r="OFK10" s="1115"/>
      <c r="OFL10" s="1115"/>
      <c r="OFM10" s="1115"/>
      <c r="OFN10" s="1115"/>
      <c r="OFO10" s="1115"/>
      <c r="OFP10" s="1115"/>
      <c r="OFQ10" s="1115"/>
      <c r="OFR10" s="1115"/>
      <c r="OFS10" s="1115"/>
      <c r="OFT10" s="1115"/>
      <c r="OFU10" s="1115"/>
      <c r="OFV10" s="1115"/>
      <c r="OFW10" s="1115"/>
      <c r="OFX10" s="1115"/>
      <c r="OFY10" s="1115"/>
      <c r="OFZ10" s="1115"/>
      <c r="OGA10" s="1115"/>
      <c r="OGB10" s="1115"/>
      <c r="OGC10" s="1115"/>
      <c r="OGD10" s="1115"/>
      <c r="OGE10" s="1115"/>
      <c r="OGF10" s="1115"/>
      <c r="OGG10" s="1115"/>
      <c r="OGH10" s="1115"/>
      <c r="OGI10" s="1115"/>
      <c r="OGJ10" s="1115"/>
      <c r="OGK10" s="1115"/>
      <c r="OGL10" s="1115"/>
      <c r="OGM10" s="1115"/>
      <c r="OGN10" s="1115"/>
      <c r="OGO10" s="1115"/>
      <c r="OGP10" s="1115"/>
      <c r="OGQ10" s="1115"/>
      <c r="OGR10" s="1115"/>
      <c r="OGS10" s="1115"/>
      <c r="OGT10" s="1115"/>
      <c r="OGU10" s="1115"/>
      <c r="OGV10" s="1115"/>
      <c r="OGW10" s="1115"/>
      <c r="OGX10" s="1115"/>
      <c r="OGY10" s="1115"/>
      <c r="OGZ10" s="1115"/>
      <c r="OHA10" s="1115"/>
      <c r="OHB10" s="1115"/>
      <c r="OHC10" s="1115"/>
      <c r="OHD10" s="1115"/>
      <c r="OHE10" s="1115"/>
      <c r="OHF10" s="1115"/>
      <c r="OHG10" s="1115"/>
      <c r="OHH10" s="1115"/>
      <c r="OHI10" s="1115"/>
      <c r="OHJ10" s="1115"/>
      <c r="OHK10" s="1115"/>
      <c r="OHL10" s="1115"/>
      <c r="OHM10" s="1115"/>
      <c r="OHN10" s="1115"/>
      <c r="OHO10" s="1115"/>
      <c r="OHP10" s="1115"/>
      <c r="OHQ10" s="1115"/>
      <c r="OHR10" s="1115"/>
      <c r="OHS10" s="1115"/>
      <c r="OHT10" s="1115"/>
      <c r="OHU10" s="1115"/>
      <c r="OHV10" s="1115"/>
      <c r="OHW10" s="1115"/>
      <c r="OHX10" s="1115"/>
      <c r="OHY10" s="1115"/>
      <c r="OHZ10" s="1115"/>
      <c r="OIA10" s="1115"/>
      <c r="OIB10" s="1115"/>
      <c r="OIC10" s="1115"/>
      <c r="OID10" s="1115"/>
      <c r="OIE10" s="1115"/>
      <c r="OIF10" s="1115"/>
      <c r="OIG10" s="1115"/>
      <c r="OIH10" s="1115"/>
      <c r="OII10" s="1115"/>
      <c r="OIJ10" s="1115"/>
      <c r="OIK10" s="1115"/>
      <c r="OIL10" s="1115"/>
      <c r="OIM10" s="1115"/>
      <c r="OIN10" s="1115"/>
      <c r="OIO10" s="1115"/>
      <c r="OIP10" s="1115"/>
      <c r="OIQ10" s="1115"/>
      <c r="OIR10" s="1115"/>
      <c r="OIS10" s="1115"/>
      <c r="OIT10" s="1115"/>
      <c r="OIU10" s="1115"/>
      <c r="OIV10" s="1115"/>
      <c r="OIW10" s="1115"/>
      <c r="OIX10" s="1115"/>
      <c r="OIY10" s="1115"/>
      <c r="OIZ10" s="1115"/>
      <c r="OJA10" s="1115"/>
      <c r="OJB10" s="1115"/>
      <c r="OJC10" s="1115"/>
      <c r="OJD10" s="1115"/>
      <c r="OJE10" s="1115"/>
      <c r="OJF10" s="1115"/>
      <c r="OJG10" s="1115"/>
      <c r="OJH10" s="1115"/>
      <c r="OJI10" s="1115"/>
      <c r="OJJ10" s="1115"/>
      <c r="OJK10" s="1115"/>
      <c r="OJL10" s="1115"/>
      <c r="OJM10" s="1115"/>
      <c r="OJN10" s="1115"/>
      <c r="OJO10" s="1115"/>
      <c r="OJP10" s="1115"/>
      <c r="OJQ10" s="1115"/>
      <c r="OJR10" s="1115"/>
      <c r="OJS10" s="1115"/>
      <c r="OJT10" s="1115"/>
      <c r="OJU10" s="1115"/>
      <c r="OJV10" s="1115"/>
      <c r="OJW10" s="1115"/>
      <c r="OJX10" s="1115"/>
      <c r="OJY10" s="1115"/>
      <c r="OJZ10" s="1115"/>
      <c r="OKA10" s="1115"/>
      <c r="OKB10" s="1115"/>
      <c r="OKC10" s="1115"/>
      <c r="OKD10" s="1115"/>
      <c r="OKE10" s="1115"/>
      <c r="OKF10" s="1115"/>
      <c r="OKG10" s="1115"/>
      <c r="OKH10" s="1115"/>
      <c r="OKI10" s="1115"/>
      <c r="OKJ10" s="1115"/>
      <c r="OKK10" s="1115"/>
      <c r="OKL10" s="1115"/>
      <c r="OKM10" s="1115"/>
      <c r="OKN10" s="1115"/>
      <c r="OKO10" s="1115"/>
      <c r="OKP10" s="1115"/>
      <c r="OKQ10" s="1115"/>
      <c r="OKR10" s="1115"/>
      <c r="OKS10" s="1115"/>
      <c r="OKT10" s="1115"/>
      <c r="OKU10" s="1115"/>
      <c r="OKV10" s="1115"/>
      <c r="OKW10" s="1115"/>
      <c r="OKX10" s="1115"/>
      <c r="OKY10" s="1115"/>
      <c r="OKZ10" s="1115"/>
      <c r="OLA10" s="1115"/>
      <c r="OLB10" s="1115"/>
      <c r="OLC10" s="1115"/>
      <c r="OLD10" s="1115"/>
      <c r="OLE10" s="1115"/>
      <c r="OLF10" s="1115"/>
      <c r="OLG10" s="1115"/>
      <c r="OLH10" s="1115"/>
      <c r="OLI10" s="1115"/>
      <c r="OLJ10" s="1115"/>
      <c r="OLK10" s="1115"/>
      <c r="OLL10" s="1115"/>
      <c r="OLM10" s="1115"/>
      <c r="OLN10" s="1115"/>
      <c r="OLO10" s="1115"/>
      <c r="OLP10" s="1115"/>
      <c r="OLQ10" s="1115"/>
      <c r="OLR10" s="1115"/>
      <c r="OLS10" s="1115"/>
      <c r="OLT10" s="1115"/>
      <c r="OLU10" s="1115"/>
      <c r="OLV10" s="1115"/>
      <c r="OLW10" s="1115"/>
      <c r="OLX10" s="1115"/>
      <c r="OLY10" s="1115"/>
      <c r="OLZ10" s="1115"/>
      <c r="OMA10" s="1115"/>
      <c r="OMB10" s="1115"/>
      <c r="OMC10" s="1115"/>
      <c r="OMD10" s="1115"/>
      <c r="OME10" s="1115"/>
      <c r="OMF10" s="1115"/>
      <c r="OMG10" s="1115"/>
      <c r="OMH10" s="1115"/>
      <c r="OMI10" s="1115"/>
      <c r="OMJ10" s="1115"/>
      <c r="OMK10" s="1115"/>
      <c r="OML10" s="1115"/>
      <c r="OMM10" s="1115"/>
      <c r="OMN10" s="1115"/>
      <c r="OMO10" s="1115"/>
      <c r="OMP10" s="1115"/>
      <c r="OMQ10" s="1115"/>
      <c r="OMR10" s="1115"/>
      <c r="OMS10" s="1115"/>
      <c r="OMT10" s="1115"/>
      <c r="OMU10" s="1115"/>
      <c r="OMV10" s="1115"/>
      <c r="OMW10" s="1115"/>
      <c r="OMX10" s="1115"/>
      <c r="OMY10" s="1115"/>
      <c r="OMZ10" s="1115"/>
      <c r="ONA10" s="1115"/>
      <c r="ONB10" s="1115"/>
      <c r="ONC10" s="1115"/>
      <c r="OND10" s="1115"/>
      <c r="ONE10" s="1115"/>
      <c r="ONF10" s="1115"/>
      <c r="ONG10" s="1115"/>
      <c r="ONH10" s="1115"/>
      <c r="ONI10" s="1115"/>
      <c r="ONJ10" s="1115"/>
      <c r="ONK10" s="1115"/>
      <c r="ONL10" s="1115"/>
      <c r="ONM10" s="1115"/>
      <c r="ONN10" s="1115"/>
      <c r="ONO10" s="1115"/>
      <c r="ONP10" s="1115"/>
      <c r="ONQ10" s="1115"/>
      <c r="ONR10" s="1115"/>
      <c r="ONS10" s="1115"/>
      <c r="ONT10" s="1115"/>
      <c r="ONU10" s="1115"/>
      <c r="ONV10" s="1115"/>
      <c r="ONW10" s="1115"/>
      <c r="ONX10" s="1115"/>
      <c r="ONY10" s="1115"/>
      <c r="ONZ10" s="1115"/>
      <c r="OOA10" s="1115"/>
      <c r="OOB10" s="1115"/>
      <c r="OOC10" s="1115"/>
      <c r="OOD10" s="1115"/>
      <c r="OOE10" s="1115"/>
      <c r="OOF10" s="1115"/>
      <c r="OOG10" s="1115"/>
      <c r="OOH10" s="1115"/>
      <c r="OOI10" s="1115"/>
      <c r="OOJ10" s="1115"/>
      <c r="OOK10" s="1115"/>
      <c r="OOL10" s="1115"/>
      <c r="OOM10" s="1115"/>
      <c r="OON10" s="1115"/>
      <c r="OOO10" s="1115"/>
      <c r="OOP10" s="1115"/>
      <c r="OOQ10" s="1115"/>
      <c r="OOR10" s="1115"/>
      <c r="OOS10" s="1115"/>
      <c r="OOT10" s="1115"/>
      <c r="OOU10" s="1115"/>
      <c r="OOV10" s="1115"/>
      <c r="OOW10" s="1115"/>
      <c r="OOX10" s="1115"/>
      <c r="OOY10" s="1115"/>
      <c r="OOZ10" s="1115"/>
      <c r="OPA10" s="1115"/>
      <c r="OPB10" s="1115"/>
      <c r="OPC10" s="1115"/>
      <c r="OPD10" s="1115"/>
      <c r="OPE10" s="1115"/>
      <c r="OPF10" s="1115"/>
      <c r="OPG10" s="1115"/>
      <c r="OPH10" s="1115"/>
      <c r="OPI10" s="1115"/>
      <c r="OPJ10" s="1115"/>
      <c r="OPK10" s="1115"/>
      <c r="OPL10" s="1115"/>
      <c r="OPM10" s="1115"/>
      <c r="OPN10" s="1115"/>
      <c r="OPO10" s="1115"/>
      <c r="OPP10" s="1115"/>
      <c r="OPQ10" s="1115"/>
      <c r="OPR10" s="1115"/>
      <c r="OPS10" s="1115"/>
      <c r="OPT10" s="1115"/>
      <c r="OPU10" s="1115"/>
      <c r="OPV10" s="1115"/>
      <c r="OPW10" s="1115"/>
      <c r="OPX10" s="1115"/>
      <c r="OPY10" s="1115"/>
      <c r="OPZ10" s="1115"/>
      <c r="OQA10" s="1115"/>
      <c r="OQB10" s="1115"/>
      <c r="OQC10" s="1115"/>
      <c r="OQD10" s="1115"/>
      <c r="OQE10" s="1115"/>
      <c r="OQF10" s="1115"/>
      <c r="OQG10" s="1115"/>
      <c r="OQH10" s="1115"/>
      <c r="OQI10" s="1115"/>
      <c r="OQJ10" s="1115"/>
      <c r="OQK10" s="1115"/>
      <c r="OQL10" s="1115"/>
      <c r="OQM10" s="1115"/>
      <c r="OQN10" s="1115"/>
      <c r="OQO10" s="1115"/>
      <c r="OQP10" s="1115"/>
      <c r="OQQ10" s="1115"/>
      <c r="OQR10" s="1115"/>
      <c r="OQS10" s="1115"/>
      <c r="OQT10" s="1115"/>
      <c r="OQU10" s="1115"/>
      <c r="OQV10" s="1115"/>
      <c r="OQW10" s="1115"/>
      <c r="OQX10" s="1115"/>
      <c r="OQY10" s="1115"/>
      <c r="OQZ10" s="1115"/>
      <c r="ORA10" s="1115"/>
      <c r="ORB10" s="1115"/>
      <c r="ORC10" s="1115"/>
      <c r="ORD10" s="1115"/>
      <c r="ORE10" s="1115"/>
      <c r="ORF10" s="1115"/>
      <c r="ORG10" s="1115"/>
      <c r="ORH10" s="1115"/>
      <c r="ORI10" s="1115"/>
      <c r="ORJ10" s="1115"/>
      <c r="ORK10" s="1115"/>
      <c r="ORL10" s="1115"/>
      <c r="ORM10" s="1115"/>
      <c r="ORN10" s="1115"/>
      <c r="ORO10" s="1115"/>
      <c r="ORP10" s="1115"/>
      <c r="ORQ10" s="1115"/>
      <c r="ORR10" s="1115"/>
      <c r="ORS10" s="1115"/>
      <c r="ORT10" s="1115"/>
      <c r="ORU10" s="1115"/>
      <c r="ORV10" s="1115"/>
      <c r="ORW10" s="1115"/>
      <c r="ORX10" s="1115"/>
      <c r="ORY10" s="1115"/>
      <c r="ORZ10" s="1115"/>
      <c r="OSA10" s="1115"/>
      <c r="OSB10" s="1115"/>
      <c r="OSC10" s="1115"/>
      <c r="OSD10" s="1115"/>
      <c r="OSE10" s="1115"/>
      <c r="OSF10" s="1115"/>
      <c r="OSG10" s="1115"/>
      <c r="OSH10" s="1115"/>
      <c r="OSI10" s="1115"/>
      <c r="OSJ10" s="1115"/>
      <c r="OSK10" s="1115"/>
      <c r="OSL10" s="1115"/>
      <c r="OSM10" s="1115"/>
      <c r="OSN10" s="1115"/>
      <c r="OSO10" s="1115"/>
      <c r="OSP10" s="1115"/>
      <c r="OSQ10" s="1115"/>
      <c r="OSR10" s="1115"/>
      <c r="OSS10" s="1115"/>
      <c r="OST10" s="1115"/>
      <c r="OSU10" s="1115"/>
      <c r="OSV10" s="1115"/>
      <c r="OSW10" s="1115"/>
      <c r="OSX10" s="1115"/>
      <c r="OSY10" s="1115"/>
      <c r="OSZ10" s="1115"/>
      <c r="OTA10" s="1115"/>
      <c r="OTB10" s="1115"/>
      <c r="OTC10" s="1115"/>
      <c r="OTD10" s="1115"/>
      <c r="OTE10" s="1115"/>
      <c r="OTF10" s="1115"/>
      <c r="OTG10" s="1115"/>
      <c r="OTH10" s="1115"/>
      <c r="OTI10" s="1115"/>
      <c r="OTJ10" s="1115"/>
      <c r="OTK10" s="1115"/>
      <c r="OTL10" s="1115"/>
      <c r="OTM10" s="1115"/>
      <c r="OTN10" s="1115"/>
      <c r="OTO10" s="1115"/>
      <c r="OTP10" s="1115"/>
      <c r="OTQ10" s="1115"/>
      <c r="OTR10" s="1115"/>
      <c r="OTS10" s="1115"/>
      <c r="OTT10" s="1115"/>
      <c r="OTU10" s="1115"/>
      <c r="OTV10" s="1115"/>
      <c r="OTW10" s="1115"/>
      <c r="OTX10" s="1115"/>
      <c r="OTY10" s="1115"/>
      <c r="OTZ10" s="1115"/>
      <c r="OUA10" s="1115"/>
      <c r="OUB10" s="1115"/>
      <c r="OUC10" s="1115"/>
      <c r="OUD10" s="1115"/>
      <c r="OUE10" s="1115"/>
      <c r="OUF10" s="1115"/>
      <c r="OUG10" s="1115"/>
      <c r="OUH10" s="1115"/>
      <c r="OUI10" s="1115"/>
      <c r="OUJ10" s="1115"/>
      <c r="OUK10" s="1115"/>
      <c r="OUL10" s="1115"/>
      <c r="OUM10" s="1115"/>
      <c r="OUN10" s="1115"/>
      <c r="OUO10" s="1115"/>
      <c r="OUP10" s="1115"/>
      <c r="OUQ10" s="1115"/>
      <c r="OUR10" s="1115"/>
      <c r="OUS10" s="1115"/>
      <c r="OUT10" s="1115"/>
      <c r="OUU10" s="1115"/>
      <c r="OUV10" s="1115"/>
      <c r="OUW10" s="1115"/>
      <c r="OUX10" s="1115"/>
      <c r="OUY10" s="1115"/>
      <c r="OUZ10" s="1115"/>
      <c r="OVA10" s="1115"/>
      <c r="OVB10" s="1115"/>
      <c r="OVC10" s="1115"/>
      <c r="OVD10" s="1115"/>
      <c r="OVE10" s="1115"/>
      <c r="OVF10" s="1115"/>
      <c r="OVG10" s="1115"/>
      <c r="OVH10" s="1115"/>
      <c r="OVI10" s="1115"/>
      <c r="OVJ10" s="1115"/>
      <c r="OVK10" s="1115"/>
      <c r="OVL10" s="1115"/>
      <c r="OVM10" s="1115"/>
      <c r="OVN10" s="1115"/>
      <c r="OVO10" s="1115"/>
      <c r="OVP10" s="1115"/>
      <c r="OVQ10" s="1115"/>
      <c r="OVR10" s="1115"/>
      <c r="OVS10" s="1115"/>
      <c r="OVT10" s="1115"/>
      <c r="OVU10" s="1115"/>
      <c r="OVV10" s="1115"/>
      <c r="OVW10" s="1115"/>
      <c r="OVX10" s="1115"/>
      <c r="OVY10" s="1115"/>
      <c r="OVZ10" s="1115"/>
      <c r="OWA10" s="1115"/>
      <c r="OWB10" s="1115"/>
      <c r="OWC10" s="1115"/>
      <c r="OWD10" s="1115"/>
      <c r="OWE10" s="1115"/>
      <c r="OWF10" s="1115"/>
      <c r="OWG10" s="1115"/>
      <c r="OWH10" s="1115"/>
      <c r="OWI10" s="1115"/>
      <c r="OWJ10" s="1115"/>
      <c r="OWK10" s="1115"/>
      <c r="OWL10" s="1115"/>
      <c r="OWM10" s="1115"/>
      <c r="OWN10" s="1115"/>
      <c r="OWO10" s="1115"/>
      <c r="OWP10" s="1115"/>
      <c r="OWQ10" s="1115"/>
      <c r="OWR10" s="1115"/>
      <c r="OWS10" s="1115"/>
      <c r="OWT10" s="1115"/>
      <c r="OWU10" s="1115"/>
      <c r="OWV10" s="1115"/>
      <c r="OWW10" s="1115"/>
      <c r="OWX10" s="1115"/>
      <c r="OWY10" s="1115"/>
      <c r="OWZ10" s="1115"/>
      <c r="OXA10" s="1115"/>
      <c r="OXB10" s="1115"/>
      <c r="OXC10" s="1115"/>
      <c r="OXD10" s="1115"/>
      <c r="OXE10" s="1115"/>
      <c r="OXF10" s="1115"/>
      <c r="OXG10" s="1115"/>
      <c r="OXH10" s="1115"/>
      <c r="OXI10" s="1115"/>
      <c r="OXJ10" s="1115"/>
      <c r="OXK10" s="1115"/>
      <c r="OXL10" s="1115"/>
      <c r="OXM10" s="1115"/>
      <c r="OXN10" s="1115"/>
      <c r="OXO10" s="1115"/>
      <c r="OXP10" s="1115"/>
      <c r="OXQ10" s="1115"/>
      <c r="OXR10" s="1115"/>
      <c r="OXS10" s="1115"/>
      <c r="OXT10" s="1115"/>
      <c r="OXU10" s="1115"/>
      <c r="OXV10" s="1115"/>
      <c r="OXW10" s="1115"/>
      <c r="OXX10" s="1115"/>
      <c r="OXY10" s="1115"/>
      <c r="OXZ10" s="1115"/>
      <c r="OYA10" s="1115"/>
      <c r="OYB10" s="1115"/>
      <c r="OYC10" s="1115"/>
      <c r="OYD10" s="1115"/>
      <c r="OYE10" s="1115"/>
      <c r="OYF10" s="1115"/>
      <c r="OYG10" s="1115"/>
      <c r="OYH10" s="1115"/>
      <c r="OYI10" s="1115"/>
      <c r="OYJ10" s="1115"/>
      <c r="OYK10" s="1115"/>
      <c r="OYL10" s="1115"/>
      <c r="OYM10" s="1115"/>
      <c r="OYN10" s="1115"/>
      <c r="OYO10" s="1115"/>
      <c r="OYP10" s="1115"/>
      <c r="OYQ10" s="1115"/>
      <c r="OYR10" s="1115"/>
      <c r="OYS10" s="1115"/>
      <c r="OYT10" s="1115"/>
      <c r="OYU10" s="1115"/>
      <c r="OYV10" s="1115"/>
      <c r="OYW10" s="1115"/>
      <c r="OYX10" s="1115"/>
      <c r="OYY10" s="1115"/>
      <c r="OYZ10" s="1115"/>
      <c r="OZA10" s="1115"/>
      <c r="OZB10" s="1115"/>
      <c r="OZC10" s="1115"/>
      <c r="OZD10" s="1115"/>
      <c r="OZE10" s="1115"/>
      <c r="OZF10" s="1115"/>
      <c r="OZG10" s="1115"/>
      <c r="OZH10" s="1115"/>
      <c r="OZI10" s="1115"/>
      <c r="OZJ10" s="1115"/>
      <c r="OZK10" s="1115"/>
      <c r="OZL10" s="1115"/>
      <c r="OZM10" s="1115"/>
      <c r="OZN10" s="1115"/>
      <c r="OZO10" s="1115"/>
      <c r="OZP10" s="1115"/>
      <c r="OZQ10" s="1115"/>
      <c r="OZR10" s="1115"/>
      <c r="OZS10" s="1115"/>
      <c r="OZT10" s="1115"/>
      <c r="OZU10" s="1115"/>
      <c r="OZV10" s="1115"/>
      <c r="OZW10" s="1115"/>
      <c r="OZX10" s="1115"/>
      <c r="OZY10" s="1115"/>
      <c r="OZZ10" s="1115"/>
      <c r="PAA10" s="1115"/>
      <c r="PAB10" s="1115"/>
      <c r="PAC10" s="1115"/>
      <c r="PAD10" s="1115"/>
      <c r="PAE10" s="1115"/>
      <c r="PAF10" s="1115"/>
      <c r="PAG10" s="1115"/>
      <c r="PAH10" s="1115"/>
      <c r="PAI10" s="1115"/>
      <c r="PAJ10" s="1115"/>
      <c r="PAK10" s="1115"/>
      <c r="PAL10" s="1115"/>
      <c r="PAM10" s="1115"/>
      <c r="PAN10" s="1115"/>
      <c r="PAO10" s="1115"/>
      <c r="PAP10" s="1115"/>
      <c r="PAQ10" s="1115"/>
      <c r="PAR10" s="1115"/>
      <c r="PAS10" s="1115"/>
      <c r="PAT10" s="1115"/>
      <c r="PAU10" s="1115"/>
      <c r="PAV10" s="1115"/>
      <c r="PAW10" s="1115"/>
      <c r="PAX10" s="1115"/>
      <c r="PAY10" s="1115"/>
      <c r="PAZ10" s="1115"/>
      <c r="PBA10" s="1115"/>
      <c r="PBB10" s="1115"/>
      <c r="PBC10" s="1115"/>
      <c r="PBD10" s="1115"/>
      <c r="PBE10" s="1115"/>
      <c r="PBF10" s="1115"/>
      <c r="PBG10" s="1115"/>
      <c r="PBH10" s="1115"/>
      <c r="PBI10" s="1115"/>
      <c r="PBJ10" s="1115"/>
      <c r="PBK10" s="1115"/>
      <c r="PBL10" s="1115"/>
      <c r="PBM10" s="1115"/>
      <c r="PBN10" s="1115"/>
      <c r="PBO10" s="1115"/>
      <c r="PBP10" s="1115"/>
      <c r="PBQ10" s="1115"/>
      <c r="PBR10" s="1115"/>
      <c r="PBS10" s="1115"/>
      <c r="PBT10" s="1115"/>
      <c r="PBU10" s="1115"/>
      <c r="PBV10" s="1115"/>
      <c r="PBW10" s="1115"/>
      <c r="PBX10" s="1115"/>
      <c r="PBY10" s="1115"/>
      <c r="PBZ10" s="1115"/>
      <c r="PCA10" s="1115"/>
      <c r="PCB10" s="1115"/>
      <c r="PCC10" s="1115"/>
      <c r="PCD10" s="1115"/>
      <c r="PCE10" s="1115"/>
      <c r="PCF10" s="1115"/>
      <c r="PCG10" s="1115"/>
      <c r="PCH10" s="1115"/>
      <c r="PCI10" s="1115"/>
      <c r="PCJ10" s="1115"/>
      <c r="PCK10" s="1115"/>
      <c r="PCL10" s="1115"/>
      <c r="PCM10" s="1115"/>
      <c r="PCN10" s="1115"/>
      <c r="PCO10" s="1115"/>
      <c r="PCP10" s="1115"/>
      <c r="PCQ10" s="1115"/>
      <c r="PCR10" s="1115"/>
      <c r="PCS10" s="1115"/>
      <c r="PCT10" s="1115"/>
      <c r="PCU10" s="1115"/>
      <c r="PCV10" s="1115"/>
      <c r="PCW10" s="1115"/>
      <c r="PCX10" s="1115"/>
      <c r="PCY10" s="1115"/>
      <c r="PCZ10" s="1115"/>
      <c r="PDA10" s="1115"/>
      <c r="PDB10" s="1115"/>
      <c r="PDC10" s="1115"/>
      <c r="PDD10" s="1115"/>
      <c r="PDE10" s="1115"/>
      <c r="PDF10" s="1115"/>
      <c r="PDG10" s="1115"/>
      <c r="PDH10" s="1115"/>
      <c r="PDI10" s="1115"/>
      <c r="PDJ10" s="1115"/>
      <c r="PDK10" s="1115"/>
      <c r="PDL10" s="1115"/>
      <c r="PDM10" s="1115"/>
      <c r="PDN10" s="1115"/>
      <c r="PDO10" s="1115"/>
      <c r="PDP10" s="1115"/>
      <c r="PDQ10" s="1115"/>
      <c r="PDR10" s="1115"/>
      <c r="PDS10" s="1115"/>
      <c r="PDT10" s="1115"/>
      <c r="PDU10" s="1115"/>
      <c r="PDV10" s="1115"/>
      <c r="PDW10" s="1115"/>
      <c r="PDX10" s="1115"/>
      <c r="PDY10" s="1115"/>
      <c r="PDZ10" s="1115"/>
      <c r="PEA10" s="1115"/>
      <c r="PEB10" s="1115"/>
      <c r="PEC10" s="1115"/>
      <c r="PED10" s="1115"/>
      <c r="PEE10" s="1115"/>
      <c r="PEF10" s="1115"/>
      <c r="PEG10" s="1115"/>
      <c r="PEH10" s="1115"/>
      <c r="PEI10" s="1115"/>
      <c r="PEJ10" s="1115"/>
      <c r="PEK10" s="1115"/>
      <c r="PEL10" s="1115"/>
      <c r="PEM10" s="1115"/>
      <c r="PEN10" s="1115"/>
      <c r="PEO10" s="1115"/>
      <c r="PEP10" s="1115"/>
      <c r="PEQ10" s="1115"/>
      <c r="PER10" s="1115"/>
      <c r="PES10" s="1115"/>
      <c r="PET10" s="1115"/>
      <c r="PEU10" s="1115"/>
      <c r="PEV10" s="1115"/>
      <c r="PEW10" s="1115"/>
      <c r="PEX10" s="1115"/>
      <c r="PEY10" s="1115"/>
      <c r="PEZ10" s="1115"/>
      <c r="PFA10" s="1115"/>
      <c r="PFB10" s="1115"/>
      <c r="PFC10" s="1115"/>
      <c r="PFD10" s="1115"/>
      <c r="PFE10" s="1115"/>
      <c r="PFF10" s="1115"/>
      <c r="PFG10" s="1115"/>
      <c r="PFH10" s="1115"/>
      <c r="PFI10" s="1115"/>
      <c r="PFJ10" s="1115"/>
      <c r="PFK10" s="1115"/>
      <c r="PFL10" s="1115"/>
      <c r="PFM10" s="1115"/>
      <c r="PFN10" s="1115"/>
      <c r="PFO10" s="1115"/>
      <c r="PFP10" s="1115"/>
      <c r="PFQ10" s="1115"/>
      <c r="PFR10" s="1115"/>
      <c r="PFS10" s="1115"/>
      <c r="PFT10" s="1115"/>
      <c r="PFU10" s="1115"/>
      <c r="PFV10" s="1115"/>
      <c r="PFW10" s="1115"/>
      <c r="PFX10" s="1115"/>
      <c r="PFY10" s="1115"/>
      <c r="PFZ10" s="1115"/>
      <c r="PGA10" s="1115"/>
      <c r="PGB10" s="1115"/>
      <c r="PGC10" s="1115"/>
      <c r="PGD10" s="1115"/>
      <c r="PGE10" s="1115"/>
      <c r="PGF10" s="1115"/>
      <c r="PGG10" s="1115"/>
      <c r="PGH10" s="1115"/>
      <c r="PGI10" s="1115"/>
      <c r="PGJ10" s="1115"/>
      <c r="PGK10" s="1115"/>
      <c r="PGL10" s="1115"/>
      <c r="PGM10" s="1115"/>
      <c r="PGN10" s="1115"/>
      <c r="PGO10" s="1115"/>
      <c r="PGP10" s="1115"/>
      <c r="PGQ10" s="1115"/>
      <c r="PGR10" s="1115"/>
      <c r="PGS10" s="1115"/>
      <c r="PGT10" s="1115"/>
      <c r="PGU10" s="1115"/>
      <c r="PGV10" s="1115"/>
      <c r="PGW10" s="1115"/>
      <c r="PGX10" s="1115"/>
      <c r="PGY10" s="1115"/>
      <c r="PGZ10" s="1115"/>
      <c r="PHA10" s="1115"/>
      <c r="PHB10" s="1115"/>
      <c r="PHC10" s="1115"/>
      <c r="PHD10" s="1115"/>
      <c r="PHE10" s="1115"/>
      <c r="PHF10" s="1115"/>
      <c r="PHG10" s="1115"/>
      <c r="PHH10" s="1115"/>
      <c r="PHI10" s="1115"/>
      <c r="PHJ10" s="1115"/>
      <c r="PHK10" s="1115"/>
      <c r="PHL10" s="1115"/>
      <c r="PHM10" s="1115"/>
      <c r="PHN10" s="1115"/>
      <c r="PHO10" s="1115"/>
      <c r="PHP10" s="1115"/>
      <c r="PHQ10" s="1115"/>
      <c r="PHR10" s="1115"/>
      <c r="PHS10" s="1115"/>
      <c r="PHT10" s="1115"/>
      <c r="PHU10" s="1115"/>
      <c r="PHV10" s="1115"/>
      <c r="PHW10" s="1115"/>
      <c r="PHX10" s="1115"/>
      <c r="PHY10" s="1115"/>
      <c r="PHZ10" s="1115"/>
      <c r="PIA10" s="1115"/>
      <c r="PIB10" s="1115"/>
      <c r="PIC10" s="1115"/>
      <c r="PID10" s="1115"/>
      <c r="PIE10" s="1115"/>
      <c r="PIF10" s="1115"/>
      <c r="PIG10" s="1115"/>
      <c r="PIH10" s="1115"/>
      <c r="PII10" s="1115"/>
      <c r="PIJ10" s="1115"/>
      <c r="PIK10" s="1115"/>
      <c r="PIL10" s="1115"/>
      <c r="PIM10" s="1115"/>
      <c r="PIN10" s="1115"/>
      <c r="PIO10" s="1115"/>
      <c r="PIP10" s="1115"/>
      <c r="PIQ10" s="1115"/>
      <c r="PIR10" s="1115"/>
      <c r="PIS10" s="1115"/>
      <c r="PIT10" s="1115"/>
      <c r="PIU10" s="1115"/>
      <c r="PIV10" s="1115"/>
      <c r="PIW10" s="1115"/>
      <c r="PIX10" s="1115"/>
      <c r="PIY10" s="1115"/>
      <c r="PIZ10" s="1115"/>
      <c r="PJA10" s="1115"/>
      <c r="PJB10" s="1115"/>
      <c r="PJC10" s="1115"/>
      <c r="PJD10" s="1115"/>
      <c r="PJE10" s="1115"/>
      <c r="PJF10" s="1115"/>
      <c r="PJG10" s="1115"/>
      <c r="PJH10" s="1115"/>
      <c r="PJI10" s="1115"/>
      <c r="PJJ10" s="1115"/>
      <c r="PJK10" s="1115"/>
      <c r="PJL10" s="1115"/>
      <c r="PJM10" s="1115"/>
      <c r="PJN10" s="1115"/>
      <c r="PJO10" s="1115"/>
      <c r="PJP10" s="1115"/>
      <c r="PJQ10" s="1115"/>
      <c r="PJR10" s="1115"/>
      <c r="PJS10" s="1115"/>
      <c r="PJT10" s="1115"/>
      <c r="PJU10" s="1115"/>
      <c r="PJV10" s="1115"/>
      <c r="PJW10" s="1115"/>
      <c r="PJX10" s="1115"/>
      <c r="PJY10" s="1115"/>
      <c r="PJZ10" s="1115"/>
      <c r="PKA10" s="1115"/>
      <c r="PKB10" s="1115"/>
      <c r="PKC10" s="1115"/>
      <c r="PKD10" s="1115"/>
      <c r="PKE10" s="1115"/>
      <c r="PKF10" s="1115"/>
      <c r="PKG10" s="1115"/>
      <c r="PKH10" s="1115"/>
      <c r="PKI10" s="1115"/>
      <c r="PKJ10" s="1115"/>
      <c r="PKK10" s="1115"/>
      <c r="PKL10" s="1115"/>
      <c r="PKM10" s="1115"/>
      <c r="PKN10" s="1115"/>
      <c r="PKO10" s="1115"/>
      <c r="PKP10" s="1115"/>
      <c r="PKQ10" s="1115"/>
      <c r="PKR10" s="1115"/>
      <c r="PKS10" s="1115"/>
      <c r="PKT10" s="1115"/>
      <c r="PKU10" s="1115"/>
      <c r="PKV10" s="1115"/>
      <c r="PKW10" s="1115"/>
      <c r="PKX10" s="1115"/>
      <c r="PKY10" s="1115"/>
      <c r="PKZ10" s="1115"/>
      <c r="PLA10" s="1115"/>
      <c r="PLB10" s="1115"/>
      <c r="PLC10" s="1115"/>
      <c r="PLD10" s="1115"/>
      <c r="PLE10" s="1115"/>
      <c r="PLF10" s="1115"/>
      <c r="PLG10" s="1115"/>
      <c r="PLH10" s="1115"/>
      <c r="PLI10" s="1115"/>
      <c r="PLJ10" s="1115"/>
      <c r="PLK10" s="1115"/>
      <c r="PLL10" s="1115"/>
      <c r="PLM10" s="1115"/>
      <c r="PLN10" s="1115"/>
      <c r="PLO10" s="1115"/>
      <c r="PLP10" s="1115"/>
      <c r="PLQ10" s="1115"/>
      <c r="PLR10" s="1115"/>
      <c r="PLS10" s="1115"/>
      <c r="PLT10" s="1115"/>
      <c r="PLU10" s="1115"/>
      <c r="PLV10" s="1115"/>
      <c r="PLW10" s="1115"/>
      <c r="PLX10" s="1115"/>
      <c r="PLY10" s="1115"/>
      <c r="PLZ10" s="1115"/>
      <c r="PMA10" s="1115"/>
      <c r="PMB10" s="1115"/>
      <c r="PMC10" s="1115"/>
      <c r="PMD10" s="1115"/>
      <c r="PME10" s="1115"/>
      <c r="PMF10" s="1115"/>
      <c r="PMG10" s="1115"/>
      <c r="PMH10" s="1115"/>
      <c r="PMI10" s="1115"/>
      <c r="PMJ10" s="1115"/>
      <c r="PMK10" s="1115"/>
      <c r="PML10" s="1115"/>
      <c r="PMM10" s="1115"/>
      <c r="PMN10" s="1115"/>
      <c r="PMO10" s="1115"/>
      <c r="PMP10" s="1115"/>
      <c r="PMQ10" s="1115"/>
      <c r="PMR10" s="1115"/>
      <c r="PMS10" s="1115"/>
      <c r="PMT10" s="1115"/>
      <c r="PMU10" s="1115"/>
      <c r="PMV10" s="1115"/>
      <c r="PMW10" s="1115"/>
      <c r="PMX10" s="1115"/>
      <c r="PMY10" s="1115"/>
      <c r="PMZ10" s="1115"/>
      <c r="PNA10" s="1115"/>
      <c r="PNB10" s="1115"/>
      <c r="PNC10" s="1115"/>
      <c r="PND10" s="1115"/>
      <c r="PNE10" s="1115"/>
      <c r="PNF10" s="1115"/>
      <c r="PNG10" s="1115"/>
      <c r="PNH10" s="1115"/>
      <c r="PNI10" s="1115"/>
      <c r="PNJ10" s="1115"/>
      <c r="PNK10" s="1115"/>
      <c r="PNL10" s="1115"/>
      <c r="PNM10" s="1115"/>
      <c r="PNN10" s="1115"/>
      <c r="PNO10" s="1115"/>
      <c r="PNP10" s="1115"/>
      <c r="PNQ10" s="1115"/>
      <c r="PNR10" s="1115"/>
      <c r="PNS10" s="1115"/>
      <c r="PNT10" s="1115"/>
      <c r="PNU10" s="1115"/>
      <c r="PNV10" s="1115"/>
      <c r="PNW10" s="1115"/>
      <c r="PNX10" s="1115"/>
      <c r="PNY10" s="1115"/>
      <c r="PNZ10" s="1115"/>
      <c r="POA10" s="1115"/>
      <c r="POB10" s="1115"/>
      <c r="POC10" s="1115"/>
      <c r="POD10" s="1115"/>
      <c r="POE10" s="1115"/>
      <c r="POF10" s="1115"/>
      <c r="POG10" s="1115"/>
      <c r="POH10" s="1115"/>
      <c r="POI10" s="1115"/>
      <c r="POJ10" s="1115"/>
      <c r="POK10" s="1115"/>
      <c r="POL10" s="1115"/>
      <c r="POM10" s="1115"/>
      <c r="PON10" s="1115"/>
      <c r="POO10" s="1115"/>
      <c r="POP10" s="1115"/>
      <c r="POQ10" s="1115"/>
      <c r="POR10" s="1115"/>
      <c r="POS10" s="1115"/>
      <c r="POT10" s="1115"/>
      <c r="POU10" s="1115"/>
      <c r="POV10" s="1115"/>
      <c r="POW10" s="1115"/>
      <c r="POX10" s="1115"/>
      <c r="POY10" s="1115"/>
      <c r="POZ10" s="1115"/>
      <c r="PPA10" s="1115"/>
      <c r="PPB10" s="1115"/>
      <c r="PPC10" s="1115"/>
      <c r="PPD10" s="1115"/>
      <c r="PPE10" s="1115"/>
      <c r="PPF10" s="1115"/>
      <c r="PPG10" s="1115"/>
      <c r="PPH10" s="1115"/>
      <c r="PPI10" s="1115"/>
      <c r="PPJ10" s="1115"/>
      <c r="PPK10" s="1115"/>
      <c r="PPL10" s="1115"/>
      <c r="PPM10" s="1115"/>
      <c r="PPN10" s="1115"/>
      <c r="PPO10" s="1115"/>
      <c r="PPP10" s="1115"/>
      <c r="PPQ10" s="1115"/>
      <c r="PPR10" s="1115"/>
      <c r="PPS10" s="1115"/>
      <c r="PPT10" s="1115"/>
      <c r="PPU10" s="1115"/>
      <c r="PPV10" s="1115"/>
      <c r="PPW10" s="1115"/>
      <c r="PPX10" s="1115"/>
      <c r="PPY10" s="1115"/>
      <c r="PPZ10" s="1115"/>
      <c r="PQA10" s="1115"/>
      <c r="PQB10" s="1115"/>
      <c r="PQC10" s="1115"/>
      <c r="PQD10" s="1115"/>
      <c r="PQE10" s="1115"/>
      <c r="PQF10" s="1115"/>
      <c r="PQG10" s="1115"/>
      <c r="PQH10" s="1115"/>
      <c r="PQI10" s="1115"/>
      <c r="PQJ10" s="1115"/>
      <c r="PQK10" s="1115"/>
      <c r="PQL10" s="1115"/>
      <c r="PQM10" s="1115"/>
      <c r="PQN10" s="1115"/>
      <c r="PQO10" s="1115"/>
      <c r="PQP10" s="1115"/>
      <c r="PQQ10" s="1115"/>
      <c r="PQR10" s="1115"/>
      <c r="PQS10" s="1115"/>
      <c r="PQT10" s="1115"/>
      <c r="PQU10" s="1115"/>
      <c r="PQV10" s="1115"/>
      <c r="PQW10" s="1115"/>
      <c r="PQX10" s="1115"/>
      <c r="PQY10" s="1115"/>
      <c r="PQZ10" s="1115"/>
      <c r="PRA10" s="1115"/>
      <c r="PRB10" s="1115"/>
      <c r="PRC10" s="1115"/>
      <c r="PRD10" s="1115"/>
      <c r="PRE10" s="1115"/>
      <c r="PRF10" s="1115"/>
      <c r="PRG10" s="1115"/>
      <c r="PRH10" s="1115"/>
      <c r="PRI10" s="1115"/>
      <c r="PRJ10" s="1115"/>
      <c r="PRK10" s="1115"/>
      <c r="PRL10" s="1115"/>
      <c r="PRM10" s="1115"/>
      <c r="PRN10" s="1115"/>
      <c r="PRO10" s="1115"/>
      <c r="PRP10" s="1115"/>
      <c r="PRQ10" s="1115"/>
      <c r="PRR10" s="1115"/>
      <c r="PRS10" s="1115"/>
      <c r="PRT10" s="1115"/>
      <c r="PRU10" s="1115"/>
      <c r="PRV10" s="1115"/>
      <c r="PRW10" s="1115"/>
      <c r="PRX10" s="1115"/>
      <c r="PRY10" s="1115"/>
      <c r="PRZ10" s="1115"/>
      <c r="PSA10" s="1115"/>
      <c r="PSB10" s="1115"/>
      <c r="PSC10" s="1115"/>
      <c r="PSD10" s="1115"/>
      <c r="PSE10" s="1115"/>
      <c r="PSF10" s="1115"/>
      <c r="PSG10" s="1115"/>
      <c r="PSH10" s="1115"/>
      <c r="PSI10" s="1115"/>
      <c r="PSJ10" s="1115"/>
      <c r="PSK10" s="1115"/>
      <c r="PSL10" s="1115"/>
      <c r="PSM10" s="1115"/>
      <c r="PSN10" s="1115"/>
      <c r="PSO10" s="1115"/>
      <c r="PSP10" s="1115"/>
      <c r="PSQ10" s="1115"/>
      <c r="PSR10" s="1115"/>
      <c r="PSS10" s="1115"/>
      <c r="PST10" s="1115"/>
      <c r="PSU10" s="1115"/>
      <c r="PSV10" s="1115"/>
      <c r="PSW10" s="1115"/>
      <c r="PSX10" s="1115"/>
      <c r="PSY10" s="1115"/>
      <c r="PSZ10" s="1115"/>
      <c r="PTA10" s="1115"/>
      <c r="PTB10" s="1115"/>
      <c r="PTC10" s="1115"/>
      <c r="PTD10" s="1115"/>
      <c r="PTE10" s="1115"/>
      <c r="PTF10" s="1115"/>
      <c r="PTG10" s="1115"/>
      <c r="PTH10" s="1115"/>
      <c r="PTI10" s="1115"/>
      <c r="PTJ10" s="1115"/>
      <c r="PTK10" s="1115"/>
      <c r="PTL10" s="1115"/>
      <c r="PTM10" s="1115"/>
      <c r="PTN10" s="1115"/>
      <c r="PTO10" s="1115"/>
      <c r="PTP10" s="1115"/>
      <c r="PTQ10" s="1115"/>
      <c r="PTR10" s="1115"/>
      <c r="PTS10" s="1115"/>
      <c r="PTT10" s="1115"/>
      <c r="PTU10" s="1115"/>
      <c r="PTV10" s="1115"/>
      <c r="PTW10" s="1115"/>
      <c r="PTX10" s="1115"/>
      <c r="PTY10" s="1115"/>
      <c r="PTZ10" s="1115"/>
      <c r="PUA10" s="1115"/>
      <c r="PUB10" s="1115"/>
      <c r="PUC10" s="1115"/>
      <c r="PUD10" s="1115"/>
      <c r="PUE10" s="1115"/>
      <c r="PUF10" s="1115"/>
      <c r="PUG10" s="1115"/>
      <c r="PUH10" s="1115"/>
      <c r="PUI10" s="1115"/>
      <c r="PUJ10" s="1115"/>
      <c r="PUK10" s="1115"/>
      <c r="PUL10" s="1115"/>
      <c r="PUM10" s="1115"/>
      <c r="PUN10" s="1115"/>
      <c r="PUO10" s="1115"/>
      <c r="PUP10" s="1115"/>
      <c r="PUQ10" s="1115"/>
      <c r="PUR10" s="1115"/>
      <c r="PUS10" s="1115"/>
      <c r="PUT10" s="1115"/>
      <c r="PUU10" s="1115"/>
      <c r="PUV10" s="1115"/>
      <c r="PUW10" s="1115"/>
      <c r="PUX10" s="1115"/>
      <c r="PUY10" s="1115"/>
      <c r="PUZ10" s="1115"/>
      <c r="PVA10" s="1115"/>
      <c r="PVB10" s="1115"/>
      <c r="PVC10" s="1115"/>
      <c r="PVD10" s="1115"/>
      <c r="PVE10" s="1115"/>
      <c r="PVF10" s="1115"/>
      <c r="PVG10" s="1115"/>
      <c r="PVH10" s="1115"/>
      <c r="PVI10" s="1115"/>
      <c r="PVJ10" s="1115"/>
      <c r="PVK10" s="1115"/>
      <c r="PVL10" s="1115"/>
      <c r="PVM10" s="1115"/>
      <c r="PVN10" s="1115"/>
      <c r="PVO10" s="1115"/>
      <c r="PVP10" s="1115"/>
      <c r="PVQ10" s="1115"/>
      <c r="PVR10" s="1115"/>
      <c r="PVS10" s="1115"/>
      <c r="PVT10" s="1115"/>
      <c r="PVU10" s="1115"/>
      <c r="PVV10" s="1115"/>
      <c r="PVW10" s="1115"/>
      <c r="PVX10" s="1115"/>
      <c r="PVY10" s="1115"/>
      <c r="PVZ10" s="1115"/>
      <c r="PWA10" s="1115"/>
      <c r="PWB10" s="1115"/>
      <c r="PWC10" s="1115"/>
      <c r="PWD10" s="1115"/>
      <c r="PWE10" s="1115"/>
      <c r="PWF10" s="1115"/>
      <c r="PWG10" s="1115"/>
      <c r="PWH10" s="1115"/>
      <c r="PWI10" s="1115"/>
      <c r="PWJ10" s="1115"/>
      <c r="PWK10" s="1115"/>
      <c r="PWL10" s="1115"/>
      <c r="PWM10" s="1115"/>
      <c r="PWN10" s="1115"/>
      <c r="PWO10" s="1115"/>
      <c r="PWP10" s="1115"/>
      <c r="PWQ10" s="1115"/>
      <c r="PWR10" s="1115"/>
      <c r="PWS10" s="1115"/>
      <c r="PWT10" s="1115"/>
      <c r="PWU10" s="1115"/>
      <c r="PWV10" s="1115"/>
      <c r="PWW10" s="1115"/>
      <c r="PWX10" s="1115"/>
      <c r="PWY10" s="1115"/>
      <c r="PWZ10" s="1115"/>
      <c r="PXA10" s="1115"/>
      <c r="PXB10" s="1115"/>
      <c r="PXC10" s="1115"/>
      <c r="PXD10" s="1115"/>
      <c r="PXE10" s="1115"/>
      <c r="PXF10" s="1115"/>
      <c r="PXG10" s="1115"/>
      <c r="PXH10" s="1115"/>
      <c r="PXI10" s="1115"/>
      <c r="PXJ10" s="1115"/>
      <c r="PXK10" s="1115"/>
      <c r="PXL10" s="1115"/>
      <c r="PXM10" s="1115"/>
      <c r="PXN10" s="1115"/>
      <c r="PXO10" s="1115"/>
      <c r="PXP10" s="1115"/>
      <c r="PXQ10" s="1115"/>
      <c r="PXR10" s="1115"/>
      <c r="PXS10" s="1115"/>
      <c r="PXT10" s="1115"/>
      <c r="PXU10" s="1115"/>
      <c r="PXV10" s="1115"/>
      <c r="PXW10" s="1115"/>
      <c r="PXX10" s="1115"/>
      <c r="PXY10" s="1115"/>
      <c r="PXZ10" s="1115"/>
      <c r="PYA10" s="1115"/>
      <c r="PYB10" s="1115"/>
      <c r="PYC10" s="1115"/>
      <c r="PYD10" s="1115"/>
      <c r="PYE10" s="1115"/>
      <c r="PYF10" s="1115"/>
      <c r="PYG10" s="1115"/>
      <c r="PYH10" s="1115"/>
      <c r="PYI10" s="1115"/>
      <c r="PYJ10" s="1115"/>
      <c r="PYK10" s="1115"/>
      <c r="PYL10" s="1115"/>
      <c r="PYM10" s="1115"/>
      <c r="PYN10" s="1115"/>
      <c r="PYO10" s="1115"/>
      <c r="PYP10" s="1115"/>
      <c r="PYQ10" s="1115"/>
      <c r="PYR10" s="1115"/>
      <c r="PYS10" s="1115"/>
      <c r="PYT10" s="1115"/>
      <c r="PYU10" s="1115"/>
      <c r="PYV10" s="1115"/>
      <c r="PYW10" s="1115"/>
      <c r="PYX10" s="1115"/>
      <c r="PYY10" s="1115"/>
      <c r="PYZ10" s="1115"/>
      <c r="PZA10" s="1115"/>
      <c r="PZB10" s="1115"/>
      <c r="PZC10" s="1115"/>
      <c r="PZD10" s="1115"/>
      <c r="PZE10" s="1115"/>
      <c r="PZF10" s="1115"/>
      <c r="PZG10" s="1115"/>
      <c r="PZH10" s="1115"/>
      <c r="PZI10" s="1115"/>
      <c r="PZJ10" s="1115"/>
      <c r="PZK10" s="1115"/>
      <c r="PZL10" s="1115"/>
      <c r="PZM10" s="1115"/>
      <c r="PZN10" s="1115"/>
      <c r="PZO10" s="1115"/>
      <c r="PZP10" s="1115"/>
      <c r="PZQ10" s="1115"/>
      <c r="PZR10" s="1115"/>
      <c r="PZS10" s="1115"/>
      <c r="PZT10" s="1115"/>
      <c r="PZU10" s="1115"/>
      <c r="PZV10" s="1115"/>
      <c r="PZW10" s="1115"/>
      <c r="PZX10" s="1115"/>
      <c r="PZY10" s="1115"/>
      <c r="PZZ10" s="1115"/>
      <c r="QAA10" s="1115"/>
      <c r="QAB10" s="1115"/>
      <c r="QAC10" s="1115"/>
      <c r="QAD10" s="1115"/>
      <c r="QAE10" s="1115"/>
      <c r="QAF10" s="1115"/>
      <c r="QAG10" s="1115"/>
      <c r="QAH10" s="1115"/>
      <c r="QAI10" s="1115"/>
      <c r="QAJ10" s="1115"/>
      <c r="QAK10" s="1115"/>
      <c r="QAL10" s="1115"/>
      <c r="QAM10" s="1115"/>
      <c r="QAN10" s="1115"/>
      <c r="QAO10" s="1115"/>
      <c r="QAP10" s="1115"/>
      <c r="QAQ10" s="1115"/>
      <c r="QAR10" s="1115"/>
      <c r="QAS10" s="1115"/>
      <c r="QAT10" s="1115"/>
      <c r="QAU10" s="1115"/>
      <c r="QAV10" s="1115"/>
      <c r="QAW10" s="1115"/>
      <c r="QAX10" s="1115"/>
      <c r="QAY10" s="1115"/>
      <c r="QAZ10" s="1115"/>
      <c r="QBA10" s="1115"/>
      <c r="QBB10" s="1115"/>
      <c r="QBC10" s="1115"/>
      <c r="QBD10" s="1115"/>
      <c r="QBE10" s="1115"/>
      <c r="QBF10" s="1115"/>
      <c r="QBG10" s="1115"/>
      <c r="QBH10" s="1115"/>
      <c r="QBI10" s="1115"/>
      <c r="QBJ10" s="1115"/>
      <c r="QBK10" s="1115"/>
      <c r="QBL10" s="1115"/>
      <c r="QBM10" s="1115"/>
      <c r="QBN10" s="1115"/>
      <c r="QBO10" s="1115"/>
      <c r="QBP10" s="1115"/>
      <c r="QBQ10" s="1115"/>
      <c r="QBR10" s="1115"/>
      <c r="QBS10" s="1115"/>
      <c r="QBT10" s="1115"/>
      <c r="QBU10" s="1115"/>
      <c r="QBV10" s="1115"/>
      <c r="QBW10" s="1115"/>
      <c r="QBX10" s="1115"/>
      <c r="QBY10" s="1115"/>
      <c r="QBZ10" s="1115"/>
      <c r="QCA10" s="1115"/>
      <c r="QCB10" s="1115"/>
      <c r="QCC10" s="1115"/>
      <c r="QCD10" s="1115"/>
      <c r="QCE10" s="1115"/>
      <c r="QCF10" s="1115"/>
      <c r="QCG10" s="1115"/>
      <c r="QCH10" s="1115"/>
      <c r="QCI10" s="1115"/>
      <c r="QCJ10" s="1115"/>
      <c r="QCK10" s="1115"/>
      <c r="QCL10" s="1115"/>
      <c r="QCM10" s="1115"/>
      <c r="QCN10" s="1115"/>
      <c r="QCO10" s="1115"/>
      <c r="QCP10" s="1115"/>
      <c r="QCQ10" s="1115"/>
      <c r="QCR10" s="1115"/>
      <c r="QCS10" s="1115"/>
      <c r="QCT10" s="1115"/>
      <c r="QCU10" s="1115"/>
      <c r="QCV10" s="1115"/>
      <c r="QCW10" s="1115"/>
      <c r="QCX10" s="1115"/>
      <c r="QCY10" s="1115"/>
      <c r="QCZ10" s="1115"/>
      <c r="QDA10" s="1115"/>
      <c r="QDB10" s="1115"/>
      <c r="QDC10" s="1115"/>
      <c r="QDD10" s="1115"/>
      <c r="QDE10" s="1115"/>
      <c r="QDF10" s="1115"/>
      <c r="QDG10" s="1115"/>
      <c r="QDH10" s="1115"/>
      <c r="QDI10" s="1115"/>
      <c r="QDJ10" s="1115"/>
      <c r="QDK10" s="1115"/>
      <c r="QDL10" s="1115"/>
      <c r="QDM10" s="1115"/>
      <c r="QDN10" s="1115"/>
      <c r="QDO10" s="1115"/>
      <c r="QDP10" s="1115"/>
      <c r="QDQ10" s="1115"/>
      <c r="QDR10" s="1115"/>
      <c r="QDS10" s="1115"/>
      <c r="QDT10" s="1115"/>
      <c r="QDU10" s="1115"/>
      <c r="QDV10" s="1115"/>
      <c r="QDW10" s="1115"/>
      <c r="QDX10" s="1115"/>
      <c r="QDY10" s="1115"/>
      <c r="QDZ10" s="1115"/>
      <c r="QEA10" s="1115"/>
      <c r="QEB10" s="1115"/>
      <c r="QEC10" s="1115"/>
      <c r="QED10" s="1115"/>
      <c r="QEE10" s="1115"/>
      <c r="QEF10" s="1115"/>
      <c r="QEG10" s="1115"/>
      <c r="QEH10" s="1115"/>
      <c r="QEI10" s="1115"/>
      <c r="QEJ10" s="1115"/>
      <c r="QEK10" s="1115"/>
      <c r="QEL10" s="1115"/>
      <c r="QEM10" s="1115"/>
      <c r="QEN10" s="1115"/>
      <c r="QEO10" s="1115"/>
      <c r="QEP10" s="1115"/>
      <c r="QEQ10" s="1115"/>
      <c r="QER10" s="1115"/>
      <c r="QES10" s="1115"/>
      <c r="QET10" s="1115"/>
      <c r="QEU10" s="1115"/>
      <c r="QEV10" s="1115"/>
      <c r="QEW10" s="1115"/>
      <c r="QEX10" s="1115"/>
      <c r="QEY10" s="1115"/>
      <c r="QEZ10" s="1115"/>
      <c r="QFA10" s="1115"/>
      <c r="QFB10" s="1115"/>
      <c r="QFC10" s="1115"/>
      <c r="QFD10" s="1115"/>
      <c r="QFE10" s="1115"/>
      <c r="QFF10" s="1115"/>
      <c r="QFG10" s="1115"/>
      <c r="QFH10" s="1115"/>
      <c r="QFI10" s="1115"/>
      <c r="QFJ10" s="1115"/>
      <c r="QFK10" s="1115"/>
      <c r="QFL10" s="1115"/>
      <c r="QFM10" s="1115"/>
      <c r="QFN10" s="1115"/>
      <c r="QFO10" s="1115"/>
      <c r="QFP10" s="1115"/>
      <c r="QFQ10" s="1115"/>
      <c r="QFR10" s="1115"/>
      <c r="QFS10" s="1115"/>
      <c r="QFT10" s="1115"/>
      <c r="QFU10" s="1115"/>
      <c r="QFV10" s="1115"/>
      <c r="QFW10" s="1115"/>
      <c r="QFX10" s="1115"/>
      <c r="QFY10" s="1115"/>
      <c r="QFZ10" s="1115"/>
      <c r="QGA10" s="1115"/>
      <c r="QGB10" s="1115"/>
      <c r="QGC10" s="1115"/>
      <c r="QGD10" s="1115"/>
      <c r="QGE10" s="1115"/>
      <c r="QGF10" s="1115"/>
      <c r="QGG10" s="1115"/>
      <c r="QGH10" s="1115"/>
      <c r="QGI10" s="1115"/>
      <c r="QGJ10" s="1115"/>
      <c r="QGK10" s="1115"/>
      <c r="QGL10" s="1115"/>
      <c r="QGM10" s="1115"/>
      <c r="QGN10" s="1115"/>
      <c r="QGO10" s="1115"/>
      <c r="QGP10" s="1115"/>
      <c r="QGQ10" s="1115"/>
      <c r="QGR10" s="1115"/>
      <c r="QGS10" s="1115"/>
      <c r="QGT10" s="1115"/>
      <c r="QGU10" s="1115"/>
      <c r="QGV10" s="1115"/>
      <c r="QGW10" s="1115"/>
      <c r="QGX10" s="1115"/>
      <c r="QGY10" s="1115"/>
      <c r="QGZ10" s="1115"/>
      <c r="QHA10" s="1115"/>
      <c r="QHB10" s="1115"/>
      <c r="QHC10" s="1115"/>
      <c r="QHD10" s="1115"/>
      <c r="QHE10" s="1115"/>
      <c r="QHF10" s="1115"/>
      <c r="QHG10" s="1115"/>
      <c r="QHH10" s="1115"/>
      <c r="QHI10" s="1115"/>
      <c r="QHJ10" s="1115"/>
      <c r="QHK10" s="1115"/>
      <c r="QHL10" s="1115"/>
      <c r="QHM10" s="1115"/>
      <c r="QHN10" s="1115"/>
      <c r="QHO10" s="1115"/>
      <c r="QHP10" s="1115"/>
      <c r="QHQ10" s="1115"/>
      <c r="QHR10" s="1115"/>
      <c r="QHS10" s="1115"/>
      <c r="QHT10" s="1115"/>
      <c r="QHU10" s="1115"/>
      <c r="QHV10" s="1115"/>
      <c r="QHW10" s="1115"/>
      <c r="QHX10" s="1115"/>
      <c r="QHY10" s="1115"/>
      <c r="QHZ10" s="1115"/>
      <c r="QIA10" s="1115"/>
      <c r="QIB10" s="1115"/>
      <c r="QIC10" s="1115"/>
      <c r="QID10" s="1115"/>
      <c r="QIE10" s="1115"/>
      <c r="QIF10" s="1115"/>
      <c r="QIG10" s="1115"/>
      <c r="QIH10" s="1115"/>
      <c r="QII10" s="1115"/>
      <c r="QIJ10" s="1115"/>
      <c r="QIK10" s="1115"/>
      <c r="QIL10" s="1115"/>
      <c r="QIM10" s="1115"/>
      <c r="QIN10" s="1115"/>
      <c r="QIO10" s="1115"/>
      <c r="QIP10" s="1115"/>
      <c r="QIQ10" s="1115"/>
      <c r="QIR10" s="1115"/>
      <c r="QIS10" s="1115"/>
      <c r="QIT10" s="1115"/>
      <c r="QIU10" s="1115"/>
      <c r="QIV10" s="1115"/>
      <c r="QIW10" s="1115"/>
      <c r="QIX10" s="1115"/>
      <c r="QIY10" s="1115"/>
      <c r="QIZ10" s="1115"/>
      <c r="QJA10" s="1115"/>
      <c r="QJB10" s="1115"/>
      <c r="QJC10" s="1115"/>
      <c r="QJD10" s="1115"/>
      <c r="QJE10" s="1115"/>
      <c r="QJF10" s="1115"/>
      <c r="QJG10" s="1115"/>
      <c r="QJH10" s="1115"/>
      <c r="QJI10" s="1115"/>
      <c r="QJJ10" s="1115"/>
      <c r="QJK10" s="1115"/>
      <c r="QJL10" s="1115"/>
      <c r="QJM10" s="1115"/>
      <c r="QJN10" s="1115"/>
      <c r="QJO10" s="1115"/>
      <c r="QJP10" s="1115"/>
      <c r="QJQ10" s="1115"/>
      <c r="QJR10" s="1115"/>
      <c r="QJS10" s="1115"/>
      <c r="QJT10" s="1115"/>
      <c r="QJU10" s="1115"/>
      <c r="QJV10" s="1115"/>
      <c r="QJW10" s="1115"/>
      <c r="QJX10" s="1115"/>
      <c r="QJY10" s="1115"/>
      <c r="QJZ10" s="1115"/>
      <c r="QKA10" s="1115"/>
      <c r="QKB10" s="1115"/>
      <c r="QKC10" s="1115"/>
      <c r="QKD10" s="1115"/>
      <c r="QKE10" s="1115"/>
      <c r="QKF10" s="1115"/>
      <c r="QKG10" s="1115"/>
      <c r="QKH10" s="1115"/>
      <c r="QKI10" s="1115"/>
      <c r="QKJ10" s="1115"/>
      <c r="QKK10" s="1115"/>
      <c r="QKL10" s="1115"/>
      <c r="QKM10" s="1115"/>
      <c r="QKN10" s="1115"/>
      <c r="QKO10" s="1115"/>
      <c r="QKP10" s="1115"/>
      <c r="QKQ10" s="1115"/>
      <c r="QKR10" s="1115"/>
      <c r="QKS10" s="1115"/>
      <c r="QKT10" s="1115"/>
      <c r="QKU10" s="1115"/>
      <c r="QKV10" s="1115"/>
      <c r="QKW10" s="1115"/>
      <c r="QKX10" s="1115"/>
      <c r="QKY10" s="1115"/>
      <c r="QKZ10" s="1115"/>
      <c r="QLA10" s="1115"/>
      <c r="QLB10" s="1115"/>
      <c r="QLC10" s="1115"/>
      <c r="QLD10" s="1115"/>
      <c r="QLE10" s="1115"/>
      <c r="QLF10" s="1115"/>
      <c r="QLG10" s="1115"/>
      <c r="QLH10" s="1115"/>
      <c r="QLI10" s="1115"/>
      <c r="QLJ10" s="1115"/>
      <c r="QLK10" s="1115"/>
      <c r="QLL10" s="1115"/>
      <c r="QLM10" s="1115"/>
      <c r="QLN10" s="1115"/>
      <c r="QLO10" s="1115"/>
      <c r="QLP10" s="1115"/>
      <c r="QLQ10" s="1115"/>
      <c r="QLR10" s="1115"/>
      <c r="QLS10" s="1115"/>
      <c r="QLT10" s="1115"/>
      <c r="QLU10" s="1115"/>
      <c r="QLV10" s="1115"/>
      <c r="QLW10" s="1115"/>
      <c r="QLX10" s="1115"/>
      <c r="QLY10" s="1115"/>
      <c r="QLZ10" s="1115"/>
      <c r="QMA10" s="1115"/>
      <c r="QMB10" s="1115"/>
      <c r="QMC10" s="1115"/>
      <c r="QMD10" s="1115"/>
      <c r="QME10" s="1115"/>
      <c r="QMF10" s="1115"/>
      <c r="QMG10" s="1115"/>
      <c r="QMH10" s="1115"/>
      <c r="QMI10" s="1115"/>
      <c r="QMJ10" s="1115"/>
      <c r="QMK10" s="1115"/>
      <c r="QML10" s="1115"/>
      <c r="QMM10" s="1115"/>
      <c r="QMN10" s="1115"/>
      <c r="QMO10" s="1115"/>
      <c r="QMP10" s="1115"/>
      <c r="QMQ10" s="1115"/>
      <c r="QMR10" s="1115"/>
      <c r="QMS10" s="1115"/>
      <c r="QMT10" s="1115"/>
      <c r="QMU10" s="1115"/>
      <c r="QMV10" s="1115"/>
      <c r="QMW10" s="1115"/>
      <c r="QMX10" s="1115"/>
      <c r="QMY10" s="1115"/>
      <c r="QMZ10" s="1115"/>
      <c r="QNA10" s="1115"/>
      <c r="QNB10" s="1115"/>
      <c r="QNC10" s="1115"/>
      <c r="QND10" s="1115"/>
      <c r="QNE10" s="1115"/>
      <c r="QNF10" s="1115"/>
      <c r="QNG10" s="1115"/>
      <c r="QNH10" s="1115"/>
      <c r="QNI10" s="1115"/>
      <c r="QNJ10" s="1115"/>
      <c r="QNK10" s="1115"/>
      <c r="QNL10" s="1115"/>
      <c r="QNM10" s="1115"/>
      <c r="QNN10" s="1115"/>
      <c r="QNO10" s="1115"/>
      <c r="QNP10" s="1115"/>
      <c r="QNQ10" s="1115"/>
      <c r="QNR10" s="1115"/>
      <c r="QNS10" s="1115"/>
      <c r="QNT10" s="1115"/>
      <c r="QNU10" s="1115"/>
      <c r="QNV10" s="1115"/>
      <c r="QNW10" s="1115"/>
      <c r="QNX10" s="1115"/>
      <c r="QNY10" s="1115"/>
      <c r="QNZ10" s="1115"/>
      <c r="QOA10" s="1115"/>
      <c r="QOB10" s="1115"/>
      <c r="QOC10" s="1115"/>
      <c r="QOD10" s="1115"/>
      <c r="QOE10" s="1115"/>
      <c r="QOF10" s="1115"/>
      <c r="QOG10" s="1115"/>
      <c r="QOH10" s="1115"/>
      <c r="QOI10" s="1115"/>
      <c r="QOJ10" s="1115"/>
      <c r="QOK10" s="1115"/>
      <c r="QOL10" s="1115"/>
      <c r="QOM10" s="1115"/>
      <c r="QON10" s="1115"/>
      <c r="QOO10" s="1115"/>
      <c r="QOP10" s="1115"/>
      <c r="QOQ10" s="1115"/>
      <c r="QOR10" s="1115"/>
      <c r="QOS10" s="1115"/>
      <c r="QOT10" s="1115"/>
      <c r="QOU10" s="1115"/>
      <c r="QOV10" s="1115"/>
      <c r="QOW10" s="1115"/>
      <c r="QOX10" s="1115"/>
      <c r="QOY10" s="1115"/>
      <c r="QOZ10" s="1115"/>
      <c r="QPA10" s="1115"/>
      <c r="QPB10" s="1115"/>
      <c r="QPC10" s="1115"/>
      <c r="QPD10" s="1115"/>
      <c r="QPE10" s="1115"/>
      <c r="QPF10" s="1115"/>
      <c r="QPG10" s="1115"/>
      <c r="QPH10" s="1115"/>
      <c r="QPI10" s="1115"/>
      <c r="QPJ10" s="1115"/>
      <c r="QPK10" s="1115"/>
      <c r="QPL10" s="1115"/>
      <c r="QPM10" s="1115"/>
      <c r="QPN10" s="1115"/>
      <c r="QPO10" s="1115"/>
      <c r="QPP10" s="1115"/>
      <c r="QPQ10" s="1115"/>
      <c r="QPR10" s="1115"/>
      <c r="QPS10" s="1115"/>
      <c r="QPT10" s="1115"/>
      <c r="QPU10" s="1115"/>
      <c r="QPV10" s="1115"/>
      <c r="QPW10" s="1115"/>
      <c r="QPX10" s="1115"/>
      <c r="QPY10" s="1115"/>
      <c r="QPZ10" s="1115"/>
      <c r="QQA10" s="1115"/>
      <c r="QQB10" s="1115"/>
      <c r="QQC10" s="1115"/>
      <c r="QQD10" s="1115"/>
      <c r="QQE10" s="1115"/>
      <c r="QQF10" s="1115"/>
      <c r="QQG10" s="1115"/>
      <c r="QQH10" s="1115"/>
      <c r="QQI10" s="1115"/>
      <c r="QQJ10" s="1115"/>
      <c r="QQK10" s="1115"/>
      <c r="QQL10" s="1115"/>
      <c r="QQM10" s="1115"/>
      <c r="QQN10" s="1115"/>
      <c r="QQO10" s="1115"/>
      <c r="QQP10" s="1115"/>
      <c r="QQQ10" s="1115"/>
      <c r="QQR10" s="1115"/>
      <c r="QQS10" s="1115"/>
      <c r="QQT10" s="1115"/>
      <c r="QQU10" s="1115"/>
      <c r="QQV10" s="1115"/>
      <c r="QQW10" s="1115"/>
      <c r="QQX10" s="1115"/>
      <c r="QQY10" s="1115"/>
      <c r="QQZ10" s="1115"/>
      <c r="QRA10" s="1115"/>
      <c r="QRB10" s="1115"/>
      <c r="QRC10" s="1115"/>
      <c r="QRD10" s="1115"/>
      <c r="QRE10" s="1115"/>
      <c r="QRF10" s="1115"/>
      <c r="QRG10" s="1115"/>
      <c r="QRH10" s="1115"/>
      <c r="QRI10" s="1115"/>
      <c r="QRJ10" s="1115"/>
      <c r="QRK10" s="1115"/>
      <c r="QRL10" s="1115"/>
      <c r="QRM10" s="1115"/>
      <c r="QRN10" s="1115"/>
      <c r="QRO10" s="1115"/>
      <c r="QRP10" s="1115"/>
      <c r="QRQ10" s="1115"/>
      <c r="QRR10" s="1115"/>
      <c r="QRS10" s="1115"/>
      <c r="QRT10" s="1115"/>
      <c r="QRU10" s="1115"/>
      <c r="QRV10" s="1115"/>
      <c r="QRW10" s="1115"/>
      <c r="QRX10" s="1115"/>
      <c r="QRY10" s="1115"/>
      <c r="QRZ10" s="1115"/>
      <c r="QSA10" s="1115"/>
      <c r="QSB10" s="1115"/>
      <c r="QSC10" s="1115"/>
      <c r="QSD10" s="1115"/>
      <c r="QSE10" s="1115"/>
      <c r="QSF10" s="1115"/>
      <c r="QSG10" s="1115"/>
      <c r="QSH10" s="1115"/>
      <c r="QSI10" s="1115"/>
      <c r="QSJ10" s="1115"/>
      <c r="QSK10" s="1115"/>
      <c r="QSL10" s="1115"/>
      <c r="QSM10" s="1115"/>
      <c r="QSN10" s="1115"/>
      <c r="QSO10" s="1115"/>
      <c r="QSP10" s="1115"/>
      <c r="QSQ10" s="1115"/>
      <c r="QSR10" s="1115"/>
      <c r="QSS10" s="1115"/>
      <c r="QST10" s="1115"/>
      <c r="QSU10" s="1115"/>
      <c r="QSV10" s="1115"/>
      <c r="QSW10" s="1115"/>
      <c r="QSX10" s="1115"/>
      <c r="QSY10" s="1115"/>
      <c r="QSZ10" s="1115"/>
      <c r="QTA10" s="1115"/>
      <c r="QTB10" s="1115"/>
      <c r="QTC10" s="1115"/>
      <c r="QTD10" s="1115"/>
      <c r="QTE10" s="1115"/>
      <c r="QTF10" s="1115"/>
      <c r="QTG10" s="1115"/>
      <c r="QTH10" s="1115"/>
      <c r="QTI10" s="1115"/>
      <c r="QTJ10" s="1115"/>
      <c r="QTK10" s="1115"/>
      <c r="QTL10" s="1115"/>
      <c r="QTM10" s="1115"/>
      <c r="QTN10" s="1115"/>
      <c r="QTO10" s="1115"/>
      <c r="QTP10" s="1115"/>
      <c r="QTQ10" s="1115"/>
      <c r="QTR10" s="1115"/>
      <c r="QTS10" s="1115"/>
      <c r="QTT10" s="1115"/>
      <c r="QTU10" s="1115"/>
      <c r="QTV10" s="1115"/>
      <c r="QTW10" s="1115"/>
      <c r="QTX10" s="1115"/>
      <c r="QTY10" s="1115"/>
      <c r="QTZ10" s="1115"/>
      <c r="QUA10" s="1115"/>
      <c r="QUB10" s="1115"/>
      <c r="QUC10" s="1115"/>
      <c r="QUD10" s="1115"/>
      <c r="QUE10" s="1115"/>
      <c r="QUF10" s="1115"/>
      <c r="QUG10" s="1115"/>
      <c r="QUH10" s="1115"/>
      <c r="QUI10" s="1115"/>
      <c r="QUJ10" s="1115"/>
      <c r="QUK10" s="1115"/>
      <c r="QUL10" s="1115"/>
      <c r="QUM10" s="1115"/>
      <c r="QUN10" s="1115"/>
      <c r="QUO10" s="1115"/>
      <c r="QUP10" s="1115"/>
      <c r="QUQ10" s="1115"/>
      <c r="QUR10" s="1115"/>
      <c r="QUS10" s="1115"/>
      <c r="QUT10" s="1115"/>
      <c r="QUU10" s="1115"/>
      <c r="QUV10" s="1115"/>
      <c r="QUW10" s="1115"/>
      <c r="QUX10" s="1115"/>
      <c r="QUY10" s="1115"/>
      <c r="QUZ10" s="1115"/>
      <c r="QVA10" s="1115"/>
      <c r="QVB10" s="1115"/>
      <c r="QVC10" s="1115"/>
      <c r="QVD10" s="1115"/>
      <c r="QVE10" s="1115"/>
      <c r="QVF10" s="1115"/>
      <c r="QVG10" s="1115"/>
      <c r="QVH10" s="1115"/>
      <c r="QVI10" s="1115"/>
      <c r="QVJ10" s="1115"/>
      <c r="QVK10" s="1115"/>
      <c r="QVL10" s="1115"/>
      <c r="QVM10" s="1115"/>
      <c r="QVN10" s="1115"/>
      <c r="QVO10" s="1115"/>
      <c r="QVP10" s="1115"/>
      <c r="QVQ10" s="1115"/>
      <c r="QVR10" s="1115"/>
      <c r="QVS10" s="1115"/>
      <c r="QVT10" s="1115"/>
      <c r="QVU10" s="1115"/>
      <c r="QVV10" s="1115"/>
      <c r="QVW10" s="1115"/>
      <c r="QVX10" s="1115"/>
      <c r="QVY10" s="1115"/>
      <c r="QVZ10" s="1115"/>
      <c r="QWA10" s="1115"/>
      <c r="QWB10" s="1115"/>
      <c r="QWC10" s="1115"/>
      <c r="QWD10" s="1115"/>
      <c r="QWE10" s="1115"/>
      <c r="QWF10" s="1115"/>
      <c r="QWG10" s="1115"/>
      <c r="QWH10" s="1115"/>
      <c r="QWI10" s="1115"/>
      <c r="QWJ10" s="1115"/>
      <c r="QWK10" s="1115"/>
      <c r="QWL10" s="1115"/>
      <c r="QWM10" s="1115"/>
      <c r="QWN10" s="1115"/>
      <c r="QWO10" s="1115"/>
      <c r="QWP10" s="1115"/>
      <c r="QWQ10" s="1115"/>
      <c r="QWR10" s="1115"/>
      <c r="QWS10" s="1115"/>
      <c r="QWT10" s="1115"/>
      <c r="QWU10" s="1115"/>
      <c r="QWV10" s="1115"/>
      <c r="QWW10" s="1115"/>
      <c r="QWX10" s="1115"/>
      <c r="QWY10" s="1115"/>
      <c r="QWZ10" s="1115"/>
      <c r="QXA10" s="1115"/>
      <c r="QXB10" s="1115"/>
      <c r="QXC10" s="1115"/>
      <c r="QXD10" s="1115"/>
      <c r="QXE10" s="1115"/>
      <c r="QXF10" s="1115"/>
      <c r="QXG10" s="1115"/>
      <c r="QXH10" s="1115"/>
      <c r="QXI10" s="1115"/>
      <c r="QXJ10" s="1115"/>
      <c r="QXK10" s="1115"/>
      <c r="QXL10" s="1115"/>
      <c r="QXM10" s="1115"/>
      <c r="QXN10" s="1115"/>
      <c r="QXO10" s="1115"/>
      <c r="QXP10" s="1115"/>
      <c r="QXQ10" s="1115"/>
      <c r="QXR10" s="1115"/>
      <c r="QXS10" s="1115"/>
      <c r="QXT10" s="1115"/>
      <c r="QXU10" s="1115"/>
      <c r="QXV10" s="1115"/>
      <c r="QXW10" s="1115"/>
      <c r="QXX10" s="1115"/>
      <c r="QXY10" s="1115"/>
      <c r="QXZ10" s="1115"/>
      <c r="QYA10" s="1115"/>
      <c r="QYB10" s="1115"/>
      <c r="QYC10" s="1115"/>
      <c r="QYD10" s="1115"/>
      <c r="QYE10" s="1115"/>
      <c r="QYF10" s="1115"/>
      <c r="QYG10" s="1115"/>
      <c r="QYH10" s="1115"/>
      <c r="QYI10" s="1115"/>
      <c r="QYJ10" s="1115"/>
      <c r="QYK10" s="1115"/>
      <c r="QYL10" s="1115"/>
      <c r="QYM10" s="1115"/>
      <c r="QYN10" s="1115"/>
      <c r="QYO10" s="1115"/>
      <c r="QYP10" s="1115"/>
      <c r="QYQ10" s="1115"/>
      <c r="QYR10" s="1115"/>
      <c r="QYS10" s="1115"/>
      <c r="QYT10" s="1115"/>
      <c r="QYU10" s="1115"/>
      <c r="QYV10" s="1115"/>
      <c r="QYW10" s="1115"/>
      <c r="QYX10" s="1115"/>
      <c r="QYY10" s="1115"/>
      <c r="QYZ10" s="1115"/>
      <c r="QZA10" s="1115"/>
      <c r="QZB10" s="1115"/>
      <c r="QZC10" s="1115"/>
      <c r="QZD10" s="1115"/>
      <c r="QZE10" s="1115"/>
      <c r="QZF10" s="1115"/>
      <c r="QZG10" s="1115"/>
      <c r="QZH10" s="1115"/>
      <c r="QZI10" s="1115"/>
      <c r="QZJ10" s="1115"/>
      <c r="QZK10" s="1115"/>
      <c r="QZL10" s="1115"/>
      <c r="QZM10" s="1115"/>
      <c r="QZN10" s="1115"/>
      <c r="QZO10" s="1115"/>
      <c r="QZP10" s="1115"/>
      <c r="QZQ10" s="1115"/>
      <c r="QZR10" s="1115"/>
      <c r="QZS10" s="1115"/>
      <c r="QZT10" s="1115"/>
      <c r="QZU10" s="1115"/>
      <c r="QZV10" s="1115"/>
      <c r="QZW10" s="1115"/>
      <c r="QZX10" s="1115"/>
      <c r="QZY10" s="1115"/>
      <c r="QZZ10" s="1115"/>
      <c r="RAA10" s="1115"/>
      <c r="RAB10" s="1115"/>
      <c r="RAC10" s="1115"/>
      <c r="RAD10" s="1115"/>
      <c r="RAE10" s="1115"/>
      <c r="RAF10" s="1115"/>
      <c r="RAG10" s="1115"/>
      <c r="RAH10" s="1115"/>
      <c r="RAI10" s="1115"/>
      <c r="RAJ10" s="1115"/>
      <c r="RAK10" s="1115"/>
      <c r="RAL10" s="1115"/>
      <c r="RAM10" s="1115"/>
      <c r="RAN10" s="1115"/>
      <c r="RAO10" s="1115"/>
      <c r="RAP10" s="1115"/>
      <c r="RAQ10" s="1115"/>
      <c r="RAR10" s="1115"/>
      <c r="RAS10" s="1115"/>
      <c r="RAT10" s="1115"/>
      <c r="RAU10" s="1115"/>
      <c r="RAV10" s="1115"/>
      <c r="RAW10" s="1115"/>
      <c r="RAX10" s="1115"/>
      <c r="RAY10" s="1115"/>
      <c r="RAZ10" s="1115"/>
      <c r="RBA10" s="1115"/>
      <c r="RBB10" s="1115"/>
      <c r="RBC10" s="1115"/>
      <c r="RBD10" s="1115"/>
      <c r="RBE10" s="1115"/>
      <c r="RBF10" s="1115"/>
      <c r="RBG10" s="1115"/>
      <c r="RBH10" s="1115"/>
      <c r="RBI10" s="1115"/>
      <c r="RBJ10" s="1115"/>
      <c r="RBK10" s="1115"/>
      <c r="RBL10" s="1115"/>
      <c r="RBM10" s="1115"/>
      <c r="RBN10" s="1115"/>
      <c r="RBO10" s="1115"/>
      <c r="RBP10" s="1115"/>
      <c r="RBQ10" s="1115"/>
      <c r="RBR10" s="1115"/>
      <c r="RBS10" s="1115"/>
      <c r="RBT10" s="1115"/>
      <c r="RBU10" s="1115"/>
      <c r="RBV10" s="1115"/>
      <c r="RBW10" s="1115"/>
      <c r="RBX10" s="1115"/>
      <c r="RBY10" s="1115"/>
      <c r="RBZ10" s="1115"/>
      <c r="RCA10" s="1115"/>
      <c r="RCB10" s="1115"/>
      <c r="RCC10" s="1115"/>
      <c r="RCD10" s="1115"/>
      <c r="RCE10" s="1115"/>
      <c r="RCF10" s="1115"/>
      <c r="RCG10" s="1115"/>
      <c r="RCH10" s="1115"/>
      <c r="RCI10" s="1115"/>
      <c r="RCJ10" s="1115"/>
      <c r="RCK10" s="1115"/>
      <c r="RCL10" s="1115"/>
      <c r="RCM10" s="1115"/>
      <c r="RCN10" s="1115"/>
      <c r="RCO10" s="1115"/>
      <c r="RCP10" s="1115"/>
      <c r="RCQ10" s="1115"/>
      <c r="RCR10" s="1115"/>
      <c r="RCS10" s="1115"/>
      <c r="RCT10" s="1115"/>
      <c r="RCU10" s="1115"/>
      <c r="RCV10" s="1115"/>
      <c r="RCW10" s="1115"/>
      <c r="RCX10" s="1115"/>
      <c r="RCY10" s="1115"/>
      <c r="RCZ10" s="1115"/>
      <c r="RDA10" s="1115"/>
      <c r="RDB10" s="1115"/>
      <c r="RDC10" s="1115"/>
      <c r="RDD10" s="1115"/>
      <c r="RDE10" s="1115"/>
      <c r="RDF10" s="1115"/>
      <c r="RDG10" s="1115"/>
      <c r="RDH10" s="1115"/>
      <c r="RDI10" s="1115"/>
      <c r="RDJ10" s="1115"/>
      <c r="RDK10" s="1115"/>
      <c r="RDL10" s="1115"/>
      <c r="RDM10" s="1115"/>
      <c r="RDN10" s="1115"/>
      <c r="RDO10" s="1115"/>
      <c r="RDP10" s="1115"/>
      <c r="RDQ10" s="1115"/>
      <c r="RDR10" s="1115"/>
      <c r="RDS10" s="1115"/>
      <c r="RDT10" s="1115"/>
      <c r="RDU10" s="1115"/>
      <c r="RDV10" s="1115"/>
      <c r="RDW10" s="1115"/>
      <c r="RDX10" s="1115"/>
      <c r="RDY10" s="1115"/>
      <c r="RDZ10" s="1115"/>
      <c r="REA10" s="1115"/>
      <c r="REB10" s="1115"/>
      <c r="REC10" s="1115"/>
      <c r="RED10" s="1115"/>
      <c r="REE10" s="1115"/>
      <c r="REF10" s="1115"/>
      <c r="REG10" s="1115"/>
      <c r="REH10" s="1115"/>
      <c r="REI10" s="1115"/>
      <c r="REJ10" s="1115"/>
      <c r="REK10" s="1115"/>
      <c r="REL10" s="1115"/>
      <c r="REM10" s="1115"/>
      <c r="REN10" s="1115"/>
      <c r="REO10" s="1115"/>
      <c r="REP10" s="1115"/>
      <c r="REQ10" s="1115"/>
      <c r="RER10" s="1115"/>
      <c r="RES10" s="1115"/>
      <c r="RET10" s="1115"/>
      <c r="REU10" s="1115"/>
      <c r="REV10" s="1115"/>
      <c r="REW10" s="1115"/>
      <c r="REX10" s="1115"/>
      <c r="REY10" s="1115"/>
      <c r="REZ10" s="1115"/>
      <c r="RFA10" s="1115"/>
      <c r="RFB10" s="1115"/>
      <c r="RFC10" s="1115"/>
      <c r="RFD10" s="1115"/>
      <c r="RFE10" s="1115"/>
      <c r="RFF10" s="1115"/>
      <c r="RFG10" s="1115"/>
      <c r="RFH10" s="1115"/>
      <c r="RFI10" s="1115"/>
      <c r="RFJ10" s="1115"/>
      <c r="RFK10" s="1115"/>
      <c r="RFL10" s="1115"/>
      <c r="RFM10" s="1115"/>
      <c r="RFN10" s="1115"/>
      <c r="RFO10" s="1115"/>
      <c r="RFP10" s="1115"/>
      <c r="RFQ10" s="1115"/>
      <c r="RFR10" s="1115"/>
      <c r="RFS10" s="1115"/>
      <c r="RFT10" s="1115"/>
      <c r="RFU10" s="1115"/>
      <c r="RFV10" s="1115"/>
      <c r="RFW10" s="1115"/>
      <c r="RFX10" s="1115"/>
      <c r="RFY10" s="1115"/>
      <c r="RFZ10" s="1115"/>
      <c r="RGA10" s="1115"/>
      <c r="RGB10" s="1115"/>
      <c r="RGC10" s="1115"/>
      <c r="RGD10" s="1115"/>
      <c r="RGE10" s="1115"/>
      <c r="RGF10" s="1115"/>
      <c r="RGG10" s="1115"/>
      <c r="RGH10" s="1115"/>
      <c r="RGI10" s="1115"/>
      <c r="RGJ10" s="1115"/>
      <c r="RGK10" s="1115"/>
      <c r="RGL10" s="1115"/>
      <c r="RGM10" s="1115"/>
      <c r="RGN10" s="1115"/>
      <c r="RGO10" s="1115"/>
      <c r="RGP10" s="1115"/>
      <c r="RGQ10" s="1115"/>
      <c r="RGR10" s="1115"/>
      <c r="RGS10" s="1115"/>
      <c r="RGT10" s="1115"/>
      <c r="RGU10" s="1115"/>
      <c r="RGV10" s="1115"/>
      <c r="RGW10" s="1115"/>
      <c r="RGX10" s="1115"/>
      <c r="RGY10" s="1115"/>
      <c r="RGZ10" s="1115"/>
      <c r="RHA10" s="1115"/>
      <c r="RHB10" s="1115"/>
      <c r="RHC10" s="1115"/>
      <c r="RHD10" s="1115"/>
      <c r="RHE10" s="1115"/>
      <c r="RHF10" s="1115"/>
      <c r="RHG10" s="1115"/>
      <c r="RHH10" s="1115"/>
      <c r="RHI10" s="1115"/>
      <c r="RHJ10" s="1115"/>
      <c r="RHK10" s="1115"/>
      <c r="RHL10" s="1115"/>
      <c r="RHM10" s="1115"/>
      <c r="RHN10" s="1115"/>
      <c r="RHO10" s="1115"/>
      <c r="RHP10" s="1115"/>
      <c r="RHQ10" s="1115"/>
      <c r="RHR10" s="1115"/>
      <c r="RHS10" s="1115"/>
      <c r="RHT10" s="1115"/>
      <c r="RHU10" s="1115"/>
      <c r="RHV10" s="1115"/>
      <c r="RHW10" s="1115"/>
      <c r="RHX10" s="1115"/>
      <c r="RHY10" s="1115"/>
      <c r="RHZ10" s="1115"/>
      <c r="RIA10" s="1115"/>
      <c r="RIB10" s="1115"/>
      <c r="RIC10" s="1115"/>
      <c r="RID10" s="1115"/>
      <c r="RIE10" s="1115"/>
      <c r="RIF10" s="1115"/>
      <c r="RIG10" s="1115"/>
      <c r="RIH10" s="1115"/>
      <c r="RII10" s="1115"/>
      <c r="RIJ10" s="1115"/>
      <c r="RIK10" s="1115"/>
      <c r="RIL10" s="1115"/>
      <c r="RIM10" s="1115"/>
      <c r="RIN10" s="1115"/>
      <c r="RIO10" s="1115"/>
      <c r="RIP10" s="1115"/>
      <c r="RIQ10" s="1115"/>
      <c r="RIR10" s="1115"/>
      <c r="RIS10" s="1115"/>
      <c r="RIT10" s="1115"/>
      <c r="RIU10" s="1115"/>
      <c r="RIV10" s="1115"/>
      <c r="RIW10" s="1115"/>
      <c r="RIX10" s="1115"/>
      <c r="RIY10" s="1115"/>
      <c r="RIZ10" s="1115"/>
      <c r="RJA10" s="1115"/>
      <c r="RJB10" s="1115"/>
      <c r="RJC10" s="1115"/>
      <c r="RJD10" s="1115"/>
      <c r="RJE10" s="1115"/>
      <c r="RJF10" s="1115"/>
      <c r="RJG10" s="1115"/>
      <c r="RJH10" s="1115"/>
      <c r="RJI10" s="1115"/>
      <c r="RJJ10" s="1115"/>
      <c r="RJK10" s="1115"/>
      <c r="RJL10" s="1115"/>
      <c r="RJM10" s="1115"/>
      <c r="RJN10" s="1115"/>
      <c r="RJO10" s="1115"/>
      <c r="RJP10" s="1115"/>
      <c r="RJQ10" s="1115"/>
      <c r="RJR10" s="1115"/>
      <c r="RJS10" s="1115"/>
      <c r="RJT10" s="1115"/>
      <c r="RJU10" s="1115"/>
      <c r="RJV10" s="1115"/>
      <c r="RJW10" s="1115"/>
      <c r="RJX10" s="1115"/>
      <c r="RJY10" s="1115"/>
      <c r="RJZ10" s="1115"/>
      <c r="RKA10" s="1115"/>
      <c r="RKB10" s="1115"/>
      <c r="RKC10" s="1115"/>
      <c r="RKD10" s="1115"/>
      <c r="RKE10" s="1115"/>
      <c r="RKF10" s="1115"/>
      <c r="RKG10" s="1115"/>
      <c r="RKH10" s="1115"/>
      <c r="RKI10" s="1115"/>
      <c r="RKJ10" s="1115"/>
      <c r="RKK10" s="1115"/>
      <c r="RKL10" s="1115"/>
      <c r="RKM10" s="1115"/>
      <c r="RKN10" s="1115"/>
      <c r="RKO10" s="1115"/>
      <c r="RKP10" s="1115"/>
      <c r="RKQ10" s="1115"/>
      <c r="RKR10" s="1115"/>
      <c r="RKS10" s="1115"/>
      <c r="RKT10" s="1115"/>
      <c r="RKU10" s="1115"/>
      <c r="RKV10" s="1115"/>
      <c r="RKW10" s="1115"/>
      <c r="RKX10" s="1115"/>
      <c r="RKY10" s="1115"/>
      <c r="RKZ10" s="1115"/>
      <c r="RLA10" s="1115"/>
      <c r="RLB10" s="1115"/>
      <c r="RLC10" s="1115"/>
      <c r="RLD10" s="1115"/>
      <c r="RLE10" s="1115"/>
      <c r="RLF10" s="1115"/>
      <c r="RLG10" s="1115"/>
      <c r="RLH10" s="1115"/>
      <c r="RLI10" s="1115"/>
      <c r="RLJ10" s="1115"/>
      <c r="RLK10" s="1115"/>
      <c r="RLL10" s="1115"/>
      <c r="RLM10" s="1115"/>
      <c r="RLN10" s="1115"/>
      <c r="RLO10" s="1115"/>
      <c r="RLP10" s="1115"/>
      <c r="RLQ10" s="1115"/>
      <c r="RLR10" s="1115"/>
      <c r="RLS10" s="1115"/>
      <c r="RLT10" s="1115"/>
      <c r="RLU10" s="1115"/>
      <c r="RLV10" s="1115"/>
      <c r="RLW10" s="1115"/>
      <c r="RLX10" s="1115"/>
      <c r="RLY10" s="1115"/>
      <c r="RLZ10" s="1115"/>
      <c r="RMA10" s="1115"/>
      <c r="RMB10" s="1115"/>
      <c r="RMC10" s="1115"/>
      <c r="RMD10" s="1115"/>
      <c r="RME10" s="1115"/>
      <c r="RMF10" s="1115"/>
      <c r="RMG10" s="1115"/>
      <c r="RMH10" s="1115"/>
      <c r="RMI10" s="1115"/>
      <c r="RMJ10" s="1115"/>
      <c r="RMK10" s="1115"/>
      <c r="RML10" s="1115"/>
      <c r="RMM10" s="1115"/>
      <c r="RMN10" s="1115"/>
      <c r="RMO10" s="1115"/>
      <c r="RMP10" s="1115"/>
      <c r="RMQ10" s="1115"/>
      <c r="RMR10" s="1115"/>
      <c r="RMS10" s="1115"/>
      <c r="RMT10" s="1115"/>
      <c r="RMU10" s="1115"/>
      <c r="RMV10" s="1115"/>
      <c r="RMW10" s="1115"/>
      <c r="RMX10" s="1115"/>
      <c r="RMY10" s="1115"/>
      <c r="RMZ10" s="1115"/>
      <c r="RNA10" s="1115"/>
      <c r="RNB10" s="1115"/>
      <c r="RNC10" s="1115"/>
      <c r="RND10" s="1115"/>
      <c r="RNE10" s="1115"/>
      <c r="RNF10" s="1115"/>
      <c r="RNG10" s="1115"/>
      <c r="RNH10" s="1115"/>
      <c r="RNI10" s="1115"/>
      <c r="RNJ10" s="1115"/>
      <c r="RNK10" s="1115"/>
      <c r="RNL10" s="1115"/>
      <c r="RNM10" s="1115"/>
      <c r="RNN10" s="1115"/>
      <c r="RNO10" s="1115"/>
      <c r="RNP10" s="1115"/>
      <c r="RNQ10" s="1115"/>
      <c r="RNR10" s="1115"/>
      <c r="RNS10" s="1115"/>
      <c r="RNT10" s="1115"/>
      <c r="RNU10" s="1115"/>
      <c r="RNV10" s="1115"/>
      <c r="RNW10" s="1115"/>
      <c r="RNX10" s="1115"/>
      <c r="RNY10" s="1115"/>
      <c r="RNZ10" s="1115"/>
      <c r="ROA10" s="1115"/>
      <c r="ROB10" s="1115"/>
      <c r="ROC10" s="1115"/>
      <c r="ROD10" s="1115"/>
      <c r="ROE10" s="1115"/>
      <c r="ROF10" s="1115"/>
      <c r="ROG10" s="1115"/>
      <c r="ROH10" s="1115"/>
      <c r="ROI10" s="1115"/>
      <c r="ROJ10" s="1115"/>
      <c r="ROK10" s="1115"/>
      <c r="ROL10" s="1115"/>
      <c r="ROM10" s="1115"/>
      <c r="RON10" s="1115"/>
      <c r="ROO10" s="1115"/>
      <c r="ROP10" s="1115"/>
      <c r="ROQ10" s="1115"/>
      <c r="ROR10" s="1115"/>
      <c r="ROS10" s="1115"/>
      <c r="ROT10" s="1115"/>
      <c r="ROU10" s="1115"/>
      <c r="ROV10" s="1115"/>
      <c r="ROW10" s="1115"/>
      <c r="ROX10" s="1115"/>
      <c r="ROY10" s="1115"/>
      <c r="ROZ10" s="1115"/>
      <c r="RPA10" s="1115"/>
      <c r="RPB10" s="1115"/>
      <c r="RPC10" s="1115"/>
      <c r="RPD10" s="1115"/>
      <c r="RPE10" s="1115"/>
      <c r="RPF10" s="1115"/>
      <c r="RPG10" s="1115"/>
      <c r="RPH10" s="1115"/>
      <c r="RPI10" s="1115"/>
      <c r="RPJ10" s="1115"/>
      <c r="RPK10" s="1115"/>
      <c r="RPL10" s="1115"/>
      <c r="RPM10" s="1115"/>
      <c r="RPN10" s="1115"/>
      <c r="RPO10" s="1115"/>
      <c r="RPP10" s="1115"/>
      <c r="RPQ10" s="1115"/>
      <c r="RPR10" s="1115"/>
      <c r="RPS10" s="1115"/>
      <c r="RPT10" s="1115"/>
      <c r="RPU10" s="1115"/>
      <c r="RPV10" s="1115"/>
      <c r="RPW10" s="1115"/>
      <c r="RPX10" s="1115"/>
      <c r="RPY10" s="1115"/>
      <c r="RPZ10" s="1115"/>
      <c r="RQA10" s="1115"/>
      <c r="RQB10" s="1115"/>
      <c r="RQC10" s="1115"/>
      <c r="RQD10" s="1115"/>
      <c r="RQE10" s="1115"/>
      <c r="RQF10" s="1115"/>
      <c r="RQG10" s="1115"/>
      <c r="RQH10" s="1115"/>
      <c r="RQI10" s="1115"/>
      <c r="RQJ10" s="1115"/>
      <c r="RQK10" s="1115"/>
      <c r="RQL10" s="1115"/>
      <c r="RQM10" s="1115"/>
      <c r="RQN10" s="1115"/>
      <c r="RQO10" s="1115"/>
      <c r="RQP10" s="1115"/>
      <c r="RQQ10" s="1115"/>
      <c r="RQR10" s="1115"/>
      <c r="RQS10" s="1115"/>
      <c r="RQT10" s="1115"/>
      <c r="RQU10" s="1115"/>
      <c r="RQV10" s="1115"/>
      <c r="RQW10" s="1115"/>
      <c r="RQX10" s="1115"/>
      <c r="RQY10" s="1115"/>
      <c r="RQZ10" s="1115"/>
      <c r="RRA10" s="1115"/>
      <c r="RRB10" s="1115"/>
      <c r="RRC10" s="1115"/>
      <c r="RRD10" s="1115"/>
      <c r="RRE10" s="1115"/>
      <c r="RRF10" s="1115"/>
      <c r="RRG10" s="1115"/>
      <c r="RRH10" s="1115"/>
      <c r="RRI10" s="1115"/>
      <c r="RRJ10" s="1115"/>
      <c r="RRK10" s="1115"/>
      <c r="RRL10" s="1115"/>
      <c r="RRM10" s="1115"/>
      <c r="RRN10" s="1115"/>
      <c r="RRO10" s="1115"/>
      <c r="RRP10" s="1115"/>
      <c r="RRQ10" s="1115"/>
      <c r="RRR10" s="1115"/>
      <c r="RRS10" s="1115"/>
      <c r="RRT10" s="1115"/>
      <c r="RRU10" s="1115"/>
      <c r="RRV10" s="1115"/>
      <c r="RRW10" s="1115"/>
      <c r="RRX10" s="1115"/>
      <c r="RRY10" s="1115"/>
      <c r="RRZ10" s="1115"/>
      <c r="RSA10" s="1115"/>
      <c r="RSB10" s="1115"/>
      <c r="RSC10" s="1115"/>
      <c r="RSD10" s="1115"/>
      <c r="RSE10" s="1115"/>
      <c r="RSF10" s="1115"/>
      <c r="RSG10" s="1115"/>
      <c r="RSH10" s="1115"/>
      <c r="RSI10" s="1115"/>
      <c r="RSJ10" s="1115"/>
      <c r="RSK10" s="1115"/>
      <c r="RSL10" s="1115"/>
      <c r="RSM10" s="1115"/>
      <c r="RSN10" s="1115"/>
      <c r="RSO10" s="1115"/>
      <c r="RSP10" s="1115"/>
      <c r="RSQ10" s="1115"/>
      <c r="RSR10" s="1115"/>
      <c r="RSS10" s="1115"/>
      <c r="RST10" s="1115"/>
      <c r="RSU10" s="1115"/>
      <c r="RSV10" s="1115"/>
      <c r="RSW10" s="1115"/>
      <c r="RSX10" s="1115"/>
      <c r="RSY10" s="1115"/>
      <c r="RSZ10" s="1115"/>
      <c r="RTA10" s="1115"/>
      <c r="RTB10" s="1115"/>
      <c r="RTC10" s="1115"/>
      <c r="RTD10" s="1115"/>
      <c r="RTE10" s="1115"/>
      <c r="RTF10" s="1115"/>
      <c r="RTG10" s="1115"/>
      <c r="RTH10" s="1115"/>
      <c r="RTI10" s="1115"/>
      <c r="RTJ10" s="1115"/>
      <c r="RTK10" s="1115"/>
      <c r="RTL10" s="1115"/>
      <c r="RTM10" s="1115"/>
      <c r="RTN10" s="1115"/>
      <c r="RTO10" s="1115"/>
      <c r="RTP10" s="1115"/>
      <c r="RTQ10" s="1115"/>
      <c r="RTR10" s="1115"/>
      <c r="RTS10" s="1115"/>
      <c r="RTT10" s="1115"/>
      <c r="RTU10" s="1115"/>
      <c r="RTV10" s="1115"/>
      <c r="RTW10" s="1115"/>
      <c r="RTX10" s="1115"/>
      <c r="RTY10" s="1115"/>
      <c r="RTZ10" s="1115"/>
      <c r="RUA10" s="1115"/>
      <c r="RUB10" s="1115"/>
      <c r="RUC10" s="1115"/>
      <c r="RUD10" s="1115"/>
      <c r="RUE10" s="1115"/>
      <c r="RUF10" s="1115"/>
      <c r="RUG10" s="1115"/>
      <c r="RUH10" s="1115"/>
      <c r="RUI10" s="1115"/>
      <c r="RUJ10" s="1115"/>
      <c r="RUK10" s="1115"/>
      <c r="RUL10" s="1115"/>
      <c r="RUM10" s="1115"/>
      <c r="RUN10" s="1115"/>
      <c r="RUO10" s="1115"/>
      <c r="RUP10" s="1115"/>
      <c r="RUQ10" s="1115"/>
      <c r="RUR10" s="1115"/>
      <c r="RUS10" s="1115"/>
      <c r="RUT10" s="1115"/>
      <c r="RUU10" s="1115"/>
      <c r="RUV10" s="1115"/>
      <c r="RUW10" s="1115"/>
      <c r="RUX10" s="1115"/>
      <c r="RUY10" s="1115"/>
      <c r="RUZ10" s="1115"/>
      <c r="RVA10" s="1115"/>
      <c r="RVB10" s="1115"/>
      <c r="RVC10" s="1115"/>
      <c r="RVD10" s="1115"/>
      <c r="RVE10" s="1115"/>
      <c r="RVF10" s="1115"/>
      <c r="RVG10" s="1115"/>
      <c r="RVH10" s="1115"/>
      <c r="RVI10" s="1115"/>
      <c r="RVJ10" s="1115"/>
      <c r="RVK10" s="1115"/>
      <c r="RVL10" s="1115"/>
      <c r="RVM10" s="1115"/>
      <c r="RVN10" s="1115"/>
      <c r="RVO10" s="1115"/>
      <c r="RVP10" s="1115"/>
      <c r="RVQ10" s="1115"/>
      <c r="RVR10" s="1115"/>
      <c r="RVS10" s="1115"/>
      <c r="RVT10" s="1115"/>
      <c r="RVU10" s="1115"/>
      <c r="RVV10" s="1115"/>
      <c r="RVW10" s="1115"/>
      <c r="RVX10" s="1115"/>
      <c r="RVY10" s="1115"/>
      <c r="RVZ10" s="1115"/>
      <c r="RWA10" s="1115"/>
      <c r="RWB10" s="1115"/>
      <c r="RWC10" s="1115"/>
      <c r="RWD10" s="1115"/>
      <c r="RWE10" s="1115"/>
      <c r="RWF10" s="1115"/>
      <c r="RWG10" s="1115"/>
      <c r="RWH10" s="1115"/>
      <c r="RWI10" s="1115"/>
      <c r="RWJ10" s="1115"/>
      <c r="RWK10" s="1115"/>
      <c r="RWL10" s="1115"/>
      <c r="RWM10" s="1115"/>
      <c r="RWN10" s="1115"/>
      <c r="RWO10" s="1115"/>
      <c r="RWP10" s="1115"/>
      <c r="RWQ10" s="1115"/>
      <c r="RWR10" s="1115"/>
      <c r="RWS10" s="1115"/>
      <c r="RWT10" s="1115"/>
      <c r="RWU10" s="1115"/>
      <c r="RWV10" s="1115"/>
      <c r="RWW10" s="1115"/>
      <c r="RWX10" s="1115"/>
      <c r="RWY10" s="1115"/>
      <c r="RWZ10" s="1115"/>
      <c r="RXA10" s="1115"/>
      <c r="RXB10" s="1115"/>
      <c r="RXC10" s="1115"/>
      <c r="RXD10" s="1115"/>
      <c r="RXE10" s="1115"/>
      <c r="RXF10" s="1115"/>
      <c r="RXG10" s="1115"/>
      <c r="RXH10" s="1115"/>
      <c r="RXI10" s="1115"/>
      <c r="RXJ10" s="1115"/>
      <c r="RXK10" s="1115"/>
      <c r="RXL10" s="1115"/>
      <c r="RXM10" s="1115"/>
      <c r="RXN10" s="1115"/>
      <c r="RXO10" s="1115"/>
      <c r="RXP10" s="1115"/>
      <c r="RXQ10" s="1115"/>
      <c r="RXR10" s="1115"/>
      <c r="RXS10" s="1115"/>
      <c r="RXT10" s="1115"/>
      <c r="RXU10" s="1115"/>
      <c r="RXV10" s="1115"/>
      <c r="RXW10" s="1115"/>
      <c r="RXX10" s="1115"/>
      <c r="RXY10" s="1115"/>
      <c r="RXZ10" s="1115"/>
      <c r="RYA10" s="1115"/>
      <c r="RYB10" s="1115"/>
      <c r="RYC10" s="1115"/>
      <c r="RYD10" s="1115"/>
      <c r="RYE10" s="1115"/>
      <c r="RYF10" s="1115"/>
      <c r="RYG10" s="1115"/>
      <c r="RYH10" s="1115"/>
      <c r="RYI10" s="1115"/>
      <c r="RYJ10" s="1115"/>
      <c r="RYK10" s="1115"/>
      <c r="RYL10" s="1115"/>
      <c r="RYM10" s="1115"/>
      <c r="RYN10" s="1115"/>
      <c r="RYO10" s="1115"/>
      <c r="RYP10" s="1115"/>
      <c r="RYQ10" s="1115"/>
      <c r="RYR10" s="1115"/>
      <c r="RYS10" s="1115"/>
      <c r="RYT10" s="1115"/>
      <c r="RYU10" s="1115"/>
      <c r="RYV10" s="1115"/>
      <c r="RYW10" s="1115"/>
      <c r="RYX10" s="1115"/>
      <c r="RYY10" s="1115"/>
      <c r="RYZ10" s="1115"/>
      <c r="RZA10" s="1115"/>
      <c r="RZB10" s="1115"/>
      <c r="RZC10" s="1115"/>
      <c r="RZD10" s="1115"/>
      <c r="RZE10" s="1115"/>
      <c r="RZF10" s="1115"/>
      <c r="RZG10" s="1115"/>
      <c r="RZH10" s="1115"/>
      <c r="RZI10" s="1115"/>
      <c r="RZJ10" s="1115"/>
      <c r="RZK10" s="1115"/>
      <c r="RZL10" s="1115"/>
      <c r="RZM10" s="1115"/>
      <c r="RZN10" s="1115"/>
      <c r="RZO10" s="1115"/>
      <c r="RZP10" s="1115"/>
      <c r="RZQ10" s="1115"/>
      <c r="RZR10" s="1115"/>
      <c r="RZS10" s="1115"/>
      <c r="RZT10" s="1115"/>
      <c r="RZU10" s="1115"/>
      <c r="RZV10" s="1115"/>
      <c r="RZW10" s="1115"/>
      <c r="RZX10" s="1115"/>
      <c r="RZY10" s="1115"/>
      <c r="RZZ10" s="1115"/>
      <c r="SAA10" s="1115"/>
      <c r="SAB10" s="1115"/>
      <c r="SAC10" s="1115"/>
      <c r="SAD10" s="1115"/>
      <c r="SAE10" s="1115"/>
      <c r="SAF10" s="1115"/>
      <c r="SAG10" s="1115"/>
      <c r="SAH10" s="1115"/>
      <c r="SAI10" s="1115"/>
      <c r="SAJ10" s="1115"/>
      <c r="SAK10" s="1115"/>
      <c r="SAL10" s="1115"/>
      <c r="SAM10" s="1115"/>
      <c r="SAN10" s="1115"/>
      <c r="SAO10" s="1115"/>
      <c r="SAP10" s="1115"/>
      <c r="SAQ10" s="1115"/>
      <c r="SAR10" s="1115"/>
      <c r="SAS10" s="1115"/>
      <c r="SAT10" s="1115"/>
      <c r="SAU10" s="1115"/>
      <c r="SAV10" s="1115"/>
      <c r="SAW10" s="1115"/>
      <c r="SAX10" s="1115"/>
      <c r="SAY10" s="1115"/>
      <c r="SAZ10" s="1115"/>
      <c r="SBA10" s="1115"/>
      <c r="SBB10" s="1115"/>
      <c r="SBC10" s="1115"/>
      <c r="SBD10" s="1115"/>
      <c r="SBE10" s="1115"/>
      <c r="SBF10" s="1115"/>
      <c r="SBG10" s="1115"/>
      <c r="SBH10" s="1115"/>
      <c r="SBI10" s="1115"/>
      <c r="SBJ10" s="1115"/>
      <c r="SBK10" s="1115"/>
      <c r="SBL10" s="1115"/>
      <c r="SBM10" s="1115"/>
      <c r="SBN10" s="1115"/>
      <c r="SBO10" s="1115"/>
      <c r="SBP10" s="1115"/>
      <c r="SBQ10" s="1115"/>
      <c r="SBR10" s="1115"/>
      <c r="SBS10" s="1115"/>
      <c r="SBT10" s="1115"/>
      <c r="SBU10" s="1115"/>
      <c r="SBV10" s="1115"/>
      <c r="SBW10" s="1115"/>
      <c r="SBX10" s="1115"/>
      <c r="SBY10" s="1115"/>
      <c r="SBZ10" s="1115"/>
      <c r="SCA10" s="1115"/>
      <c r="SCB10" s="1115"/>
      <c r="SCC10" s="1115"/>
      <c r="SCD10" s="1115"/>
      <c r="SCE10" s="1115"/>
      <c r="SCF10" s="1115"/>
      <c r="SCG10" s="1115"/>
      <c r="SCH10" s="1115"/>
      <c r="SCI10" s="1115"/>
      <c r="SCJ10" s="1115"/>
      <c r="SCK10" s="1115"/>
      <c r="SCL10" s="1115"/>
      <c r="SCM10" s="1115"/>
      <c r="SCN10" s="1115"/>
      <c r="SCO10" s="1115"/>
      <c r="SCP10" s="1115"/>
      <c r="SCQ10" s="1115"/>
      <c r="SCR10" s="1115"/>
      <c r="SCS10" s="1115"/>
      <c r="SCT10" s="1115"/>
      <c r="SCU10" s="1115"/>
      <c r="SCV10" s="1115"/>
      <c r="SCW10" s="1115"/>
      <c r="SCX10" s="1115"/>
      <c r="SCY10" s="1115"/>
      <c r="SCZ10" s="1115"/>
      <c r="SDA10" s="1115"/>
      <c r="SDB10" s="1115"/>
      <c r="SDC10" s="1115"/>
      <c r="SDD10" s="1115"/>
      <c r="SDE10" s="1115"/>
      <c r="SDF10" s="1115"/>
      <c r="SDG10" s="1115"/>
      <c r="SDH10" s="1115"/>
      <c r="SDI10" s="1115"/>
      <c r="SDJ10" s="1115"/>
      <c r="SDK10" s="1115"/>
      <c r="SDL10" s="1115"/>
      <c r="SDM10" s="1115"/>
      <c r="SDN10" s="1115"/>
      <c r="SDO10" s="1115"/>
      <c r="SDP10" s="1115"/>
      <c r="SDQ10" s="1115"/>
      <c r="SDR10" s="1115"/>
      <c r="SDS10" s="1115"/>
      <c r="SDT10" s="1115"/>
      <c r="SDU10" s="1115"/>
      <c r="SDV10" s="1115"/>
      <c r="SDW10" s="1115"/>
      <c r="SDX10" s="1115"/>
      <c r="SDY10" s="1115"/>
      <c r="SDZ10" s="1115"/>
      <c r="SEA10" s="1115"/>
      <c r="SEB10" s="1115"/>
      <c r="SEC10" s="1115"/>
      <c r="SED10" s="1115"/>
      <c r="SEE10" s="1115"/>
      <c r="SEF10" s="1115"/>
      <c r="SEG10" s="1115"/>
      <c r="SEH10" s="1115"/>
      <c r="SEI10" s="1115"/>
      <c r="SEJ10" s="1115"/>
      <c r="SEK10" s="1115"/>
      <c r="SEL10" s="1115"/>
      <c r="SEM10" s="1115"/>
      <c r="SEN10" s="1115"/>
      <c r="SEO10" s="1115"/>
      <c r="SEP10" s="1115"/>
      <c r="SEQ10" s="1115"/>
      <c r="SER10" s="1115"/>
      <c r="SES10" s="1115"/>
      <c r="SET10" s="1115"/>
      <c r="SEU10" s="1115"/>
      <c r="SEV10" s="1115"/>
      <c r="SEW10" s="1115"/>
      <c r="SEX10" s="1115"/>
      <c r="SEY10" s="1115"/>
      <c r="SEZ10" s="1115"/>
      <c r="SFA10" s="1115"/>
      <c r="SFB10" s="1115"/>
      <c r="SFC10" s="1115"/>
      <c r="SFD10" s="1115"/>
      <c r="SFE10" s="1115"/>
      <c r="SFF10" s="1115"/>
      <c r="SFG10" s="1115"/>
      <c r="SFH10" s="1115"/>
      <c r="SFI10" s="1115"/>
      <c r="SFJ10" s="1115"/>
      <c r="SFK10" s="1115"/>
      <c r="SFL10" s="1115"/>
      <c r="SFM10" s="1115"/>
      <c r="SFN10" s="1115"/>
      <c r="SFO10" s="1115"/>
      <c r="SFP10" s="1115"/>
      <c r="SFQ10" s="1115"/>
      <c r="SFR10" s="1115"/>
      <c r="SFS10" s="1115"/>
      <c r="SFT10" s="1115"/>
      <c r="SFU10" s="1115"/>
      <c r="SFV10" s="1115"/>
      <c r="SFW10" s="1115"/>
      <c r="SFX10" s="1115"/>
      <c r="SFY10" s="1115"/>
      <c r="SFZ10" s="1115"/>
      <c r="SGA10" s="1115"/>
      <c r="SGB10" s="1115"/>
      <c r="SGC10" s="1115"/>
      <c r="SGD10" s="1115"/>
      <c r="SGE10" s="1115"/>
      <c r="SGF10" s="1115"/>
      <c r="SGG10" s="1115"/>
      <c r="SGH10" s="1115"/>
      <c r="SGI10" s="1115"/>
      <c r="SGJ10" s="1115"/>
      <c r="SGK10" s="1115"/>
      <c r="SGL10" s="1115"/>
      <c r="SGM10" s="1115"/>
      <c r="SGN10" s="1115"/>
      <c r="SGO10" s="1115"/>
      <c r="SGP10" s="1115"/>
      <c r="SGQ10" s="1115"/>
      <c r="SGR10" s="1115"/>
      <c r="SGS10" s="1115"/>
      <c r="SGT10" s="1115"/>
      <c r="SGU10" s="1115"/>
      <c r="SGV10" s="1115"/>
      <c r="SGW10" s="1115"/>
      <c r="SGX10" s="1115"/>
      <c r="SGY10" s="1115"/>
      <c r="SGZ10" s="1115"/>
      <c r="SHA10" s="1115"/>
      <c r="SHB10" s="1115"/>
      <c r="SHC10" s="1115"/>
      <c r="SHD10" s="1115"/>
      <c r="SHE10" s="1115"/>
      <c r="SHF10" s="1115"/>
      <c r="SHG10" s="1115"/>
      <c r="SHH10" s="1115"/>
      <c r="SHI10" s="1115"/>
      <c r="SHJ10" s="1115"/>
      <c r="SHK10" s="1115"/>
      <c r="SHL10" s="1115"/>
      <c r="SHM10" s="1115"/>
      <c r="SHN10" s="1115"/>
      <c r="SHO10" s="1115"/>
      <c r="SHP10" s="1115"/>
      <c r="SHQ10" s="1115"/>
      <c r="SHR10" s="1115"/>
      <c r="SHS10" s="1115"/>
      <c r="SHT10" s="1115"/>
      <c r="SHU10" s="1115"/>
      <c r="SHV10" s="1115"/>
      <c r="SHW10" s="1115"/>
      <c r="SHX10" s="1115"/>
      <c r="SHY10" s="1115"/>
      <c r="SHZ10" s="1115"/>
      <c r="SIA10" s="1115"/>
      <c r="SIB10" s="1115"/>
      <c r="SIC10" s="1115"/>
      <c r="SID10" s="1115"/>
      <c r="SIE10" s="1115"/>
      <c r="SIF10" s="1115"/>
      <c r="SIG10" s="1115"/>
      <c r="SIH10" s="1115"/>
      <c r="SII10" s="1115"/>
      <c r="SIJ10" s="1115"/>
      <c r="SIK10" s="1115"/>
      <c r="SIL10" s="1115"/>
      <c r="SIM10" s="1115"/>
      <c r="SIN10" s="1115"/>
      <c r="SIO10" s="1115"/>
      <c r="SIP10" s="1115"/>
      <c r="SIQ10" s="1115"/>
      <c r="SIR10" s="1115"/>
      <c r="SIS10" s="1115"/>
      <c r="SIT10" s="1115"/>
      <c r="SIU10" s="1115"/>
      <c r="SIV10" s="1115"/>
      <c r="SIW10" s="1115"/>
      <c r="SIX10" s="1115"/>
      <c r="SIY10" s="1115"/>
      <c r="SIZ10" s="1115"/>
      <c r="SJA10" s="1115"/>
      <c r="SJB10" s="1115"/>
      <c r="SJC10" s="1115"/>
      <c r="SJD10" s="1115"/>
      <c r="SJE10" s="1115"/>
      <c r="SJF10" s="1115"/>
      <c r="SJG10" s="1115"/>
      <c r="SJH10" s="1115"/>
      <c r="SJI10" s="1115"/>
      <c r="SJJ10" s="1115"/>
      <c r="SJK10" s="1115"/>
      <c r="SJL10" s="1115"/>
      <c r="SJM10" s="1115"/>
      <c r="SJN10" s="1115"/>
      <c r="SJO10" s="1115"/>
      <c r="SJP10" s="1115"/>
      <c r="SJQ10" s="1115"/>
      <c r="SJR10" s="1115"/>
      <c r="SJS10" s="1115"/>
      <c r="SJT10" s="1115"/>
      <c r="SJU10" s="1115"/>
      <c r="SJV10" s="1115"/>
      <c r="SJW10" s="1115"/>
      <c r="SJX10" s="1115"/>
      <c r="SJY10" s="1115"/>
      <c r="SJZ10" s="1115"/>
      <c r="SKA10" s="1115"/>
      <c r="SKB10" s="1115"/>
      <c r="SKC10" s="1115"/>
      <c r="SKD10" s="1115"/>
      <c r="SKE10" s="1115"/>
      <c r="SKF10" s="1115"/>
      <c r="SKG10" s="1115"/>
      <c r="SKH10" s="1115"/>
      <c r="SKI10" s="1115"/>
      <c r="SKJ10" s="1115"/>
      <c r="SKK10" s="1115"/>
      <c r="SKL10" s="1115"/>
      <c r="SKM10" s="1115"/>
      <c r="SKN10" s="1115"/>
      <c r="SKO10" s="1115"/>
      <c r="SKP10" s="1115"/>
      <c r="SKQ10" s="1115"/>
      <c r="SKR10" s="1115"/>
      <c r="SKS10" s="1115"/>
      <c r="SKT10" s="1115"/>
      <c r="SKU10" s="1115"/>
      <c r="SKV10" s="1115"/>
      <c r="SKW10" s="1115"/>
      <c r="SKX10" s="1115"/>
      <c r="SKY10" s="1115"/>
      <c r="SKZ10" s="1115"/>
      <c r="SLA10" s="1115"/>
      <c r="SLB10" s="1115"/>
      <c r="SLC10" s="1115"/>
      <c r="SLD10" s="1115"/>
      <c r="SLE10" s="1115"/>
      <c r="SLF10" s="1115"/>
      <c r="SLG10" s="1115"/>
      <c r="SLH10" s="1115"/>
      <c r="SLI10" s="1115"/>
      <c r="SLJ10" s="1115"/>
      <c r="SLK10" s="1115"/>
      <c r="SLL10" s="1115"/>
      <c r="SLM10" s="1115"/>
      <c r="SLN10" s="1115"/>
      <c r="SLO10" s="1115"/>
      <c r="SLP10" s="1115"/>
      <c r="SLQ10" s="1115"/>
      <c r="SLR10" s="1115"/>
      <c r="SLS10" s="1115"/>
      <c r="SLT10" s="1115"/>
      <c r="SLU10" s="1115"/>
      <c r="SLV10" s="1115"/>
      <c r="SLW10" s="1115"/>
      <c r="SLX10" s="1115"/>
      <c r="SLY10" s="1115"/>
      <c r="SLZ10" s="1115"/>
      <c r="SMA10" s="1115"/>
      <c r="SMB10" s="1115"/>
      <c r="SMC10" s="1115"/>
      <c r="SMD10" s="1115"/>
      <c r="SME10" s="1115"/>
      <c r="SMF10" s="1115"/>
      <c r="SMG10" s="1115"/>
      <c r="SMH10" s="1115"/>
      <c r="SMI10" s="1115"/>
      <c r="SMJ10" s="1115"/>
      <c r="SMK10" s="1115"/>
      <c r="SML10" s="1115"/>
      <c r="SMM10" s="1115"/>
      <c r="SMN10" s="1115"/>
      <c r="SMO10" s="1115"/>
      <c r="SMP10" s="1115"/>
      <c r="SMQ10" s="1115"/>
      <c r="SMR10" s="1115"/>
      <c r="SMS10" s="1115"/>
      <c r="SMT10" s="1115"/>
      <c r="SMU10" s="1115"/>
      <c r="SMV10" s="1115"/>
      <c r="SMW10" s="1115"/>
      <c r="SMX10" s="1115"/>
      <c r="SMY10" s="1115"/>
      <c r="SMZ10" s="1115"/>
      <c r="SNA10" s="1115"/>
      <c r="SNB10" s="1115"/>
      <c r="SNC10" s="1115"/>
      <c r="SND10" s="1115"/>
      <c r="SNE10" s="1115"/>
      <c r="SNF10" s="1115"/>
      <c r="SNG10" s="1115"/>
      <c r="SNH10" s="1115"/>
      <c r="SNI10" s="1115"/>
      <c r="SNJ10" s="1115"/>
      <c r="SNK10" s="1115"/>
      <c r="SNL10" s="1115"/>
      <c r="SNM10" s="1115"/>
      <c r="SNN10" s="1115"/>
      <c r="SNO10" s="1115"/>
      <c r="SNP10" s="1115"/>
      <c r="SNQ10" s="1115"/>
      <c r="SNR10" s="1115"/>
      <c r="SNS10" s="1115"/>
      <c r="SNT10" s="1115"/>
      <c r="SNU10" s="1115"/>
      <c r="SNV10" s="1115"/>
      <c r="SNW10" s="1115"/>
      <c r="SNX10" s="1115"/>
      <c r="SNY10" s="1115"/>
      <c r="SNZ10" s="1115"/>
      <c r="SOA10" s="1115"/>
      <c r="SOB10" s="1115"/>
      <c r="SOC10" s="1115"/>
      <c r="SOD10" s="1115"/>
      <c r="SOE10" s="1115"/>
      <c r="SOF10" s="1115"/>
      <c r="SOG10" s="1115"/>
      <c r="SOH10" s="1115"/>
      <c r="SOI10" s="1115"/>
      <c r="SOJ10" s="1115"/>
      <c r="SOK10" s="1115"/>
      <c r="SOL10" s="1115"/>
      <c r="SOM10" s="1115"/>
      <c r="SON10" s="1115"/>
      <c r="SOO10" s="1115"/>
      <c r="SOP10" s="1115"/>
      <c r="SOQ10" s="1115"/>
      <c r="SOR10" s="1115"/>
      <c r="SOS10" s="1115"/>
      <c r="SOT10" s="1115"/>
      <c r="SOU10" s="1115"/>
      <c r="SOV10" s="1115"/>
      <c r="SOW10" s="1115"/>
      <c r="SOX10" s="1115"/>
      <c r="SOY10" s="1115"/>
      <c r="SOZ10" s="1115"/>
      <c r="SPA10" s="1115"/>
      <c r="SPB10" s="1115"/>
      <c r="SPC10" s="1115"/>
      <c r="SPD10" s="1115"/>
      <c r="SPE10" s="1115"/>
      <c r="SPF10" s="1115"/>
      <c r="SPG10" s="1115"/>
      <c r="SPH10" s="1115"/>
      <c r="SPI10" s="1115"/>
      <c r="SPJ10" s="1115"/>
      <c r="SPK10" s="1115"/>
      <c r="SPL10" s="1115"/>
      <c r="SPM10" s="1115"/>
      <c r="SPN10" s="1115"/>
      <c r="SPO10" s="1115"/>
      <c r="SPP10" s="1115"/>
      <c r="SPQ10" s="1115"/>
      <c r="SPR10" s="1115"/>
      <c r="SPS10" s="1115"/>
      <c r="SPT10" s="1115"/>
      <c r="SPU10" s="1115"/>
      <c r="SPV10" s="1115"/>
      <c r="SPW10" s="1115"/>
      <c r="SPX10" s="1115"/>
      <c r="SPY10" s="1115"/>
      <c r="SPZ10" s="1115"/>
      <c r="SQA10" s="1115"/>
      <c r="SQB10" s="1115"/>
      <c r="SQC10" s="1115"/>
      <c r="SQD10" s="1115"/>
      <c r="SQE10" s="1115"/>
      <c r="SQF10" s="1115"/>
      <c r="SQG10" s="1115"/>
      <c r="SQH10" s="1115"/>
      <c r="SQI10" s="1115"/>
      <c r="SQJ10" s="1115"/>
      <c r="SQK10" s="1115"/>
      <c r="SQL10" s="1115"/>
      <c r="SQM10" s="1115"/>
      <c r="SQN10" s="1115"/>
      <c r="SQO10" s="1115"/>
      <c r="SQP10" s="1115"/>
      <c r="SQQ10" s="1115"/>
      <c r="SQR10" s="1115"/>
      <c r="SQS10" s="1115"/>
      <c r="SQT10" s="1115"/>
      <c r="SQU10" s="1115"/>
      <c r="SQV10" s="1115"/>
      <c r="SQW10" s="1115"/>
      <c r="SQX10" s="1115"/>
      <c r="SQY10" s="1115"/>
      <c r="SQZ10" s="1115"/>
      <c r="SRA10" s="1115"/>
      <c r="SRB10" s="1115"/>
      <c r="SRC10" s="1115"/>
      <c r="SRD10" s="1115"/>
      <c r="SRE10" s="1115"/>
      <c r="SRF10" s="1115"/>
      <c r="SRG10" s="1115"/>
      <c r="SRH10" s="1115"/>
      <c r="SRI10" s="1115"/>
      <c r="SRJ10" s="1115"/>
      <c r="SRK10" s="1115"/>
      <c r="SRL10" s="1115"/>
      <c r="SRM10" s="1115"/>
      <c r="SRN10" s="1115"/>
      <c r="SRO10" s="1115"/>
      <c r="SRP10" s="1115"/>
      <c r="SRQ10" s="1115"/>
      <c r="SRR10" s="1115"/>
      <c r="SRS10" s="1115"/>
      <c r="SRT10" s="1115"/>
      <c r="SRU10" s="1115"/>
      <c r="SRV10" s="1115"/>
      <c r="SRW10" s="1115"/>
      <c r="SRX10" s="1115"/>
      <c r="SRY10" s="1115"/>
      <c r="SRZ10" s="1115"/>
      <c r="SSA10" s="1115"/>
      <c r="SSB10" s="1115"/>
      <c r="SSC10" s="1115"/>
      <c r="SSD10" s="1115"/>
      <c r="SSE10" s="1115"/>
      <c r="SSF10" s="1115"/>
      <c r="SSG10" s="1115"/>
      <c r="SSH10" s="1115"/>
      <c r="SSI10" s="1115"/>
      <c r="SSJ10" s="1115"/>
      <c r="SSK10" s="1115"/>
      <c r="SSL10" s="1115"/>
      <c r="SSM10" s="1115"/>
      <c r="SSN10" s="1115"/>
      <c r="SSO10" s="1115"/>
      <c r="SSP10" s="1115"/>
      <c r="SSQ10" s="1115"/>
      <c r="SSR10" s="1115"/>
      <c r="SSS10" s="1115"/>
      <c r="SST10" s="1115"/>
      <c r="SSU10" s="1115"/>
      <c r="SSV10" s="1115"/>
      <c r="SSW10" s="1115"/>
      <c r="SSX10" s="1115"/>
      <c r="SSY10" s="1115"/>
      <c r="SSZ10" s="1115"/>
      <c r="STA10" s="1115"/>
      <c r="STB10" s="1115"/>
      <c r="STC10" s="1115"/>
      <c r="STD10" s="1115"/>
      <c r="STE10" s="1115"/>
      <c r="STF10" s="1115"/>
      <c r="STG10" s="1115"/>
      <c r="STH10" s="1115"/>
      <c r="STI10" s="1115"/>
      <c r="STJ10" s="1115"/>
      <c r="STK10" s="1115"/>
      <c r="STL10" s="1115"/>
      <c r="STM10" s="1115"/>
      <c r="STN10" s="1115"/>
      <c r="STO10" s="1115"/>
      <c r="STP10" s="1115"/>
      <c r="STQ10" s="1115"/>
      <c r="STR10" s="1115"/>
      <c r="STS10" s="1115"/>
      <c r="STT10" s="1115"/>
      <c r="STU10" s="1115"/>
      <c r="STV10" s="1115"/>
      <c r="STW10" s="1115"/>
      <c r="STX10" s="1115"/>
      <c r="STY10" s="1115"/>
      <c r="STZ10" s="1115"/>
      <c r="SUA10" s="1115"/>
      <c r="SUB10" s="1115"/>
      <c r="SUC10" s="1115"/>
      <c r="SUD10" s="1115"/>
      <c r="SUE10" s="1115"/>
      <c r="SUF10" s="1115"/>
      <c r="SUG10" s="1115"/>
      <c r="SUH10" s="1115"/>
      <c r="SUI10" s="1115"/>
      <c r="SUJ10" s="1115"/>
      <c r="SUK10" s="1115"/>
      <c r="SUL10" s="1115"/>
      <c r="SUM10" s="1115"/>
      <c r="SUN10" s="1115"/>
      <c r="SUO10" s="1115"/>
      <c r="SUP10" s="1115"/>
      <c r="SUQ10" s="1115"/>
      <c r="SUR10" s="1115"/>
      <c r="SUS10" s="1115"/>
      <c r="SUT10" s="1115"/>
      <c r="SUU10" s="1115"/>
      <c r="SUV10" s="1115"/>
      <c r="SUW10" s="1115"/>
      <c r="SUX10" s="1115"/>
      <c r="SUY10" s="1115"/>
      <c r="SUZ10" s="1115"/>
      <c r="SVA10" s="1115"/>
      <c r="SVB10" s="1115"/>
      <c r="SVC10" s="1115"/>
      <c r="SVD10" s="1115"/>
      <c r="SVE10" s="1115"/>
      <c r="SVF10" s="1115"/>
      <c r="SVG10" s="1115"/>
      <c r="SVH10" s="1115"/>
      <c r="SVI10" s="1115"/>
      <c r="SVJ10" s="1115"/>
      <c r="SVK10" s="1115"/>
      <c r="SVL10" s="1115"/>
      <c r="SVM10" s="1115"/>
      <c r="SVN10" s="1115"/>
      <c r="SVO10" s="1115"/>
      <c r="SVP10" s="1115"/>
      <c r="SVQ10" s="1115"/>
      <c r="SVR10" s="1115"/>
      <c r="SVS10" s="1115"/>
      <c r="SVT10" s="1115"/>
      <c r="SVU10" s="1115"/>
      <c r="SVV10" s="1115"/>
      <c r="SVW10" s="1115"/>
      <c r="SVX10" s="1115"/>
      <c r="SVY10" s="1115"/>
      <c r="SVZ10" s="1115"/>
      <c r="SWA10" s="1115"/>
      <c r="SWB10" s="1115"/>
      <c r="SWC10" s="1115"/>
      <c r="SWD10" s="1115"/>
      <c r="SWE10" s="1115"/>
      <c r="SWF10" s="1115"/>
      <c r="SWG10" s="1115"/>
      <c r="SWH10" s="1115"/>
      <c r="SWI10" s="1115"/>
      <c r="SWJ10" s="1115"/>
      <c r="SWK10" s="1115"/>
      <c r="SWL10" s="1115"/>
      <c r="SWM10" s="1115"/>
      <c r="SWN10" s="1115"/>
      <c r="SWO10" s="1115"/>
      <c r="SWP10" s="1115"/>
      <c r="SWQ10" s="1115"/>
      <c r="SWR10" s="1115"/>
      <c r="SWS10" s="1115"/>
      <c r="SWT10" s="1115"/>
      <c r="SWU10" s="1115"/>
      <c r="SWV10" s="1115"/>
      <c r="SWW10" s="1115"/>
      <c r="SWX10" s="1115"/>
      <c r="SWY10" s="1115"/>
      <c r="SWZ10" s="1115"/>
      <c r="SXA10" s="1115"/>
      <c r="SXB10" s="1115"/>
      <c r="SXC10" s="1115"/>
      <c r="SXD10" s="1115"/>
      <c r="SXE10" s="1115"/>
      <c r="SXF10" s="1115"/>
      <c r="SXG10" s="1115"/>
      <c r="SXH10" s="1115"/>
      <c r="SXI10" s="1115"/>
      <c r="SXJ10" s="1115"/>
      <c r="SXK10" s="1115"/>
      <c r="SXL10" s="1115"/>
      <c r="SXM10" s="1115"/>
      <c r="SXN10" s="1115"/>
      <c r="SXO10" s="1115"/>
      <c r="SXP10" s="1115"/>
      <c r="SXQ10" s="1115"/>
      <c r="SXR10" s="1115"/>
      <c r="SXS10" s="1115"/>
      <c r="SXT10" s="1115"/>
      <c r="SXU10" s="1115"/>
      <c r="SXV10" s="1115"/>
      <c r="SXW10" s="1115"/>
      <c r="SXX10" s="1115"/>
      <c r="SXY10" s="1115"/>
      <c r="SXZ10" s="1115"/>
      <c r="SYA10" s="1115"/>
      <c r="SYB10" s="1115"/>
      <c r="SYC10" s="1115"/>
      <c r="SYD10" s="1115"/>
      <c r="SYE10" s="1115"/>
      <c r="SYF10" s="1115"/>
      <c r="SYG10" s="1115"/>
      <c r="SYH10" s="1115"/>
      <c r="SYI10" s="1115"/>
      <c r="SYJ10" s="1115"/>
      <c r="SYK10" s="1115"/>
      <c r="SYL10" s="1115"/>
      <c r="SYM10" s="1115"/>
      <c r="SYN10" s="1115"/>
      <c r="SYO10" s="1115"/>
      <c r="SYP10" s="1115"/>
      <c r="SYQ10" s="1115"/>
      <c r="SYR10" s="1115"/>
      <c r="SYS10" s="1115"/>
      <c r="SYT10" s="1115"/>
      <c r="SYU10" s="1115"/>
      <c r="SYV10" s="1115"/>
      <c r="SYW10" s="1115"/>
      <c r="SYX10" s="1115"/>
      <c r="SYY10" s="1115"/>
      <c r="SYZ10" s="1115"/>
      <c r="SZA10" s="1115"/>
      <c r="SZB10" s="1115"/>
      <c r="SZC10" s="1115"/>
      <c r="SZD10" s="1115"/>
      <c r="SZE10" s="1115"/>
      <c r="SZF10" s="1115"/>
      <c r="SZG10" s="1115"/>
      <c r="SZH10" s="1115"/>
      <c r="SZI10" s="1115"/>
      <c r="SZJ10" s="1115"/>
      <c r="SZK10" s="1115"/>
      <c r="SZL10" s="1115"/>
      <c r="SZM10" s="1115"/>
      <c r="SZN10" s="1115"/>
      <c r="SZO10" s="1115"/>
      <c r="SZP10" s="1115"/>
      <c r="SZQ10" s="1115"/>
      <c r="SZR10" s="1115"/>
      <c r="SZS10" s="1115"/>
      <c r="SZT10" s="1115"/>
      <c r="SZU10" s="1115"/>
      <c r="SZV10" s="1115"/>
      <c r="SZW10" s="1115"/>
      <c r="SZX10" s="1115"/>
      <c r="SZY10" s="1115"/>
      <c r="SZZ10" s="1115"/>
      <c r="TAA10" s="1115"/>
      <c r="TAB10" s="1115"/>
      <c r="TAC10" s="1115"/>
      <c r="TAD10" s="1115"/>
      <c r="TAE10" s="1115"/>
      <c r="TAF10" s="1115"/>
      <c r="TAG10" s="1115"/>
      <c r="TAH10" s="1115"/>
      <c r="TAI10" s="1115"/>
      <c r="TAJ10" s="1115"/>
      <c r="TAK10" s="1115"/>
      <c r="TAL10" s="1115"/>
      <c r="TAM10" s="1115"/>
      <c r="TAN10" s="1115"/>
      <c r="TAO10" s="1115"/>
      <c r="TAP10" s="1115"/>
      <c r="TAQ10" s="1115"/>
      <c r="TAR10" s="1115"/>
      <c r="TAS10" s="1115"/>
      <c r="TAT10" s="1115"/>
      <c r="TAU10" s="1115"/>
      <c r="TAV10" s="1115"/>
      <c r="TAW10" s="1115"/>
      <c r="TAX10" s="1115"/>
      <c r="TAY10" s="1115"/>
      <c r="TAZ10" s="1115"/>
      <c r="TBA10" s="1115"/>
      <c r="TBB10" s="1115"/>
      <c r="TBC10" s="1115"/>
      <c r="TBD10" s="1115"/>
      <c r="TBE10" s="1115"/>
      <c r="TBF10" s="1115"/>
      <c r="TBG10" s="1115"/>
      <c r="TBH10" s="1115"/>
      <c r="TBI10" s="1115"/>
      <c r="TBJ10" s="1115"/>
      <c r="TBK10" s="1115"/>
      <c r="TBL10" s="1115"/>
      <c r="TBM10" s="1115"/>
      <c r="TBN10" s="1115"/>
      <c r="TBO10" s="1115"/>
      <c r="TBP10" s="1115"/>
      <c r="TBQ10" s="1115"/>
      <c r="TBR10" s="1115"/>
      <c r="TBS10" s="1115"/>
      <c r="TBT10" s="1115"/>
      <c r="TBU10" s="1115"/>
      <c r="TBV10" s="1115"/>
      <c r="TBW10" s="1115"/>
      <c r="TBX10" s="1115"/>
      <c r="TBY10" s="1115"/>
      <c r="TBZ10" s="1115"/>
      <c r="TCA10" s="1115"/>
      <c r="TCB10" s="1115"/>
      <c r="TCC10" s="1115"/>
      <c r="TCD10" s="1115"/>
      <c r="TCE10" s="1115"/>
      <c r="TCF10" s="1115"/>
      <c r="TCG10" s="1115"/>
      <c r="TCH10" s="1115"/>
      <c r="TCI10" s="1115"/>
      <c r="TCJ10" s="1115"/>
      <c r="TCK10" s="1115"/>
      <c r="TCL10" s="1115"/>
      <c r="TCM10" s="1115"/>
      <c r="TCN10" s="1115"/>
      <c r="TCO10" s="1115"/>
      <c r="TCP10" s="1115"/>
      <c r="TCQ10" s="1115"/>
      <c r="TCR10" s="1115"/>
      <c r="TCS10" s="1115"/>
      <c r="TCT10" s="1115"/>
      <c r="TCU10" s="1115"/>
      <c r="TCV10" s="1115"/>
      <c r="TCW10" s="1115"/>
      <c r="TCX10" s="1115"/>
      <c r="TCY10" s="1115"/>
      <c r="TCZ10" s="1115"/>
      <c r="TDA10" s="1115"/>
      <c r="TDB10" s="1115"/>
      <c r="TDC10" s="1115"/>
      <c r="TDD10" s="1115"/>
      <c r="TDE10" s="1115"/>
      <c r="TDF10" s="1115"/>
      <c r="TDG10" s="1115"/>
      <c r="TDH10" s="1115"/>
      <c r="TDI10" s="1115"/>
      <c r="TDJ10" s="1115"/>
      <c r="TDK10" s="1115"/>
      <c r="TDL10" s="1115"/>
      <c r="TDM10" s="1115"/>
      <c r="TDN10" s="1115"/>
      <c r="TDO10" s="1115"/>
      <c r="TDP10" s="1115"/>
      <c r="TDQ10" s="1115"/>
      <c r="TDR10" s="1115"/>
      <c r="TDS10" s="1115"/>
      <c r="TDT10" s="1115"/>
      <c r="TDU10" s="1115"/>
      <c r="TDV10" s="1115"/>
      <c r="TDW10" s="1115"/>
      <c r="TDX10" s="1115"/>
      <c r="TDY10" s="1115"/>
      <c r="TDZ10" s="1115"/>
      <c r="TEA10" s="1115"/>
      <c r="TEB10" s="1115"/>
      <c r="TEC10" s="1115"/>
      <c r="TED10" s="1115"/>
      <c r="TEE10" s="1115"/>
      <c r="TEF10" s="1115"/>
      <c r="TEG10" s="1115"/>
      <c r="TEH10" s="1115"/>
      <c r="TEI10" s="1115"/>
      <c r="TEJ10" s="1115"/>
      <c r="TEK10" s="1115"/>
      <c r="TEL10" s="1115"/>
      <c r="TEM10" s="1115"/>
      <c r="TEN10" s="1115"/>
      <c r="TEO10" s="1115"/>
      <c r="TEP10" s="1115"/>
      <c r="TEQ10" s="1115"/>
      <c r="TER10" s="1115"/>
      <c r="TES10" s="1115"/>
      <c r="TET10" s="1115"/>
      <c r="TEU10" s="1115"/>
      <c r="TEV10" s="1115"/>
      <c r="TEW10" s="1115"/>
      <c r="TEX10" s="1115"/>
      <c r="TEY10" s="1115"/>
      <c r="TEZ10" s="1115"/>
      <c r="TFA10" s="1115"/>
      <c r="TFB10" s="1115"/>
      <c r="TFC10" s="1115"/>
      <c r="TFD10" s="1115"/>
      <c r="TFE10" s="1115"/>
      <c r="TFF10" s="1115"/>
      <c r="TFG10" s="1115"/>
      <c r="TFH10" s="1115"/>
      <c r="TFI10" s="1115"/>
      <c r="TFJ10" s="1115"/>
      <c r="TFK10" s="1115"/>
      <c r="TFL10" s="1115"/>
      <c r="TFM10" s="1115"/>
      <c r="TFN10" s="1115"/>
      <c r="TFO10" s="1115"/>
      <c r="TFP10" s="1115"/>
      <c r="TFQ10" s="1115"/>
      <c r="TFR10" s="1115"/>
      <c r="TFS10" s="1115"/>
      <c r="TFT10" s="1115"/>
      <c r="TFU10" s="1115"/>
      <c r="TFV10" s="1115"/>
      <c r="TFW10" s="1115"/>
      <c r="TFX10" s="1115"/>
      <c r="TFY10" s="1115"/>
      <c r="TFZ10" s="1115"/>
      <c r="TGA10" s="1115"/>
      <c r="TGB10" s="1115"/>
      <c r="TGC10" s="1115"/>
      <c r="TGD10" s="1115"/>
      <c r="TGE10" s="1115"/>
      <c r="TGF10" s="1115"/>
      <c r="TGG10" s="1115"/>
      <c r="TGH10" s="1115"/>
      <c r="TGI10" s="1115"/>
      <c r="TGJ10" s="1115"/>
      <c r="TGK10" s="1115"/>
      <c r="TGL10" s="1115"/>
      <c r="TGM10" s="1115"/>
      <c r="TGN10" s="1115"/>
      <c r="TGO10" s="1115"/>
      <c r="TGP10" s="1115"/>
      <c r="TGQ10" s="1115"/>
      <c r="TGR10" s="1115"/>
      <c r="TGS10" s="1115"/>
      <c r="TGT10" s="1115"/>
      <c r="TGU10" s="1115"/>
      <c r="TGV10" s="1115"/>
      <c r="TGW10" s="1115"/>
      <c r="TGX10" s="1115"/>
      <c r="TGY10" s="1115"/>
      <c r="TGZ10" s="1115"/>
      <c r="THA10" s="1115"/>
      <c r="THB10" s="1115"/>
      <c r="THC10" s="1115"/>
      <c r="THD10" s="1115"/>
      <c r="THE10" s="1115"/>
      <c r="THF10" s="1115"/>
      <c r="THG10" s="1115"/>
      <c r="THH10" s="1115"/>
      <c r="THI10" s="1115"/>
      <c r="THJ10" s="1115"/>
      <c r="THK10" s="1115"/>
      <c r="THL10" s="1115"/>
      <c r="THM10" s="1115"/>
      <c r="THN10" s="1115"/>
      <c r="THO10" s="1115"/>
      <c r="THP10" s="1115"/>
      <c r="THQ10" s="1115"/>
      <c r="THR10" s="1115"/>
      <c r="THS10" s="1115"/>
      <c r="THT10" s="1115"/>
      <c r="THU10" s="1115"/>
      <c r="THV10" s="1115"/>
      <c r="THW10" s="1115"/>
      <c r="THX10" s="1115"/>
      <c r="THY10" s="1115"/>
      <c r="THZ10" s="1115"/>
      <c r="TIA10" s="1115"/>
      <c r="TIB10" s="1115"/>
      <c r="TIC10" s="1115"/>
      <c r="TID10" s="1115"/>
      <c r="TIE10" s="1115"/>
      <c r="TIF10" s="1115"/>
      <c r="TIG10" s="1115"/>
      <c r="TIH10" s="1115"/>
      <c r="TII10" s="1115"/>
      <c r="TIJ10" s="1115"/>
      <c r="TIK10" s="1115"/>
      <c r="TIL10" s="1115"/>
      <c r="TIM10" s="1115"/>
      <c r="TIN10" s="1115"/>
      <c r="TIO10" s="1115"/>
      <c r="TIP10" s="1115"/>
      <c r="TIQ10" s="1115"/>
      <c r="TIR10" s="1115"/>
      <c r="TIS10" s="1115"/>
      <c r="TIT10" s="1115"/>
      <c r="TIU10" s="1115"/>
      <c r="TIV10" s="1115"/>
      <c r="TIW10" s="1115"/>
      <c r="TIX10" s="1115"/>
      <c r="TIY10" s="1115"/>
      <c r="TIZ10" s="1115"/>
      <c r="TJA10" s="1115"/>
      <c r="TJB10" s="1115"/>
      <c r="TJC10" s="1115"/>
      <c r="TJD10" s="1115"/>
      <c r="TJE10" s="1115"/>
      <c r="TJF10" s="1115"/>
      <c r="TJG10" s="1115"/>
      <c r="TJH10" s="1115"/>
      <c r="TJI10" s="1115"/>
      <c r="TJJ10" s="1115"/>
      <c r="TJK10" s="1115"/>
      <c r="TJL10" s="1115"/>
      <c r="TJM10" s="1115"/>
      <c r="TJN10" s="1115"/>
      <c r="TJO10" s="1115"/>
      <c r="TJP10" s="1115"/>
      <c r="TJQ10" s="1115"/>
      <c r="TJR10" s="1115"/>
      <c r="TJS10" s="1115"/>
      <c r="TJT10" s="1115"/>
      <c r="TJU10" s="1115"/>
      <c r="TJV10" s="1115"/>
      <c r="TJW10" s="1115"/>
      <c r="TJX10" s="1115"/>
      <c r="TJY10" s="1115"/>
      <c r="TJZ10" s="1115"/>
      <c r="TKA10" s="1115"/>
      <c r="TKB10" s="1115"/>
      <c r="TKC10" s="1115"/>
      <c r="TKD10" s="1115"/>
      <c r="TKE10" s="1115"/>
      <c r="TKF10" s="1115"/>
      <c r="TKG10" s="1115"/>
      <c r="TKH10" s="1115"/>
      <c r="TKI10" s="1115"/>
      <c r="TKJ10" s="1115"/>
      <c r="TKK10" s="1115"/>
      <c r="TKL10" s="1115"/>
      <c r="TKM10" s="1115"/>
      <c r="TKN10" s="1115"/>
      <c r="TKO10" s="1115"/>
      <c r="TKP10" s="1115"/>
      <c r="TKQ10" s="1115"/>
      <c r="TKR10" s="1115"/>
      <c r="TKS10" s="1115"/>
      <c r="TKT10" s="1115"/>
      <c r="TKU10" s="1115"/>
      <c r="TKV10" s="1115"/>
      <c r="TKW10" s="1115"/>
      <c r="TKX10" s="1115"/>
      <c r="TKY10" s="1115"/>
      <c r="TKZ10" s="1115"/>
      <c r="TLA10" s="1115"/>
      <c r="TLB10" s="1115"/>
      <c r="TLC10" s="1115"/>
      <c r="TLD10" s="1115"/>
      <c r="TLE10" s="1115"/>
      <c r="TLF10" s="1115"/>
      <c r="TLG10" s="1115"/>
      <c r="TLH10" s="1115"/>
      <c r="TLI10" s="1115"/>
      <c r="TLJ10" s="1115"/>
      <c r="TLK10" s="1115"/>
      <c r="TLL10" s="1115"/>
      <c r="TLM10" s="1115"/>
      <c r="TLN10" s="1115"/>
      <c r="TLO10" s="1115"/>
      <c r="TLP10" s="1115"/>
      <c r="TLQ10" s="1115"/>
      <c r="TLR10" s="1115"/>
      <c r="TLS10" s="1115"/>
      <c r="TLT10" s="1115"/>
      <c r="TLU10" s="1115"/>
      <c r="TLV10" s="1115"/>
      <c r="TLW10" s="1115"/>
      <c r="TLX10" s="1115"/>
      <c r="TLY10" s="1115"/>
      <c r="TLZ10" s="1115"/>
      <c r="TMA10" s="1115"/>
      <c r="TMB10" s="1115"/>
      <c r="TMC10" s="1115"/>
      <c r="TMD10" s="1115"/>
      <c r="TME10" s="1115"/>
      <c r="TMF10" s="1115"/>
      <c r="TMG10" s="1115"/>
      <c r="TMH10" s="1115"/>
      <c r="TMI10" s="1115"/>
      <c r="TMJ10" s="1115"/>
      <c r="TMK10" s="1115"/>
      <c r="TML10" s="1115"/>
      <c r="TMM10" s="1115"/>
      <c r="TMN10" s="1115"/>
      <c r="TMO10" s="1115"/>
      <c r="TMP10" s="1115"/>
      <c r="TMQ10" s="1115"/>
      <c r="TMR10" s="1115"/>
      <c r="TMS10" s="1115"/>
      <c r="TMT10" s="1115"/>
      <c r="TMU10" s="1115"/>
      <c r="TMV10" s="1115"/>
      <c r="TMW10" s="1115"/>
      <c r="TMX10" s="1115"/>
      <c r="TMY10" s="1115"/>
      <c r="TMZ10" s="1115"/>
      <c r="TNA10" s="1115"/>
      <c r="TNB10" s="1115"/>
      <c r="TNC10" s="1115"/>
      <c r="TND10" s="1115"/>
      <c r="TNE10" s="1115"/>
      <c r="TNF10" s="1115"/>
      <c r="TNG10" s="1115"/>
      <c r="TNH10" s="1115"/>
      <c r="TNI10" s="1115"/>
      <c r="TNJ10" s="1115"/>
      <c r="TNK10" s="1115"/>
      <c r="TNL10" s="1115"/>
      <c r="TNM10" s="1115"/>
      <c r="TNN10" s="1115"/>
      <c r="TNO10" s="1115"/>
      <c r="TNP10" s="1115"/>
      <c r="TNQ10" s="1115"/>
      <c r="TNR10" s="1115"/>
      <c r="TNS10" s="1115"/>
      <c r="TNT10" s="1115"/>
      <c r="TNU10" s="1115"/>
      <c r="TNV10" s="1115"/>
      <c r="TNW10" s="1115"/>
      <c r="TNX10" s="1115"/>
      <c r="TNY10" s="1115"/>
      <c r="TNZ10" s="1115"/>
      <c r="TOA10" s="1115"/>
      <c r="TOB10" s="1115"/>
      <c r="TOC10" s="1115"/>
      <c r="TOD10" s="1115"/>
      <c r="TOE10" s="1115"/>
      <c r="TOF10" s="1115"/>
      <c r="TOG10" s="1115"/>
      <c r="TOH10" s="1115"/>
      <c r="TOI10" s="1115"/>
      <c r="TOJ10" s="1115"/>
      <c r="TOK10" s="1115"/>
      <c r="TOL10" s="1115"/>
      <c r="TOM10" s="1115"/>
      <c r="TON10" s="1115"/>
      <c r="TOO10" s="1115"/>
      <c r="TOP10" s="1115"/>
      <c r="TOQ10" s="1115"/>
      <c r="TOR10" s="1115"/>
      <c r="TOS10" s="1115"/>
      <c r="TOT10" s="1115"/>
      <c r="TOU10" s="1115"/>
      <c r="TOV10" s="1115"/>
      <c r="TOW10" s="1115"/>
      <c r="TOX10" s="1115"/>
      <c r="TOY10" s="1115"/>
      <c r="TOZ10" s="1115"/>
      <c r="TPA10" s="1115"/>
      <c r="TPB10" s="1115"/>
      <c r="TPC10" s="1115"/>
      <c r="TPD10" s="1115"/>
      <c r="TPE10" s="1115"/>
      <c r="TPF10" s="1115"/>
      <c r="TPG10" s="1115"/>
      <c r="TPH10" s="1115"/>
      <c r="TPI10" s="1115"/>
      <c r="TPJ10" s="1115"/>
      <c r="TPK10" s="1115"/>
      <c r="TPL10" s="1115"/>
      <c r="TPM10" s="1115"/>
      <c r="TPN10" s="1115"/>
      <c r="TPO10" s="1115"/>
      <c r="TPP10" s="1115"/>
      <c r="TPQ10" s="1115"/>
      <c r="TPR10" s="1115"/>
      <c r="TPS10" s="1115"/>
      <c r="TPT10" s="1115"/>
      <c r="TPU10" s="1115"/>
      <c r="TPV10" s="1115"/>
      <c r="TPW10" s="1115"/>
      <c r="TPX10" s="1115"/>
      <c r="TPY10" s="1115"/>
      <c r="TPZ10" s="1115"/>
      <c r="TQA10" s="1115"/>
      <c r="TQB10" s="1115"/>
      <c r="TQC10" s="1115"/>
      <c r="TQD10" s="1115"/>
      <c r="TQE10" s="1115"/>
      <c r="TQF10" s="1115"/>
      <c r="TQG10" s="1115"/>
      <c r="TQH10" s="1115"/>
      <c r="TQI10" s="1115"/>
      <c r="TQJ10" s="1115"/>
      <c r="TQK10" s="1115"/>
      <c r="TQL10" s="1115"/>
      <c r="TQM10" s="1115"/>
      <c r="TQN10" s="1115"/>
      <c r="TQO10" s="1115"/>
      <c r="TQP10" s="1115"/>
      <c r="TQQ10" s="1115"/>
      <c r="TQR10" s="1115"/>
      <c r="TQS10" s="1115"/>
      <c r="TQT10" s="1115"/>
      <c r="TQU10" s="1115"/>
      <c r="TQV10" s="1115"/>
      <c r="TQW10" s="1115"/>
      <c r="TQX10" s="1115"/>
      <c r="TQY10" s="1115"/>
      <c r="TQZ10" s="1115"/>
      <c r="TRA10" s="1115"/>
      <c r="TRB10" s="1115"/>
      <c r="TRC10" s="1115"/>
      <c r="TRD10" s="1115"/>
      <c r="TRE10" s="1115"/>
      <c r="TRF10" s="1115"/>
      <c r="TRG10" s="1115"/>
      <c r="TRH10" s="1115"/>
      <c r="TRI10" s="1115"/>
      <c r="TRJ10" s="1115"/>
      <c r="TRK10" s="1115"/>
      <c r="TRL10" s="1115"/>
      <c r="TRM10" s="1115"/>
      <c r="TRN10" s="1115"/>
      <c r="TRO10" s="1115"/>
      <c r="TRP10" s="1115"/>
      <c r="TRQ10" s="1115"/>
      <c r="TRR10" s="1115"/>
      <c r="TRS10" s="1115"/>
      <c r="TRT10" s="1115"/>
      <c r="TRU10" s="1115"/>
      <c r="TRV10" s="1115"/>
      <c r="TRW10" s="1115"/>
      <c r="TRX10" s="1115"/>
      <c r="TRY10" s="1115"/>
      <c r="TRZ10" s="1115"/>
      <c r="TSA10" s="1115"/>
      <c r="TSB10" s="1115"/>
      <c r="TSC10" s="1115"/>
      <c r="TSD10" s="1115"/>
      <c r="TSE10" s="1115"/>
      <c r="TSF10" s="1115"/>
      <c r="TSG10" s="1115"/>
      <c r="TSH10" s="1115"/>
      <c r="TSI10" s="1115"/>
      <c r="TSJ10" s="1115"/>
      <c r="TSK10" s="1115"/>
      <c r="TSL10" s="1115"/>
      <c r="TSM10" s="1115"/>
      <c r="TSN10" s="1115"/>
      <c r="TSO10" s="1115"/>
      <c r="TSP10" s="1115"/>
      <c r="TSQ10" s="1115"/>
      <c r="TSR10" s="1115"/>
      <c r="TSS10" s="1115"/>
      <c r="TST10" s="1115"/>
      <c r="TSU10" s="1115"/>
      <c r="TSV10" s="1115"/>
      <c r="TSW10" s="1115"/>
      <c r="TSX10" s="1115"/>
      <c r="TSY10" s="1115"/>
      <c r="TSZ10" s="1115"/>
      <c r="TTA10" s="1115"/>
      <c r="TTB10" s="1115"/>
      <c r="TTC10" s="1115"/>
      <c r="TTD10" s="1115"/>
      <c r="TTE10" s="1115"/>
      <c r="TTF10" s="1115"/>
      <c r="TTG10" s="1115"/>
      <c r="TTH10" s="1115"/>
      <c r="TTI10" s="1115"/>
      <c r="TTJ10" s="1115"/>
      <c r="TTK10" s="1115"/>
      <c r="TTL10" s="1115"/>
      <c r="TTM10" s="1115"/>
      <c r="TTN10" s="1115"/>
      <c r="TTO10" s="1115"/>
      <c r="TTP10" s="1115"/>
      <c r="TTQ10" s="1115"/>
      <c r="TTR10" s="1115"/>
      <c r="TTS10" s="1115"/>
      <c r="TTT10" s="1115"/>
      <c r="TTU10" s="1115"/>
      <c r="TTV10" s="1115"/>
      <c r="TTW10" s="1115"/>
      <c r="TTX10" s="1115"/>
      <c r="TTY10" s="1115"/>
      <c r="TTZ10" s="1115"/>
      <c r="TUA10" s="1115"/>
      <c r="TUB10" s="1115"/>
      <c r="TUC10" s="1115"/>
      <c r="TUD10" s="1115"/>
      <c r="TUE10" s="1115"/>
      <c r="TUF10" s="1115"/>
      <c r="TUG10" s="1115"/>
      <c r="TUH10" s="1115"/>
      <c r="TUI10" s="1115"/>
      <c r="TUJ10" s="1115"/>
      <c r="TUK10" s="1115"/>
      <c r="TUL10" s="1115"/>
      <c r="TUM10" s="1115"/>
      <c r="TUN10" s="1115"/>
      <c r="TUO10" s="1115"/>
      <c r="TUP10" s="1115"/>
      <c r="TUQ10" s="1115"/>
      <c r="TUR10" s="1115"/>
      <c r="TUS10" s="1115"/>
      <c r="TUT10" s="1115"/>
      <c r="TUU10" s="1115"/>
      <c r="TUV10" s="1115"/>
      <c r="TUW10" s="1115"/>
      <c r="TUX10" s="1115"/>
      <c r="TUY10" s="1115"/>
      <c r="TUZ10" s="1115"/>
      <c r="TVA10" s="1115"/>
      <c r="TVB10" s="1115"/>
      <c r="TVC10" s="1115"/>
      <c r="TVD10" s="1115"/>
      <c r="TVE10" s="1115"/>
      <c r="TVF10" s="1115"/>
      <c r="TVG10" s="1115"/>
      <c r="TVH10" s="1115"/>
      <c r="TVI10" s="1115"/>
      <c r="TVJ10" s="1115"/>
      <c r="TVK10" s="1115"/>
      <c r="TVL10" s="1115"/>
      <c r="TVM10" s="1115"/>
      <c r="TVN10" s="1115"/>
      <c r="TVO10" s="1115"/>
      <c r="TVP10" s="1115"/>
      <c r="TVQ10" s="1115"/>
      <c r="TVR10" s="1115"/>
      <c r="TVS10" s="1115"/>
      <c r="TVT10" s="1115"/>
      <c r="TVU10" s="1115"/>
      <c r="TVV10" s="1115"/>
      <c r="TVW10" s="1115"/>
      <c r="TVX10" s="1115"/>
      <c r="TVY10" s="1115"/>
      <c r="TVZ10" s="1115"/>
      <c r="TWA10" s="1115"/>
      <c r="TWB10" s="1115"/>
      <c r="TWC10" s="1115"/>
      <c r="TWD10" s="1115"/>
      <c r="TWE10" s="1115"/>
      <c r="TWF10" s="1115"/>
      <c r="TWG10" s="1115"/>
      <c r="TWH10" s="1115"/>
      <c r="TWI10" s="1115"/>
      <c r="TWJ10" s="1115"/>
      <c r="TWK10" s="1115"/>
      <c r="TWL10" s="1115"/>
      <c r="TWM10" s="1115"/>
      <c r="TWN10" s="1115"/>
      <c r="TWO10" s="1115"/>
      <c r="TWP10" s="1115"/>
      <c r="TWQ10" s="1115"/>
      <c r="TWR10" s="1115"/>
      <c r="TWS10" s="1115"/>
      <c r="TWT10" s="1115"/>
      <c r="TWU10" s="1115"/>
      <c r="TWV10" s="1115"/>
      <c r="TWW10" s="1115"/>
      <c r="TWX10" s="1115"/>
      <c r="TWY10" s="1115"/>
      <c r="TWZ10" s="1115"/>
      <c r="TXA10" s="1115"/>
      <c r="TXB10" s="1115"/>
      <c r="TXC10" s="1115"/>
      <c r="TXD10" s="1115"/>
      <c r="TXE10" s="1115"/>
      <c r="TXF10" s="1115"/>
      <c r="TXG10" s="1115"/>
      <c r="TXH10" s="1115"/>
      <c r="TXI10" s="1115"/>
      <c r="TXJ10" s="1115"/>
      <c r="TXK10" s="1115"/>
      <c r="TXL10" s="1115"/>
      <c r="TXM10" s="1115"/>
      <c r="TXN10" s="1115"/>
      <c r="TXO10" s="1115"/>
      <c r="TXP10" s="1115"/>
      <c r="TXQ10" s="1115"/>
      <c r="TXR10" s="1115"/>
      <c r="TXS10" s="1115"/>
      <c r="TXT10" s="1115"/>
      <c r="TXU10" s="1115"/>
      <c r="TXV10" s="1115"/>
      <c r="TXW10" s="1115"/>
      <c r="TXX10" s="1115"/>
      <c r="TXY10" s="1115"/>
      <c r="TXZ10" s="1115"/>
      <c r="TYA10" s="1115"/>
      <c r="TYB10" s="1115"/>
      <c r="TYC10" s="1115"/>
      <c r="TYD10" s="1115"/>
      <c r="TYE10" s="1115"/>
      <c r="TYF10" s="1115"/>
      <c r="TYG10" s="1115"/>
      <c r="TYH10" s="1115"/>
      <c r="TYI10" s="1115"/>
      <c r="TYJ10" s="1115"/>
      <c r="TYK10" s="1115"/>
      <c r="TYL10" s="1115"/>
      <c r="TYM10" s="1115"/>
      <c r="TYN10" s="1115"/>
      <c r="TYO10" s="1115"/>
      <c r="TYP10" s="1115"/>
      <c r="TYQ10" s="1115"/>
      <c r="TYR10" s="1115"/>
      <c r="TYS10" s="1115"/>
      <c r="TYT10" s="1115"/>
      <c r="TYU10" s="1115"/>
      <c r="TYV10" s="1115"/>
      <c r="TYW10" s="1115"/>
      <c r="TYX10" s="1115"/>
      <c r="TYY10" s="1115"/>
      <c r="TYZ10" s="1115"/>
      <c r="TZA10" s="1115"/>
      <c r="TZB10" s="1115"/>
      <c r="TZC10" s="1115"/>
      <c r="TZD10" s="1115"/>
      <c r="TZE10" s="1115"/>
      <c r="TZF10" s="1115"/>
      <c r="TZG10" s="1115"/>
      <c r="TZH10" s="1115"/>
      <c r="TZI10" s="1115"/>
      <c r="TZJ10" s="1115"/>
      <c r="TZK10" s="1115"/>
      <c r="TZL10" s="1115"/>
      <c r="TZM10" s="1115"/>
      <c r="TZN10" s="1115"/>
      <c r="TZO10" s="1115"/>
      <c r="TZP10" s="1115"/>
      <c r="TZQ10" s="1115"/>
      <c r="TZR10" s="1115"/>
      <c r="TZS10" s="1115"/>
      <c r="TZT10" s="1115"/>
      <c r="TZU10" s="1115"/>
      <c r="TZV10" s="1115"/>
      <c r="TZW10" s="1115"/>
      <c r="TZX10" s="1115"/>
      <c r="TZY10" s="1115"/>
      <c r="TZZ10" s="1115"/>
      <c r="UAA10" s="1115"/>
      <c r="UAB10" s="1115"/>
      <c r="UAC10" s="1115"/>
      <c r="UAD10" s="1115"/>
      <c r="UAE10" s="1115"/>
      <c r="UAF10" s="1115"/>
      <c r="UAG10" s="1115"/>
      <c r="UAH10" s="1115"/>
      <c r="UAI10" s="1115"/>
      <c r="UAJ10" s="1115"/>
      <c r="UAK10" s="1115"/>
      <c r="UAL10" s="1115"/>
      <c r="UAM10" s="1115"/>
      <c r="UAN10" s="1115"/>
      <c r="UAO10" s="1115"/>
      <c r="UAP10" s="1115"/>
      <c r="UAQ10" s="1115"/>
      <c r="UAR10" s="1115"/>
      <c r="UAS10" s="1115"/>
      <c r="UAT10" s="1115"/>
      <c r="UAU10" s="1115"/>
      <c r="UAV10" s="1115"/>
      <c r="UAW10" s="1115"/>
      <c r="UAX10" s="1115"/>
      <c r="UAY10" s="1115"/>
      <c r="UAZ10" s="1115"/>
      <c r="UBA10" s="1115"/>
      <c r="UBB10" s="1115"/>
      <c r="UBC10" s="1115"/>
      <c r="UBD10" s="1115"/>
      <c r="UBE10" s="1115"/>
      <c r="UBF10" s="1115"/>
      <c r="UBG10" s="1115"/>
      <c r="UBH10" s="1115"/>
      <c r="UBI10" s="1115"/>
      <c r="UBJ10" s="1115"/>
      <c r="UBK10" s="1115"/>
      <c r="UBL10" s="1115"/>
      <c r="UBM10" s="1115"/>
      <c r="UBN10" s="1115"/>
      <c r="UBO10" s="1115"/>
      <c r="UBP10" s="1115"/>
      <c r="UBQ10" s="1115"/>
      <c r="UBR10" s="1115"/>
      <c r="UBS10" s="1115"/>
      <c r="UBT10" s="1115"/>
      <c r="UBU10" s="1115"/>
      <c r="UBV10" s="1115"/>
      <c r="UBW10" s="1115"/>
      <c r="UBX10" s="1115"/>
      <c r="UBY10" s="1115"/>
      <c r="UBZ10" s="1115"/>
      <c r="UCA10" s="1115"/>
      <c r="UCB10" s="1115"/>
      <c r="UCC10" s="1115"/>
      <c r="UCD10" s="1115"/>
      <c r="UCE10" s="1115"/>
      <c r="UCF10" s="1115"/>
      <c r="UCG10" s="1115"/>
      <c r="UCH10" s="1115"/>
      <c r="UCI10" s="1115"/>
      <c r="UCJ10" s="1115"/>
      <c r="UCK10" s="1115"/>
      <c r="UCL10" s="1115"/>
      <c r="UCM10" s="1115"/>
      <c r="UCN10" s="1115"/>
      <c r="UCO10" s="1115"/>
      <c r="UCP10" s="1115"/>
      <c r="UCQ10" s="1115"/>
      <c r="UCR10" s="1115"/>
      <c r="UCS10" s="1115"/>
      <c r="UCT10" s="1115"/>
      <c r="UCU10" s="1115"/>
      <c r="UCV10" s="1115"/>
      <c r="UCW10" s="1115"/>
      <c r="UCX10" s="1115"/>
      <c r="UCY10" s="1115"/>
      <c r="UCZ10" s="1115"/>
      <c r="UDA10" s="1115"/>
      <c r="UDB10" s="1115"/>
      <c r="UDC10" s="1115"/>
      <c r="UDD10" s="1115"/>
      <c r="UDE10" s="1115"/>
      <c r="UDF10" s="1115"/>
      <c r="UDG10" s="1115"/>
      <c r="UDH10" s="1115"/>
      <c r="UDI10" s="1115"/>
      <c r="UDJ10" s="1115"/>
      <c r="UDK10" s="1115"/>
      <c r="UDL10" s="1115"/>
      <c r="UDM10" s="1115"/>
      <c r="UDN10" s="1115"/>
      <c r="UDO10" s="1115"/>
      <c r="UDP10" s="1115"/>
      <c r="UDQ10" s="1115"/>
      <c r="UDR10" s="1115"/>
      <c r="UDS10" s="1115"/>
      <c r="UDT10" s="1115"/>
      <c r="UDU10" s="1115"/>
      <c r="UDV10" s="1115"/>
      <c r="UDW10" s="1115"/>
      <c r="UDX10" s="1115"/>
      <c r="UDY10" s="1115"/>
      <c r="UDZ10" s="1115"/>
      <c r="UEA10" s="1115"/>
      <c r="UEB10" s="1115"/>
      <c r="UEC10" s="1115"/>
      <c r="UED10" s="1115"/>
      <c r="UEE10" s="1115"/>
      <c r="UEF10" s="1115"/>
      <c r="UEG10" s="1115"/>
      <c r="UEH10" s="1115"/>
      <c r="UEI10" s="1115"/>
      <c r="UEJ10" s="1115"/>
      <c r="UEK10" s="1115"/>
      <c r="UEL10" s="1115"/>
      <c r="UEM10" s="1115"/>
      <c r="UEN10" s="1115"/>
      <c r="UEO10" s="1115"/>
      <c r="UEP10" s="1115"/>
      <c r="UEQ10" s="1115"/>
      <c r="UER10" s="1115"/>
      <c r="UES10" s="1115"/>
      <c r="UET10" s="1115"/>
      <c r="UEU10" s="1115"/>
      <c r="UEV10" s="1115"/>
      <c r="UEW10" s="1115"/>
      <c r="UEX10" s="1115"/>
      <c r="UEY10" s="1115"/>
      <c r="UEZ10" s="1115"/>
      <c r="UFA10" s="1115"/>
      <c r="UFB10" s="1115"/>
      <c r="UFC10" s="1115"/>
      <c r="UFD10" s="1115"/>
      <c r="UFE10" s="1115"/>
      <c r="UFF10" s="1115"/>
      <c r="UFG10" s="1115"/>
      <c r="UFH10" s="1115"/>
      <c r="UFI10" s="1115"/>
      <c r="UFJ10" s="1115"/>
      <c r="UFK10" s="1115"/>
      <c r="UFL10" s="1115"/>
      <c r="UFM10" s="1115"/>
      <c r="UFN10" s="1115"/>
      <c r="UFO10" s="1115"/>
      <c r="UFP10" s="1115"/>
      <c r="UFQ10" s="1115"/>
      <c r="UFR10" s="1115"/>
      <c r="UFS10" s="1115"/>
      <c r="UFT10" s="1115"/>
      <c r="UFU10" s="1115"/>
      <c r="UFV10" s="1115"/>
      <c r="UFW10" s="1115"/>
      <c r="UFX10" s="1115"/>
      <c r="UFY10" s="1115"/>
      <c r="UFZ10" s="1115"/>
      <c r="UGA10" s="1115"/>
      <c r="UGB10" s="1115"/>
      <c r="UGC10" s="1115"/>
      <c r="UGD10" s="1115"/>
      <c r="UGE10" s="1115"/>
      <c r="UGF10" s="1115"/>
      <c r="UGG10" s="1115"/>
      <c r="UGH10" s="1115"/>
      <c r="UGI10" s="1115"/>
      <c r="UGJ10" s="1115"/>
      <c r="UGK10" s="1115"/>
      <c r="UGL10" s="1115"/>
      <c r="UGM10" s="1115"/>
      <c r="UGN10" s="1115"/>
      <c r="UGO10" s="1115"/>
      <c r="UGP10" s="1115"/>
      <c r="UGQ10" s="1115"/>
      <c r="UGR10" s="1115"/>
      <c r="UGS10" s="1115"/>
      <c r="UGT10" s="1115"/>
      <c r="UGU10" s="1115"/>
      <c r="UGV10" s="1115"/>
      <c r="UGW10" s="1115"/>
      <c r="UGX10" s="1115"/>
      <c r="UGY10" s="1115"/>
      <c r="UGZ10" s="1115"/>
      <c r="UHA10" s="1115"/>
      <c r="UHB10" s="1115"/>
      <c r="UHC10" s="1115"/>
      <c r="UHD10" s="1115"/>
      <c r="UHE10" s="1115"/>
      <c r="UHF10" s="1115"/>
      <c r="UHG10" s="1115"/>
      <c r="UHH10" s="1115"/>
      <c r="UHI10" s="1115"/>
      <c r="UHJ10" s="1115"/>
      <c r="UHK10" s="1115"/>
      <c r="UHL10" s="1115"/>
      <c r="UHM10" s="1115"/>
      <c r="UHN10" s="1115"/>
      <c r="UHO10" s="1115"/>
      <c r="UHP10" s="1115"/>
      <c r="UHQ10" s="1115"/>
      <c r="UHR10" s="1115"/>
      <c r="UHS10" s="1115"/>
      <c r="UHT10" s="1115"/>
      <c r="UHU10" s="1115"/>
      <c r="UHV10" s="1115"/>
      <c r="UHW10" s="1115"/>
      <c r="UHX10" s="1115"/>
      <c r="UHY10" s="1115"/>
      <c r="UHZ10" s="1115"/>
      <c r="UIA10" s="1115"/>
      <c r="UIB10" s="1115"/>
      <c r="UIC10" s="1115"/>
      <c r="UID10" s="1115"/>
      <c r="UIE10" s="1115"/>
      <c r="UIF10" s="1115"/>
      <c r="UIG10" s="1115"/>
      <c r="UIH10" s="1115"/>
      <c r="UII10" s="1115"/>
      <c r="UIJ10" s="1115"/>
      <c r="UIK10" s="1115"/>
      <c r="UIL10" s="1115"/>
      <c r="UIM10" s="1115"/>
      <c r="UIN10" s="1115"/>
      <c r="UIO10" s="1115"/>
      <c r="UIP10" s="1115"/>
      <c r="UIQ10" s="1115"/>
      <c r="UIR10" s="1115"/>
      <c r="UIS10" s="1115"/>
      <c r="UIT10" s="1115"/>
      <c r="UIU10" s="1115"/>
      <c r="UIV10" s="1115"/>
      <c r="UIW10" s="1115"/>
      <c r="UIX10" s="1115"/>
      <c r="UIY10" s="1115"/>
      <c r="UIZ10" s="1115"/>
      <c r="UJA10" s="1115"/>
      <c r="UJB10" s="1115"/>
      <c r="UJC10" s="1115"/>
      <c r="UJD10" s="1115"/>
      <c r="UJE10" s="1115"/>
      <c r="UJF10" s="1115"/>
      <c r="UJG10" s="1115"/>
      <c r="UJH10" s="1115"/>
      <c r="UJI10" s="1115"/>
      <c r="UJJ10" s="1115"/>
      <c r="UJK10" s="1115"/>
      <c r="UJL10" s="1115"/>
      <c r="UJM10" s="1115"/>
      <c r="UJN10" s="1115"/>
      <c r="UJO10" s="1115"/>
      <c r="UJP10" s="1115"/>
      <c r="UJQ10" s="1115"/>
      <c r="UJR10" s="1115"/>
      <c r="UJS10" s="1115"/>
      <c r="UJT10" s="1115"/>
      <c r="UJU10" s="1115"/>
      <c r="UJV10" s="1115"/>
      <c r="UJW10" s="1115"/>
      <c r="UJX10" s="1115"/>
      <c r="UJY10" s="1115"/>
      <c r="UJZ10" s="1115"/>
      <c r="UKA10" s="1115"/>
      <c r="UKB10" s="1115"/>
      <c r="UKC10" s="1115"/>
      <c r="UKD10" s="1115"/>
      <c r="UKE10" s="1115"/>
      <c r="UKF10" s="1115"/>
      <c r="UKG10" s="1115"/>
      <c r="UKH10" s="1115"/>
      <c r="UKI10" s="1115"/>
      <c r="UKJ10" s="1115"/>
      <c r="UKK10" s="1115"/>
      <c r="UKL10" s="1115"/>
      <c r="UKM10" s="1115"/>
      <c r="UKN10" s="1115"/>
      <c r="UKO10" s="1115"/>
      <c r="UKP10" s="1115"/>
      <c r="UKQ10" s="1115"/>
      <c r="UKR10" s="1115"/>
      <c r="UKS10" s="1115"/>
      <c r="UKT10" s="1115"/>
      <c r="UKU10" s="1115"/>
      <c r="UKV10" s="1115"/>
      <c r="UKW10" s="1115"/>
      <c r="UKX10" s="1115"/>
      <c r="UKY10" s="1115"/>
      <c r="UKZ10" s="1115"/>
      <c r="ULA10" s="1115"/>
      <c r="ULB10" s="1115"/>
      <c r="ULC10" s="1115"/>
      <c r="ULD10" s="1115"/>
      <c r="ULE10" s="1115"/>
      <c r="ULF10" s="1115"/>
      <c r="ULG10" s="1115"/>
      <c r="ULH10" s="1115"/>
      <c r="ULI10" s="1115"/>
      <c r="ULJ10" s="1115"/>
      <c r="ULK10" s="1115"/>
      <c r="ULL10" s="1115"/>
      <c r="ULM10" s="1115"/>
      <c r="ULN10" s="1115"/>
      <c r="ULO10" s="1115"/>
      <c r="ULP10" s="1115"/>
      <c r="ULQ10" s="1115"/>
      <c r="ULR10" s="1115"/>
      <c r="ULS10" s="1115"/>
      <c r="ULT10" s="1115"/>
      <c r="ULU10" s="1115"/>
      <c r="ULV10" s="1115"/>
      <c r="ULW10" s="1115"/>
      <c r="ULX10" s="1115"/>
      <c r="ULY10" s="1115"/>
      <c r="ULZ10" s="1115"/>
      <c r="UMA10" s="1115"/>
      <c r="UMB10" s="1115"/>
      <c r="UMC10" s="1115"/>
      <c r="UMD10" s="1115"/>
      <c r="UME10" s="1115"/>
      <c r="UMF10" s="1115"/>
      <c r="UMG10" s="1115"/>
      <c r="UMH10" s="1115"/>
      <c r="UMI10" s="1115"/>
      <c r="UMJ10" s="1115"/>
      <c r="UMK10" s="1115"/>
      <c r="UML10" s="1115"/>
      <c r="UMM10" s="1115"/>
      <c r="UMN10" s="1115"/>
      <c r="UMO10" s="1115"/>
      <c r="UMP10" s="1115"/>
      <c r="UMQ10" s="1115"/>
      <c r="UMR10" s="1115"/>
      <c r="UMS10" s="1115"/>
      <c r="UMT10" s="1115"/>
      <c r="UMU10" s="1115"/>
      <c r="UMV10" s="1115"/>
      <c r="UMW10" s="1115"/>
      <c r="UMX10" s="1115"/>
      <c r="UMY10" s="1115"/>
      <c r="UMZ10" s="1115"/>
      <c r="UNA10" s="1115"/>
      <c r="UNB10" s="1115"/>
      <c r="UNC10" s="1115"/>
      <c r="UND10" s="1115"/>
      <c r="UNE10" s="1115"/>
      <c r="UNF10" s="1115"/>
      <c r="UNG10" s="1115"/>
      <c r="UNH10" s="1115"/>
      <c r="UNI10" s="1115"/>
      <c r="UNJ10" s="1115"/>
      <c r="UNK10" s="1115"/>
      <c r="UNL10" s="1115"/>
      <c r="UNM10" s="1115"/>
      <c r="UNN10" s="1115"/>
      <c r="UNO10" s="1115"/>
      <c r="UNP10" s="1115"/>
      <c r="UNQ10" s="1115"/>
      <c r="UNR10" s="1115"/>
      <c r="UNS10" s="1115"/>
      <c r="UNT10" s="1115"/>
      <c r="UNU10" s="1115"/>
      <c r="UNV10" s="1115"/>
      <c r="UNW10" s="1115"/>
      <c r="UNX10" s="1115"/>
      <c r="UNY10" s="1115"/>
      <c r="UNZ10" s="1115"/>
      <c r="UOA10" s="1115"/>
      <c r="UOB10" s="1115"/>
      <c r="UOC10" s="1115"/>
      <c r="UOD10" s="1115"/>
      <c r="UOE10" s="1115"/>
      <c r="UOF10" s="1115"/>
      <c r="UOG10" s="1115"/>
      <c r="UOH10" s="1115"/>
      <c r="UOI10" s="1115"/>
      <c r="UOJ10" s="1115"/>
      <c r="UOK10" s="1115"/>
      <c r="UOL10" s="1115"/>
      <c r="UOM10" s="1115"/>
      <c r="UON10" s="1115"/>
      <c r="UOO10" s="1115"/>
      <c r="UOP10" s="1115"/>
      <c r="UOQ10" s="1115"/>
      <c r="UOR10" s="1115"/>
      <c r="UOS10" s="1115"/>
      <c r="UOT10" s="1115"/>
      <c r="UOU10" s="1115"/>
      <c r="UOV10" s="1115"/>
      <c r="UOW10" s="1115"/>
      <c r="UOX10" s="1115"/>
      <c r="UOY10" s="1115"/>
      <c r="UOZ10" s="1115"/>
      <c r="UPA10" s="1115"/>
      <c r="UPB10" s="1115"/>
      <c r="UPC10" s="1115"/>
      <c r="UPD10" s="1115"/>
      <c r="UPE10" s="1115"/>
      <c r="UPF10" s="1115"/>
      <c r="UPG10" s="1115"/>
      <c r="UPH10" s="1115"/>
      <c r="UPI10" s="1115"/>
      <c r="UPJ10" s="1115"/>
      <c r="UPK10" s="1115"/>
      <c r="UPL10" s="1115"/>
      <c r="UPM10" s="1115"/>
      <c r="UPN10" s="1115"/>
      <c r="UPO10" s="1115"/>
      <c r="UPP10" s="1115"/>
      <c r="UPQ10" s="1115"/>
      <c r="UPR10" s="1115"/>
      <c r="UPS10" s="1115"/>
      <c r="UPT10" s="1115"/>
      <c r="UPU10" s="1115"/>
      <c r="UPV10" s="1115"/>
      <c r="UPW10" s="1115"/>
      <c r="UPX10" s="1115"/>
      <c r="UPY10" s="1115"/>
      <c r="UPZ10" s="1115"/>
      <c r="UQA10" s="1115"/>
      <c r="UQB10" s="1115"/>
      <c r="UQC10" s="1115"/>
      <c r="UQD10" s="1115"/>
      <c r="UQE10" s="1115"/>
      <c r="UQF10" s="1115"/>
      <c r="UQG10" s="1115"/>
      <c r="UQH10" s="1115"/>
      <c r="UQI10" s="1115"/>
      <c r="UQJ10" s="1115"/>
      <c r="UQK10" s="1115"/>
      <c r="UQL10" s="1115"/>
      <c r="UQM10" s="1115"/>
      <c r="UQN10" s="1115"/>
      <c r="UQO10" s="1115"/>
      <c r="UQP10" s="1115"/>
      <c r="UQQ10" s="1115"/>
      <c r="UQR10" s="1115"/>
      <c r="UQS10" s="1115"/>
      <c r="UQT10" s="1115"/>
      <c r="UQU10" s="1115"/>
      <c r="UQV10" s="1115"/>
      <c r="UQW10" s="1115"/>
      <c r="UQX10" s="1115"/>
      <c r="UQY10" s="1115"/>
      <c r="UQZ10" s="1115"/>
      <c r="URA10" s="1115"/>
      <c r="URB10" s="1115"/>
      <c r="URC10" s="1115"/>
      <c r="URD10" s="1115"/>
      <c r="URE10" s="1115"/>
      <c r="URF10" s="1115"/>
      <c r="URG10" s="1115"/>
      <c r="URH10" s="1115"/>
      <c r="URI10" s="1115"/>
      <c r="URJ10" s="1115"/>
      <c r="URK10" s="1115"/>
      <c r="URL10" s="1115"/>
      <c r="URM10" s="1115"/>
      <c r="URN10" s="1115"/>
      <c r="URO10" s="1115"/>
      <c r="URP10" s="1115"/>
      <c r="URQ10" s="1115"/>
      <c r="URR10" s="1115"/>
      <c r="URS10" s="1115"/>
      <c r="URT10" s="1115"/>
      <c r="URU10" s="1115"/>
      <c r="URV10" s="1115"/>
      <c r="URW10" s="1115"/>
      <c r="URX10" s="1115"/>
      <c r="URY10" s="1115"/>
      <c r="URZ10" s="1115"/>
      <c r="USA10" s="1115"/>
      <c r="USB10" s="1115"/>
      <c r="USC10" s="1115"/>
      <c r="USD10" s="1115"/>
      <c r="USE10" s="1115"/>
      <c r="USF10" s="1115"/>
      <c r="USG10" s="1115"/>
      <c r="USH10" s="1115"/>
      <c r="USI10" s="1115"/>
      <c r="USJ10" s="1115"/>
      <c r="USK10" s="1115"/>
      <c r="USL10" s="1115"/>
      <c r="USM10" s="1115"/>
      <c r="USN10" s="1115"/>
      <c r="USO10" s="1115"/>
      <c r="USP10" s="1115"/>
      <c r="USQ10" s="1115"/>
      <c r="USR10" s="1115"/>
      <c r="USS10" s="1115"/>
      <c r="UST10" s="1115"/>
      <c r="USU10" s="1115"/>
      <c r="USV10" s="1115"/>
      <c r="USW10" s="1115"/>
      <c r="USX10" s="1115"/>
      <c r="USY10" s="1115"/>
      <c r="USZ10" s="1115"/>
      <c r="UTA10" s="1115"/>
      <c r="UTB10" s="1115"/>
      <c r="UTC10" s="1115"/>
      <c r="UTD10" s="1115"/>
      <c r="UTE10" s="1115"/>
      <c r="UTF10" s="1115"/>
      <c r="UTG10" s="1115"/>
      <c r="UTH10" s="1115"/>
      <c r="UTI10" s="1115"/>
      <c r="UTJ10" s="1115"/>
      <c r="UTK10" s="1115"/>
      <c r="UTL10" s="1115"/>
      <c r="UTM10" s="1115"/>
      <c r="UTN10" s="1115"/>
      <c r="UTO10" s="1115"/>
      <c r="UTP10" s="1115"/>
      <c r="UTQ10" s="1115"/>
      <c r="UTR10" s="1115"/>
      <c r="UTS10" s="1115"/>
      <c r="UTT10" s="1115"/>
      <c r="UTU10" s="1115"/>
      <c r="UTV10" s="1115"/>
      <c r="UTW10" s="1115"/>
      <c r="UTX10" s="1115"/>
      <c r="UTY10" s="1115"/>
      <c r="UTZ10" s="1115"/>
      <c r="UUA10" s="1115"/>
      <c r="UUB10" s="1115"/>
      <c r="UUC10" s="1115"/>
      <c r="UUD10" s="1115"/>
      <c r="UUE10" s="1115"/>
      <c r="UUF10" s="1115"/>
      <c r="UUG10" s="1115"/>
      <c r="UUH10" s="1115"/>
      <c r="UUI10" s="1115"/>
      <c r="UUJ10" s="1115"/>
      <c r="UUK10" s="1115"/>
      <c r="UUL10" s="1115"/>
      <c r="UUM10" s="1115"/>
      <c r="UUN10" s="1115"/>
      <c r="UUO10" s="1115"/>
      <c r="UUP10" s="1115"/>
      <c r="UUQ10" s="1115"/>
      <c r="UUR10" s="1115"/>
      <c r="UUS10" s="1115"/>
      <c r="UUT10" s="1115"/>
      <c r="UUU10" s="1115"/>
      <c r="UUV10" s="1115"/>
      <c r="UUW10" s="1115"/>
      <c r="UUX10" s="1115"/>
      <c r="UUY10" s="1115"/>
      <c r="UUZ10" s="1115"/>
      <c r="UVA10" s="1115"/>
      <c r="UVB10" s="1115"/>
      <c r="UVC10" s="1115"/>
      <c r="UVD10" s="1115"/>
      <c r="UVE10" s="1115"/>
      <c r="UVF10" s="1115"/>
      <c r="UVG10" s="1115"/>
      <c r="UVH10" s="1115"/>
      <c r="UVI10" s="1115"/>
      <c r="UVJ10" s="1115"/>
      <c r="UVK10" s="1115"/>
      <c r="UVL10" s="1115"/>
      <c r="UVM10" s="1115"/>
      <c r="UVN10" s="1115"/>
      <c r="UVO10" s="1115"/>
      <c r="UVP10" s="1115"/>
      <c r="UVQ10" s="1115"/>
      <c r="UVR10" s="1115"/>
      <c r="UVS10" s="1115"/>
      <c r="UVT10" s="1115"/>
      <c r="UVU10" s="1115"/>
      <c r="UVV10" s="1115"/>
      <c r="UVW10" s="1115"/>
      <c r="UVX10" s="1115"/>
      <c r="UVY10" s="1115"/>
      <c r="UVZ10" s="1115"/>
      <c r="UWA10" s="1115"/>
      <c r="UWB10" s="1115"/>
      <c r="UWC10" s="1115"/>
      <c r="UWD10" s="1115"/>
      <c r="UWE10" s="1115"/>
      <c r="UWF10" s="1115"/>
      <c r="UWG10" s="1115"/>
      <c r="UWH10" s="1115"/>
      <c r="UWI10" s="1115"/>
      <c r="UWJ10" s="1115"/>
      <c r="UWK10" s="1115"/>
      <c r="UWL10" s="1115"/>
      <c r="UWM10" s="1115"/>
      <c r="UWN10" s="1115"/>
      <c r="UWO10" s="1115"/>
      <c r="UWP10" s="1115"/>
      <c r="UWQ10" s="1115"/>
      <c r="UWR10" s="1115"/>
      <c r="UWS10" s="1115"/>
      <c r="UWT10" s="1115"/>
      <c r="UWU10" s="1115"/>
      <c r="UWV10" s="1115"/>
      <c r="UWW10" s="1115"/>
      <c r="UWX10" s="1115"/>
      <c r="UWY10" s="1115"/>
      <c r="UWZ10" s="1115"/>
      <c r="UXA10" s="1115"/>
      <c r="UXB10" s="1115"/>
      <c r="UXC10" s="1115"/>
      <c r="UXD10" s="1115"/>
      <c r="UXE10" s="1115"/>
      <c r="UXF10" s="1115"/>
      <c r="UXG10" s="1115"/>
      <c r="UXH10" s="1115"/>
      <c r="UXI10" s="1115"/>
      <c r="UXJ10" s="1115"/>
      <c r="UXK10" s="1115"/>
      <c r="UXL10" s="1115"/>
      <c r="UXM10" s="1115"/>
      <c r="UXN10" s="1115"/>
      <c r="UXO10" s="1115"/>
      <c r="UXP10" s="1115"/>
      <c r="UXQ10" s="1115"/>
      <c r="UXR10" s="1115"/>
      <c r="UXS10" s="1115"/>
      <c r="UXT10" s="1115"/>
      <c r="UXU10" s="1115"/>
      <c r="UXV10" s="1115"/>
      <c r="UXW10" s="1115"/>
      <c r="UXX10" s="1115"/>
      <c r="UXY10" s="1115"/>
      <c r="UXZ10" s="1115"/>
      <c r="UYA10" s="1115"/>
      <c r="UYB10" s="1115"/>
      <c r="UYC10" s="1115"/>
      <c r="UYD10" s="1115"/>
      <c r="UYE10" s="1115"/>
      <c r="UYF10" s="1115"/>
      <c r="UYG10" s="1115"/>
      <c r="UYH10" s="1115"/>
      <c r="UYI10" s="1115"/>
      <c r="UYJ10" s="1115"/>
      <c r="UYK10" s="1115"/>
      <c r="UYL10" s="1115"/>
      <c r="UYM10" s="1115"/>
      <c r="UYN10" s="1115"/>
      <c r="UYO10" s="1115"/>
      <c r="UYP10" s="1115"/>
      <c r="UYQ10" s="1115"/>
      <c r="UYR10" s="1115"/>
      <c r="UYS10" s="1115"/>
      <c r="UYT10" s="1115"/>
      <c r="UYU10" s="1115"/>
      <c r="UYV10" s="1115"/>
      <c r="UYW10" s="1115"/>
      <c r="UYX10" s="1115"/>
      <c r="UYY10" s="1115"/>
      <c r="UYZ10" s="1115"/>
      <c r="UZA10" s="1115"/>
      <c r="UZB10" s="1115"/>
      <c r="UZC10" s="1115"/>
      <c r="UZD10" s="1115"/>
      <c r="UZE10" s="1115"/>
      <c r="UZF10" s="1115"/>
      <c r="UZG10" s="1115"/>
      <c r="UZH10" s="1115"/>
      <c r="UZI10" s="1115"/>
      <c r="UZJ10" s="1115"/>
      <c r="UZK10" s="1115"/>
      <c r="UZL10" s="1115"/>
      <c r="UZM10" s="1115"/>
      <c r="UZN10" s="1115"/>
      <c r="UZO10" s="1115"/>
      <c r="UZP10" s="1115"/>
      <c r="UZQ10" s="1115"/>
      <c r="UZR10" s="1115"/>
      <c r="UZS10" s="1115"/>
      <c r="UZT10" s="1115"/>
      <c r="UZU10" s="1115"/>
      <c r="UZV10" s="1115"/>
      <c r="UZW10" s="1115"/>
      <c r="UZX10" s="1115"/>
      <c r="UZY10" s="1115"/>
      <c r="UZZ10" s="1115"/>
      <c r="VAA10" s="1115"/>
      <c r="VAB10" s="1115"/>
      <c r="VAC10" s="1115"/>
      <c r="VAD10" s="1115"/>
      <c r="VAE10" s="1115"/>
      <c r="VAF10" s="1115"/>
      <c r="VAG10" s="1115"/>
      <c r="VAH10" s="1115"/>
      <c r="VAI10" s="1115"/>
      <c r="VAJ10" s="1115"/>
      <c r="VAK10" s="1115"/>
      <c r="VAL10" s="1115"/>
      <c r="VAM10" s="1115"/>
      <c r="VAN10" s="1115"/>
      <c r="VAO10" s="1115"/>
      <c r="VAP10" s="1115"/>
      <c r="VAQ10" s="1115"/>
      <c r="VAR10" s="1115"/>
      <c r="VAS10" s="1115"/>
      <c r="VAT10" s="1115"/>
      <c r="VAU10" s="1115"/>
      <c r="VAV10" s="1115"/>
      <c r="VAW10" s="1115"/>
      <c r="VAX10" s="1115"/>
      <c r="VAY10" s="1115"/>
      <c r="VAZ10" s="1115"/>
      <c r="VBA10" s="1115"/>
      <c r="VBB10" s="1115"/>
      <c r="VBC10" s="1115"/>
      <c r="VBD10" s="1115"/>
      <c r="VBE10" s="1115"/>
      <c r="VBF10" s="1115"/>
      <c r="VBG10" s="1115"/>
      <c r="VBH10" s="1115"/>
      <c r="VBI10" s="1115"/>
      <c r="VBJ10" s="1115"/>
      <c r="VBK10" s="1115"/>
      <c r="VBL10" s="1115"/>
      <c r="VBM10" s="1115"/>
      <c r="VBN10" s="1115"/>
      <c r="VBO10" s="1115"/>
      <c r="VBP10" s="1115"/>
      <c r="VBQ10" s="1115"/>
      <c r="VBR10" s="1115"/>
      <c r="VBS10" s="1115"/>
      <c r="VBT10" s="1115"/>
      <c r="VBU10" s="1115"/>
      <c r="VBV10" s="1115"/>
      <c r="VBW10" s="1115"/>
      <c r="VBX10" s="1115"/>
      <c r="VBY10" s="1115"/>
      <c r="VBZ10" s="1115"/>
      <c r="VCA10" s="1115"/>
      <c r="VCB10" s="1115"/>
      <c r="VCC10" s="1115"/>
      <c r="VCD10" s="1115"/>
      <c r="VCE10" s="1115"/>
      <c r="VCF10" s="1115"/>
      <c r="VCG10" s="1115"/>
      <c r="VCH10" s="1115"/>
      <c r="VCI10" s="1115"/>
      <c r="VCJ10" s="1115"/>
      <c r="VCK10" s="1115"/>
      <c r="VCL10" s="1115"/>
      <c r="VCM10" s="1115"/>
      <c r="VCN10" s="1115"/>
      <c r="VCO10" s="1115"/>
      <c r="VCP10" s="1115"/>
      <c r="VCQ10" s="1115"/>
      <c r="VCR10" s="1115"/>
      <c r="VCS10" s="1115"/>
      <c r="VCT10" s="1115"/>
      <c r="VCU10" s="1115"/>
      <c r="VCV10" s="1115"/>
      <c r="VCW10" s="1115"/>
      <c r="VCX10" s="1115"/>
      <c r="VCY10" s="1115"/>
      <c r="VCZ10" s="1115"/>
      <c r="VDA10" s="1115"/>
      <c r="VDB10" s="1115"/>
      <c r="VDC10" s="1115"/>
      <c r="VDD10" s="1115"/>
      <c r="VDE10" s="1115"/>
      <c r="VDF10" s="1115"/>
      <c r="VDG10" s="1115"/>
      <c r="VDH10" s="1115"/>
      <c r="VDI10" s="1115"/>
      <c r="VDJ10" s="1115"/>
      <c r="VDK10" s="1115"/>
      <c r="VDL10" s="1115"/>
      <c r="VDM10" s="1115"/>
      <c r="VDN10" s="1115"/>
      <c r="VDO10" s="1115"/>
      <c r="VDP10" s="1115"/>
      <c r="VDQ10" s="1115"/>
      <c r="VDR10" s="1115"/>
      <c r="VDS10" s="1115"/>
      <c r="VDT10" s="1115"/>
      <c r="VDU10" s="1115"/>
      <c r="VDV10" s="1115"/>
      <c r="VDW10" s="1115"/>
      <c r="VDX10" s="1115"/>
      <c r="VDY10" s="1115"/>
      <c r="VDZ10" s="1115"/>
      <c r="VEA10" s="1115"/>
      <c r="VEB10" s="1115"/>
      <c r="VEC10" s="1115"/>
      <c r="VED10" s="1115"/>
      <c r="VEE10" s="1115"/>
      <c r="VEF10" s="1115"/>
      <c r="VEG10" s="1115"/>
      <c r="VEH10" s="1115"/>
      <c r="VEI10" s="1115"/>
      <c r="VEJ10" s="1115"/>
      <c r="VEK10" s="1115"/>
      <c r="VEL10" s="1115"/>
      <c r="VEM10" s="1115"/>
      <c r="VEN10" s="1115"/>
      <c r="VEO10" s="1115"/>
      <c r="VEP10" s="1115"/>
      <c r="VEQ10" s="1115"/>
      <c r="VER10" s="1115"/>
      <c r="VES10" s="1115"/>
      <c r="VET10" s="1115"/>
      <c r="VEU10" s="1115"/>
      <c r="VEV10" s="1115"/>
      <c r="VEW10" s="1115"/>
      <c r="VEX10" s="1115"/>
      <c r="VEY10" s="1115"/>
      <c r="VEZ10" s="1115"/>
      <c r="VFA10" s="1115"/>
      <c r="VFB10" s="1115"/>
      <c r="VFC10" s="1115"/>
      <c r="VFD10" s="1115"/>
      <c r="VFE10" s="1115"/>
      <c r="VFF10" s="1115"/>
      <c r="VFG10" s="1115"/>
      <c r="VFH10" s="1115"/>
      <c r="VFI10" s="1115"/>
      <c r="VFJ10" s="1115"/>
      <c r="VFK10" s="1115"/>
      <c r="VFL10" s="1115"/>
      <c r="VFM10" s="1115"/>
      <c r="VFN10" s="1115"/>
      <c r="VFO10" s="1115"/>
      <c r="VFP10" s="1115"/>
      <c r="VFQ10" s="1115"/>
      <c r="VFR10" s="1115"/>
      <c r="VFS10" s="1115"/>
      <c r="VFT10" s="1115"/>
      <c r="VFU10" s="1115"/>
      <c r="VFV10" s="1115"/>
      <c r="VFW10" s="1115"/>
      <c r="VFX10" s="1115"/>
      <c r="VFY10" s="1115"/>
      <c r="VFZ10" s="1115"/>
      <c r="VGA10" s="1115"/>
      <c r="VGB10" s="1115"/>
      <c r="VGC10" s="1115"/>
      <c r="VGD10" s="1115"/>
      <c r="VGE10" s="1115"/>
      <c r="VGF10" s="1115"/>
      <c r="VGG10" s="1115"/>
      <c r="VGH10" s="1115"/>
      <c r="VGI10" s="1115"/>
      <c r="VGJ10" s="1115"/>
      <c r="VGK10" s="1115"/>
      <c r="VGL10" s="1115"/>
      <c r="VGM10" s="1115"/>
      <c r="VGN10" s="1115"/>
      <c r="VGO10" s="1115"/>
      <c r="VGP10" s="1115"/>
      <c r="VGQ10" s="1115"/>
      <c r="VGR10" s="1115"/>
      <c r="VGS10" s="1115"/>
      <c r="VGT10" s="1115"/>
      <c r="VGU10" s="1115"/>
      <c r="VGV10" s="1115"/>
      <c r="VGW10" s="1115"/>
      <c r="VGX10" s="1115"/>
      <c r="VGY10" s="1115"/>
      <c r="VGZ10" s="1115"/>
      <c r="VHA10" s="1115"/>
      <c r="VHB10" s="1115"/>
      <c r="VHC10" s="1115"/>
      <c r="VHD10" s="1115"/>
      <c r="VHE10" s="1115"/>
      <c r="VHF10" s="1115"/>
      <c r="VHG10" s="1115"/>
      <c r="VHH10" s="1115"/>
      <c r="VHI10" s="1115"/>
      <c r="VHJ10" s="1115"/>
      <c r="VHK10" s="1115"/>
      <c r="VHL10" s="1115"/>
      <c r="VHM10" s="1115"/>
      <c r="VHN10" s="1115"/>
      <c r="VHO10" s="1115"/>
      <c r="VHP10" s="1115"/>
      <c r="VHQ10" s="1115"/>
      <c r="VHR10" s="1115"/>
      <c r="VHS10" s="1115"/>
      <c r="VHT10" s="1115"/>
      <c r="VHU10" s="1115"/>
      <c r="VHV10" s="1115"/>
      <c r="VHW10" s="1115"/>
      <c r="VHX10" s="1115"/>
      <c r="VHY10" s="1115"/>
      <c r="VHZ10" s="1115"/>
      <c r="VIA10" s="1115"/>
      <c r="VIB10" s="1115"/>
      <c r="VIC10" s="1115"/>
      <c r="VID10" s="1115"/>
      <c r="VIE10" s="1115"/>
      <c r="VIF10" s="1115"/>
      <c r="VIG10" s="1115"/>
      <c r="VIH10" s="1115"/>
      <c r="VII10" s="1115"/>
      <c r="VIJ10" s="1115"/>
      <c r="VIK10" s="1115"/>
      <c r="VIL10" s="1115"/>
      <c r="VIM10" s="1115"/>
      <c r="VIN10" s="1115"/>
      <c r="VIO10" s="1115"/>
      <c r="VIP10" s="1115"/>
      <c r="VIQ10" s="1115"/>
      <c r="VIR10" s="1115"/>
      <c r="VIS10" s="1115"/>
      <c r="VIT10" s="1115"/>
      <c r="VIU10" s="1115"/>
      <c r="VIV10" s="1115"/>
      <c r="VIW10" s="1115"/>
      <c r="VIX10" s="1115"/>
      <c r="VIY10" s="1115"/>
      <c r="VIZ10" s="1115"/>
      <c r="VJA10" s="1115"/>
      <c r="VJB10" s="1115"/>
      <c r="VJC10" s="1115"/>
      <c r="VJD10" s="1115"/>
      <c r="VJE10" s="1115"/>
      <c r="VJF10" s="1115"/>
      <c r="VJG10" s="1115"/>
      <c r="VJH10" s="1115"/>
      <c r="VJI10" s="1115"/>
      <c r="VJJ10" s="1115"/>
      <c r="VJK10" s="1115"/>
      <c r="VJL10" s="1115"/>
      <c r="VJM10" s="1115"/>
      <c r="VJN10" s="1115"/>
      <c r="VJO10" s="1115"/>
      <c r="VJP10" s="1115"/>
      <c r="VJQ10" s="1115"/>
      <c r="VJR10" s="1115"/>
      <c r="VJS10" s="1115"/>
      <c r="VJT10" s="1115"/>
      <c r="VJU10" s="1115"/>
      <c r="VJV10" s="1115"/>
      <c r="VJW10" s="1115"/>
      <c r="VJX10" s="1115"/>
      <c r="VJY10" s="1115"/>
      <c r="VJZ10" s="1115"/>
      <c r="VKA10" s="1115"/>
      <c r="VKB10" s="1115"/>
      <c r="VKC10" s="1115"/>
      <c r="VKD10" s="1115"/>
      <c r="VKE10" s="1115"/>
      <c r="VKF10" s="1115"/>
      <c r="VKG10" s="1115"/>
      <c r="VKH10" s="1115"/>
      <c r="VKI10" s="1115"/>
      <c r="VKJ10" s="1115"/>
      <c r="VKK10" s="1115"/>
      <c r="VKL10" s="1115"/>
      <c r="VKM10" s="1115"/>
      <c r="VKN10" s="1115"/>
      <c r="VKO10" s="1115"/>
      <c r="VKP10" s="1115"/>
      <c r="VKQ10" s="1115"/>
      <c r="VKR10" s="1115"/>
      <c r="VKS10" s="1115"/>
      <c r="VKT10" s="1115"/>
      <c r="VKU10" s="1115"/>
      <c r="VKV10" s="1115"/>
      <c r="VKW10" s="1115"/>
      <c r="VKX10" s="1115"/>
      <c r="VKY10" s="1115"/>
      <c r="VKZ10" s="1115"/>
      <c r="VLA10" s="1115"/>
      <c r="VLB10" s="1115"/>
      <c r="VLC10" s="1115"/>
      <c r="VLD10" s="1115"/>
      <c r="VLE10" s="1115"/>
      <c r="VLF10" s="1115"/>
      <c r="VLG10" s="1115"/>
      <c r="VLH10" s="1115"/>
      <c r="VLI10" s="1115"/>
      <c r="VLJ10" s="1115"/>
      <c r="VLK10" s="1115"/>
      <c r="VLL10" s="1115"/>
      <c r="VLM10" s="1115"/>
      <c r="VLN10" s="1115"/>
      <c r="VLO10" s="1115"/>
      <c r="VLP10" s="1115"/>
      <c r="VLQ10" s="1115"/>
      <c r="VLR10" s="1115"/>
      <c r="VLS10" s="1115"/>
      <c r="VLT10" s="1115"/>
      <c r="VLU10" s="1115"/>
      <c r="VLV10" s="1115"/>
      <c r="VLW10" s="1115"/>
      <c r="VLX10" s="1115"/>
      <c r="VLY10" s="1115"/>
      <c r="VLZ10" s="1115"/>
      <c r="VMA10" s="1115"/>
      <c r="VMB10" s="1115"/>
      <c r="VMC10" s="1115"/>
      <c r="VMD10" s="1115"/>
      <c r="VME10" s="1115"/>
      <c r="VMF10" s="1115"/>
      <c r="VMG10" s="1115"/>
      <c r="VMH10" s="1115"/>
      <c r="VMI10" s="1115"/>
      <c r="VMJ10" s="1115"/>
      <c r="VMK10" s="1115"/>
      <c r="VML10" s="1115"/>
      <c r="VMM10" s="1115"/>
      <c r="VMN10" s="1115"/>
      <c r="VMO10" s="1115"/>
      <c r="VMP10" s="1115"/>
      <c r="VMQ10" s="1115"/>
      <c r="VMR10" s="1115"/>
      <c r="VMS10" s="1115"/>
      <c r="VMT10" s="1115"/>
      <c r="VMU10" s="1115"/>
      <c r="VMV10" s="1115"/>
      <c r="VMW10" s="1115"/>
      <c r="VMX10" s="1115"/>
      <c r="VMY10" s="1115"/>
      <c r="VMZ10" s="1115"/>
      <c r="VNA10" s="1115"/>
      <c r="VNB10" s="1115"/>
      <c r="VNC10" s="1115"/>
      <c r="VND10" s="1115"/>
      <c r="VNE10" s="1115"/>
      <c r="VNF10" s="1115"/>
      <c r="VNG10" s="1115"/>
      <c r="VNH10" s="1115"/>
      <c r="VNI10" s="1115"/>
      <c r="VNJ10" s="1115"/>
      <c r="VNK10" s="1115"/>
      <c r="VNL10" s="1115"/>
      <c r="VNM10" s="1115"/>
      <c r="VNN10" s="1115"/>
      <c r="VNO10" s="1115"/>
      <c r="VNP10" s="1115"/>
      <c r="VNQ10" s="1115"/>
      <c r="VNR10" s="1115"/>
      <c r="VNS10" s="1115"/>
      <c r="VNT10" s="1115"/>
      <c r="VNU10" s="1115"/>
      <c r="VNV10" s="1115"/>
      <c r="VNW10" s="1115"/>
      <c r="VNX10" s="1115"/>
      <c r="VNY10" s="1115"/>
      <c r="VNZ10" s="1115"/>
      <c r="VOA10" s="1115"/>
      <c r="VOB10" s="1115"/>
      <c r="VOC10" s="1115"/>
      <c r="VOD10" s="1115"/>
      <c r="VOE10" s="1115"/>
      <c r="VOF10" s="1115"/>
      <c r="VOG10" s="1115"/>
      <c r="VOH10" s="1115"/>
      <c r="VOI10" s="1115"/>
      <c r="VOJ10" s="1115"/>
      <c r="VOK10" s="1115"/>
      <c r="VOL10" s="1115"/>
      <c r="VOM10" s="1115"/>
      <c r="VON10" s="1115"/>
      <c r="VOO10" s="1115"/>
      <c r="VOP10" s="1115"/>
      <c r="VOQ10" s="1115"/>
      <c r="VOR10" s="1115"/>
      <c r="VOS10" s="1115"/>
      <c r="VOT10" s="1115"/>
      <c r="VOU10" s="1115"/>
      <c r="VOV10" s="1115"/>
      <c r="VOW10" s="1115"/>
      <c r="VOX10" s="1115"/>
      <c r="VOY10" s="1115"/>
      <c r="VOZ10" s="1115"/>
      <c r="VPA10" s="1115"/>
      <c r="VPB10" s="1115"/>
      <c r="VPC10" s="1115"/>
      <c r="VPD10" s="1115"/>
      <c r="VPE10" s="1115"/>
      <c r="VPF10" s="1115"/>
      <c r="VPG10" s="1115"/>
      <c r="VPH10" s="1115"/>
      <c r="VPI10" s="1115"/>
      <c r="VPJ10" s="1115"/>
      <c r="VPK10" s="1115"/>
      <c r="VPL10" s="1115"/>
      <c r="VPM10" s="1115"/>
      <c r="VPN10" s="1115"/>
      <c r="VPO10" s="1115"/>
      <c r="VPP10" s="1115"/>
      <c r="VPQ10" s="1115"/>
      <c r="VPR10" s="1115"/>
      <c r="VPS10" s="1115"/>
      <c r="VPT10" s="1115"/>
      <c r="VPU10" s="1115"/>
      <c r="VPV10" s="1115"/>
      <c r="VPW10" s="1115"/>
      <c r="VPX10" s="1115"/>
      <c r="VPY10" s="1115"/>
      <c r="VPZ10" s="1115"/>
      <c r="VQA10" s="1115"/>
      <c r="VQB10" s="1115"/>
      <c r="VQC10" s="1115"/>
      <c r="VQD10" s="1115"/>
      <c r="VQE10" s="1115"/>
      <c r="VQF10" s="1115"/>
      <c r="VQG10" s="1115"/>
      <c r="VQH10" s="1115"/>
      <c r="VQI10" s="1115"/>
      <c r="VQJ10" s="1115"/>
      <c r="VQK10" s="1115"/>
      <c r="VQL10" s="1115"/>
      <c r="VQM10" s="1115"/>
      <c r="VQN10" s="1115"/>
      <c r="VQO10" s="1115"/>
      <c r="VQP10" s="1115"/>
      <c r="VQQ10" s="1115"/>
      <c r="VQR10" s="1115"/>
      <c r="VQS10" s="1115"/>
      <c r="VQT10" s="1115"/>
      <c r="VQU10" s="1115"/>
      <c r="VQV10" s="1115"/>
      <c r="VQW10" s="1115"/>
      <c r="VQX10" s="1115"/>
      <c r="VQY10" s="1115"/>
      <c r="VQZ10" s="1115"/>
      <c r="VRA10" s="1115"/>
      <c r="VRB10" s="1115"/>
      <c r="VRC10" s="1115"/>
      <c r="VRD10" s="1115"/>
      <c r="VRE10" s="1115"/>
      <c r="VRF10" s="1115"/>
      <c r="VRG10" s="1115"/>
      <c r="VRH10" s="1115"/>
      <c r="VRI10" s="1115"/>
      <c r="VRJ10" s="1115"/>
      <c r="VRK10" s="1115"/>
      <c r="VRL10" s="1115"/>
      <c r="VRM10" s="1115"/>
      <c r="VRN10" s="1115"/>
      <c r="VRO10" s="1115"/>
      <c r="VRP10" s="1115"/>
      <c r="VRQ10" s="1115"/>
      <c r="VRR10" s="1115"/>
      <c r="VRS10" s="1115"/>
      <c r="VRT10" s="1115"/>
      <c r="VRU10" s="1115"/>
      <c r="VRV10" s="1115"/>
      <c r="VRW10" s="1115"/>
      <c r="VRX10" s="1115"/>
      <c r="VRY10" s="1115"/>
      <c r="VRZ10" s="1115"/>
      <c r="VSA10" s="1115"/>
      <c r="VSB10" s="1115"/>
      <c r="VSC10" s="1115"/>
      <c r="VSD10" s="1115"/>
      <c r="VSE10" s="1115"/>
      <c r="VSF10" s="1115"/>
      <c r="VSG10" s="1115"/>
      <c r="VSH10" s="1115"/>
      <c r="VSI10" s="1115"/>
      <c r="VSJ10" s="1115"/>
      <c r="VSK10" s="1115"/>
      <c r="VSL10" s="1115"/>
      <c r="VSM10" s="1115"/>
      <c r="VSN10" s="1115"/>
      <c r="VSO10" s="1115"/>
      <c r="VSP10" s="1115"/>
      <c r="VSQ10" s="1115"/>
      <c r="VSR10" s="1115"/>
      <c r="VSS10" s="1115"/>
      <c r="VST10" s="1115"/>
      <c r="VSU10" s="1115"/>
      <c r="VSV10" s="1115"/>
      <c r="VSW10" s="1115"/>
      <c r="VSX10" s="1115"/>
      <c r="VSY10" s="1115"/>
      <c r="VSZ10" s="1115"/>
      <c r="VTA10" s="1115"/>
      <c r="VTB10" s="1115"/>
      <c r="VTC10" s="1115"/>
      <c r="VTD10" s="1115"/>
      <c r="VTE10" s="1115"/>
      <c r="VTF10" s="1115"/>
      <c r="VTG10" s="1115"/>
      <c r="VTH10" s="1115"/>
      <c r="VTI10" s="1115"/>
      <c r="VTJ10" s="1115"/>
      <c r="VTK10" s="1115"/>
      <c r="VTL10" s="1115"/>
      <c r="VTM10" s="1115"/>
      <c r="VTN10" s="1115"/>
      <c r="VTO10" s="1115"/>
      <c r="VTP10" s="1115"/>
      <c r="VTQ10" s="1115"/>
      <c r="VTR10" s="1115"/>
      <c r="VTS10" s="1115"/>
      <c r="VTT10" s="1115"/>
      <c r="VTU10" s="1115"/>
      <c r="VTV10" s="1115"/>
      <c r="VTW10" s="1115"/>
      <c r="VTX10" s="1115"/>
      <c r="VTY10" s="1115"/>
      <c r="VTZ10" s="1115"/>
      <c r="VUA10" s="1115"/>
      <c r="VUB10" s="1115"/>
      <c r="VUC10" s="1115"/>
      <c r="VUD10" s="1115"/>
      <c r="VUE10" s="1115"/>
      <c r="VUF10" s="1115"/>
      <c r="VUG10" s="1115"/>
      <c r="VUH10" s="1115"/>
      <c r="VUI10" s="1115"/>
      <c r="VUJ10" s="1115"/>
      <c r="VUK10" s="1115"/>
      <c r="VUL10" s="1115"/>
      <c r="VUM10" s="1115"/>
      <c r="VUN10" s="1115"/>
      <c r="VUO10" s="1115"/>
      <c r="VUP10" s="1115"/>
      <c r="VUQ10" s="1115"/>
      <c r="VUR10" s="1115"/>
      <c r="VUS10" s="1115"/>
      <c r="VUT10" s="1115"/>
      <c r="VUU10" s="1115"/>
      <c r="VUV10" s="1115"/>
      <c r="VUW10" s="1115"/>
      <c r="VUX10" s="1115"/>
      <c r="VUY10" s="1115"/>
      <c r="VUZ10" s="1115"/>
      <c r="VVA10" s="1115"/>
      <c r="VVB10" s="1115"/>
      <c r="VVC10" s="1115"/>
      <c r="VVD10" s="1115"/>
      <c r="VVE10" s="1115"/>
      <c r="VVF10" s="1115"/>
      <c r="VVG10" s="1115"/>
      <c r="VVH10" s="1115"/>
      <c r="VVI10" s="1115"/>
      <c r="VVJ10" s="1115"/>
      <c r="VVK10" s="1115"/>
      <c r="VVL10" s="1115"/>
      <c r="VVM10" s="1115"/>
      <c r="VVN10" s="1115"/>
      <c r="VVO10" s="1115"/>
      <c r="VVP10" s="1115"/>
      <c r="VVQ10" s="1115"/>
      <c r="VVR10" s="1115"/>
      <c r="VVS10" s="1115"/>
      <c r="VVT10" s="1115"/>
      <c r="VVU10" s="1115"/>
      <c r="VVV10" s="1115"/>
      <c r="VVW10" s="1115"/>
      <c r="VVX10" s="1115"/>
      <c r="VVY10" s="1115"/>
      <c r="VVZ10" s="1115"/>
      <c r="VWA10" s="1115"/>
      <c r="VWB10" s="1115"/>
      <c r="VWC10" s="1115"/>
      <c r="VWD10" s="1115"/>
      <c r="VWE10" s="1115"/>
      <c r="VWF10" s="1115"/>
      <c r="VWG10" s="1115"/>
      <c r="VWH10" s="1115"/>
      <c r="VWI10" s="1115"/>
      <c r="VWJ10" s="1115"/>
      <c r="VWK10" s="1115"/>
      <c r="VWL10" s="1115"/>
      <c r="VWM10" s="1115"/>
      <c r="VWN10" s="1115"/>
      <c r="VWO10" s="1115"/>
      <c r="VWP10" s="1115"/>
      <c r="VWQ10" s="1115"/>
      <c r="VWR10" s="1115"/>
      <c r="VWS10" s="1115"/>
      <c r="VWT10" s="1115"/>
      <c r="VWU10" s="1115"/>
      <c r="VWV10" s="1115"/>
      <c r="VWW10" s="1115"/>
      <c r="VWX10" s="1115"/>
      <c r="VWY10" s="1115"/>
      <c r="VWZ10" s="1115"/>
      <c r="VXA10" s="1115"/>
      <c r="VXB10" s="1115"/>
      <c r="VXC10" s="1115"/>
      <c r="VXD10" s="1115"/>
      <c r="VXE10" s="1115"/>
      <c r="VXF10" s="1115"/>
      <c r="VXG10" s="1115"/>
      <c r="VXH10" s="1115"/>
      <c r="VXI10" s="1115"/>
      <c r="VXJ10" s="1115"/>
      <c r="VXK10" s="1115"/>
      <c r="VXL10" s="1115"/>
      <c r="VXM10" s="1115"/>
      <c r="VXN10" s="1115"/>
      <c r="VXO10" s="1115"/>
      <c r="VXP10" s="1115"/>
      <c r="VXQ10" s="1115"/>
      <c r="VXR10" s="1115"/>
      <c r="VXS10" s="1115"/>
      <c r="VXT10" s="1115"/>
      <c r="VXU10" s="1115"/>
      <c r="VXV10" s="1115"/>
      <c r="VXW10" s="1115"/>
      <c r="VXX10" s="1115"/>
      <c r="VXY10" s="1115"/>
      <c r="VXZ10" s="1115"/>
      <c r="VYA10" s="1115"/>
      <c r="VYB10" s="1115"/>
      <c r="VYC10" s="1115"/>
      <c r="VYD10" s="1115"/>
      <c r="VYE10" s="1115"/>
      <c r="VYF10" s="1115"/>
      <c r="VYG10" s="1115"/>
      <c r="VYH10" s="1115"/>
      <c r="VYI10" s="1115"/>
      <c r="VYJ10" s="1115"/>
      <c r="VYK10" s="1115"/>
      <c r="VYL10" s="1115"/>
      <c r="VYM10" s="1115"/>
      <c r="VYN10" s="1115"/>
      <c r="VYO10" s="1115"/>
      <c r="VYP10" s="1115"/>
      <c r="VYQ10" s="1115"/>
      <c r="VYR10" s="1115"/>
      <c r="VYS10" s="1115"/>
      <c r="VYT10" s="1115"/>
      <c r="VYU10" s="1115"/>
      <c r="VYV10" s="1115"/>
      <c r="VYW10" s="1115"/>
      <c r="VYX10" s="1115"/>
      <c r="VYY10" s="1115"/>
      <c r="VYZ10" s="1115"/>
      <c r="VZA10" s="1115"/>
      <c r="VZB10" s="1115"/>
      <c r="VZC10" s="1115"/>
      <c r="VZD10" s="1115"/>
      <c r="VZE10" s="1115"/>
      <c r="VZF10" s="1115"/>
      <c r="VZG10" s="1115"/>
      <c r="VZH10" s="1115"/>
      <c r="VZI10" s="1115"/>
      <c r="VZJ10" s="1115"/>
      <c r="VZK10" s="1115"/>
      <c r="VZL10" s="1115"/>
      <c r="VZM10" s="1115"/>
      <c r="VZN10" s="1115"/>
      <c r="VZO10" s="1115"/>
      <c r="VZP10" s="1115"/>
      <c r="VZQ10" s="1115"/>
      <c r="VZR10" s="1115"/>
      <c r="VZS10" s="1115"/>
      <c r="VZT10" s="1115"/>
      <c r="VZU10" s="1115"/>
      <c r="VZV10" s="1115"/>
      <c r="VZW10" s="1115"/>
      <c r="VZX10" s="1115"/>
      <c r="VZY10" s="1115"/>
      <c r="VZZ10" s="1115"/>
      <c r="WAA10" s="1115"/>
      <c r="WAB10" s="1115"/>
      <c r="WAC10" s="1115"/>
      <c r="WAD10" s="1115"/>
      <c r="WAE10" s="1115"/>
      <c r="WAF10" s="1115"/>
      <c r="WAG10" s="1115"/>
      <c r="WAH10" s="1115"/>
      <c r="WAI10" s="1115"/>
      <c r="WAJ10" s="1115"/>
      <c r="WAK10" s="1115"/>
      <c r="WAL10" s="1115"/>
      <c r="WAM10" s="1115"/>
      <c r="WAN10" s="1115"/>
      <c r="WAO10" s="1115"/>
      <c r="WAP10" s="1115"/>
      <c r="WAQ10" s="1115"/>
      <c r="WAR10" s="1115"/>
      <c r="WAS10" s="1115"/>
      <c r="WAT10" s="1115"/>
      <c r="WAU10" s="1115"/>
      <c r="WAV10" s="1115"/>
      <c r="WAW10" s="1115"/>
      <c r="WAX10" s="1115"/>
      <c r="WAY10" s="1115"/>
      <c r="WAZ10" s="1115"/>
      <c r="WBA10" s="1115"/>
      <c r="WBB10" s="1115"/>
      <c r="WBC10" s="1115"/>
      <c r="WBD10" s="1115"/>
      <c r="WBE10" s="1115"/>
      <c r="WBF10" s="1115"/>
      <c r="WBG10" s="1115"/>
      <c r="WBH10" s="1115"/>
      <c r="WBI10" s="1115"/>
      <c r="WBJ10" s="1115"/>
      <c r="WBK10" s="1115"/>
      <c r="WBL10" s="1115"/>
      <c r="WBM10" s="1115"/>
      <c r="WBN10" s="1115"/>
      <c r="WBO10" s="1115"/>
      <c r="WBP10" s="1115"/>
      <c r="WBQ10" s="1115"/>
      <c r="WBR10" s="1115"/>
      <c r="WBS10" s="1115"/>
      <c r="WBT10" s="1115"/>
      <c r="WBU10" s="1115"/>
      <c r="WBV10" s="1115"/>
      <c r="WBW10" s="1115"/>
      <c r="WBX10" s="1115"/>
      <c r="WBY10" s="1115"/>
      <c r="WBZ10" s="1115"/>
      <c r="WCA10" s="1115"/>
      <c r="WCB10" s="1115"/>
      <c r="WCC10" s="1115"/>
      <c r="WCD10" s="1115"/>
      <c r="WCE10" s="1115"/>
      <c r="WCF10" s="1115"/>
      <c r="WCG10" s="1115"/>
      <c r="WCH10" s="1115"/>
      <c r="WCI10" s="1115"/>
      <c r="WCJ10" s="1115"/>
      <c r="WCK10" s="1115"/>
      <c r="WCL10" s="1115"/>
      <c r="WCM10" s="1115"/>
      <c r="WCN10" s="1115"/>
      <c r="WCO10" s="1115"/>
      <c r="WCP10" s="1115"/>
      <c r="WCQ10" s="1115"/>
      <c r="WCR10" s="1115"/>
      <c r="WCS10" s="1115"/>
      <c r="WCT10" s="1115"/>
      <c r="WCU10" s="1115"/>
      <c r="WCV10" s="1115"/>
      <c r="WCW10" s="1115"/>
      <c r="WCX10" s="1115"/>
      <c r="WCY10" s="1115"/>
      <c r="WCZ10" s="1115"/>
      <c r="WDA10" s="1115"/>
      <c r="WDB10" s="1115"/>
      <c r="WDC10" s="1115"/>
      <c r="WDD10" s="1115"/>
      <c r="WDE10" s="1115"/>
      <c r="WDF10" s="1115"/>
      <c r="WDG10" s="1115"/>
      <c r="WDH10" s="1115"/>
      <c r="WDI10" s="1115"/>
      <c r="WDJ10" s="1115"/>
      <c r="WDK10" s="1115"/>
      <c r="WDL10" s="1115"/>
      <c r="WDM10" s="1115"/>
      <c r="WDN10" s="1115"/>
      <c r="WDO10" s="1115"/>
      <c r="WDP10" s="1115"/>
      <c r="WDQ10" s="1115"/>
      <c r="WDR10" s="1115"/>
      <c r="WDS10" s="1115"/>
      <c r="WDT10" s="1115"/>
      <c r="WDU10" s="1115"/>
      <c r="WDV10" s="1115"/>
      <c r="WDW10" s="1115"/>
      <c r="WDX10" s="1115"/>
      <c r="WDY10" s="1115"/>
      <c r="WDZ10" s="1115"/>
      <c r="WEA10" s="1115"/>
      <c r="WEB10" s="1115"/>
      <c r="WEC10" s="1115"/>
      <c r="WED10" s="1115"/>
      <c r="WEE10" s="1115"/>
      <c r="WEF10" s="1115"/>
      <c r="WEG10" s="1115"/>
      <c r="WEH10" s="1115"/>
      <c r="WEI10" s="1115"/>
      <c r="WEJ10" s="1115"/>
      <c r="WEK10" s="1115"/>
      <c r="WEL10" s="1115"/>
      <c r="WEM10" s="1115"/>
      <c r="WEN10" s="1115"/>
      <c r="WEO10" s="1115"/>
      <c r="WEP10" s="1115"/>
      <c r="WEQ10" s="1115"/>
      <c r="WER10" s="1115"/>
      <c r="WES10" s="1115"/>
      <c r="WET10" s="1115"/>
      <c r="WEU10" s="1115"/>
      <c r="WEV10" s="1115"/>
      <c r="WEW10" s="1115"/>
      <c r="WEX10" s="1115"/>
      <c r="WEY10" s="1115"/>
      <c r="WEZ10" s="1115"/>
      <c r="WFA10" s="1115"/>
      <c r="WFB10" s="1115"/>
      <c r="WFC10" s="1115"/>
      <c r="WFD10" s="1115"/>
      <c r="WFE10" s="1115"/>
      <c r="WFF10" s="1115"/>
      <c r="WFG10" s="1115"/>
      <c r="WFH10" s="1115"/>
      <c r="WFI10" s="1115"/>
      <c r="WFJ10" s="1115"/>
      <c r="WFK10" s="1115"/>
      <c r="WFL10" s="1115"/>
      <c r="WFM10" s="1115"/>
      <c r="WFN10" s="1115"/>
      <c r="WFO10" s="1115"/>
      <c r="WFP10" s="1115"/>
      <c r="WFQ10" s="1115"/>
      <c r="WFR10" s="1115"/>
      <c r="WFS10" s="1115"/>
      <c r="WFT10" s="1115"/>
      <c r="WFU10" s="1115"/>
      <c r="WFV10" s="1115"/>
      <c r="WFW10" s="1115"/>
      <c r="WFX10" s="1115"/>
      <c r="WFY10" s="1115"/>
      <c r="WFZ10" s="1115"/>
      <c r="WGA10" s="1115"/>
      <c r="WGB10" s="1115"/>
      <c r="WGC10" s="1115"/>
      <c r="WGD10" s="1115"/>
      <c r="WGE10" s="1115"/>
      <c r="WGF10" s="1115"/>
      <c r="WGG10" s="1115"/>
      <c r="WGH10" s="1115"/>
      <c r="WGI10" s="1115"/>
      <c r="WGJ10" s="1115"/>
      <c r="WGK10" s="1115"/>
      <c r="WGL10" s="1115"/>
      <c r="WGM10" s="1115"/>
      <c r="WGN10" s="1115"/>
      <c r="WGO10" s="1115"/>
      <c r="WGP10" s="1115"/>
      <c r="WGQ10" s="1115"/>
      <c r="WGR10" s="1115"/>
      <c r="WGS10" s="1115"/>
      <c r="WGT10" s="1115"/>
      <c r="WGU10" s="1115"/>
      <c r="WGV10" s="1115"/>
      <c r="WGW10" s="1115"/>
      <c r="WGX10" s="1115"/>
      <c r="WGY10" s="1115"/>
      <c r="WGZ10" s="1115"/>
      <c r="WHA10" s="1115"/>
      <c r="WHB10" s="1115"/>
      <c r="WHC10" s="1115"/>
      <c r="WHD10" s="1115"/>
      <c r="WHE10" s="1115"/>
      <c r="WHF10" s="1115"/>
      <c r="WHG10" s="1115"/>
      <c r="WHH10" s="1115"/>
      <c r="WHI10" s="1115"/>
      <c r="WHJ10" s="1115"/>
      <c r="WHK10" s="1115"/>
      <c r="WHL10" s="1115"/>
      <c r="WHM10" s="1115"/>
      <c r="WHN10" s="1115"/>
      <c r="WHO10" s="1115"/>
      <c r="WHP10" s="1115"/>
      <c r="WHQ10" s="1115"/>
      <c r="WHR10" s="1115"/>
      <c r="WHS10" s="1115"/>
      <c r="WHT10" s="1115"/>
      <c r="WHU10" s="1115"/>
      <c r="WHV10" s="1115"/>
      <c r="WHW10" s="1115"/>
      <c r="WHX10" s="1115"/>
      <c r="WHY10" s="1115"/>
      <c r="WHZ10" s="1115"/>
      <c r="WIA10" s="1115"/>
      <c r="WIB10" s="1115"/>
      <c r="WIC10" s="1115"/>
      <c r="WID10" s="1115"/>
      <c r="WIE10" s="1115"/>
      <c r="WIF10" s="1115"/>
      <c r="WIG10" s="1115"/>
      <c r="WIH10" s="1115"/>
      <c r="WII10" s="1115"/>
      <c r="WIJ10" s="1115"/>
      <c r="WIK10" s="1115"/>
      <c r="WIL10" s="1115"/>
      <c r="WIM10" s="1115"/>
      <c r="WIN10" s="1115"/>
      <c r="WIO10" s="1115"/>
      <c r="WIP10" s="1115"/>
      <c r="WIQ10" s="1115"/>
      <c r="WIR10" s="1115"/>
      <c r="WIS10" s="1115"/>
      <c r="WIT10" s="1115"/>
      <c r="WIU10" s="1115"/>
      <c r="WIV10" s="1115"/>
      <c r="WIW10" s="1115"/>
      <c r="WIX10" s="1115"/>
      <c r="WIY10" s="1115"/>
      <c r="WIZ10" s="1115"/>
      <c r="WJA10" s="1115"/>
      <c r="WJB10" s="1115"/>
      <c r="WJC10" s="1115"/>
      <c r="WJD10" s="1115"/>
      <c r="WJE10" s="1115"/>
      <c r="WJF10" s="1115"/>
      <c r="WJG10" s="1115"/>
      <c r="WJH10" s="1115"/>
      <c r="WJI10" s="1115"/>
      <c r="WJJ10" s="1115"/>
      <c r="WJK10" s="1115"/>
      <c r="WJL10" s="1115"/>
      <c r="WJM10" s="1115"/>
      <c r="WJN10" s="1115"/>
      <c r="WJO10" s="1115"/>
      <c r="WJP10" s="1115"/>
      <c r="WJQ10" s="1115"/>
      <c r="WJR10" s="1115"/>
      <c r="WJS10" s="1115"/>
      <c r="WJT10" s="1115"/>
      <c r="WJU10" s="1115"/>
      <c r="WJV10" s="1115"/>
      <c r="WJW10" s="1115"/>
      <c r="WJX10" s="1115"/>
      <c r="WJY10" s="1115"/>
      <c r="WJZ10" s="1115"/>
      <c r="WKA10" s="1115"/>
      <c r="WKB10" s="1115"/>
      <c r="WKC10" s="1115"/>
      <c r="WKD10" s="1115"/>
      <c r="WKE10" s="1115"/>
      <c r="WKF10" s="1115"/>
      <c r="WKG10" s="1115"/>
      <c r="WKH10" s="1115"/>
      <c r="WKI10" s="1115"/>
      <c r="WKJ10" s="1115"/>
      <c r="WKK10" s="1115"/>
      <c r="WKL10" s="1115"/>
      <c r="WKM10" s="1115"/>
      <c r="WKN10" s="1115"/>
      <c r="WKO10" s="1115"/>
      <c r="WKP10" s="1115"/>
      <c r="WKQ10" s="1115"/>
      <c r="WKR10" s="1115"/>
      <c r="WKS10" s="1115"/>
      <c r="WKT10" s="1115"/>
      <c r="WKU10" s="1115"/>
      <c r="WKV10" s="1115"/>
      <c r="WKW10" s="1115"/>
      <c r="WKX10" s="1115"/>
      <c r="WKY10" s="1115"/>
      <c r="WKZ10" s="1115"/>
      <c r="WLA10" s="1115"/>
      <c r="WLB10" s="1115"/>
      <c r="WLC10" s="1115"/>
      <c r="WLD10" s="1115"/>
      <c r="WLE10" s="1115"/>
      <c r="WLF10" s="1115"/>
      <c r="WLG10" s="1115"/>
      <c r="WLH10" s="1115"/>
      <c r="WLI10" s="1115"/>
      <c r="WLJ10" s="1115"/>
      <c r="WLK10" s="1115"/>
      <c r="WLL10" s="1115"/>
      <c r="WLM10" s="1115"/>
      <c r="WLN10" s="1115"/>
      <c r="WLO10" s="1115"/>
      <c r="WLP10" s="1115"/>
      <c r="WLQ10" s="1115"/>
      <c r="WLR10" s="1115"/>
      <c r="WLS10" s="1115"/>
      <c r="WLT10" s="1115"/>
      <c r="WLU10" s="1115"/>
      <c r="WLV10" s="1115"/>
      <c r="WLW10" s="1115"/>
      <c r="WLX10" s="1115"/>
      <c r="WLY10" s="1115"/>
      <c r="WLZ10" s="1115"/>
      <c r="WMA10" s="1115"/>
      <c r="WMB10" s="1115"/>
      <c r="WMC10" s="1115"/>
      <c r="WMD10" s="1115"/>
      <c r="WME10" s="1115"/>
      <c r="WMF10" s="1115"/>
      <c r="WMG10" s="1115"/>
      <c r="WMH10" s="1115"/>
      <c r="WMI10" s="1115"/>
      <c r="WMJ10" s="1115"/>
      <c r="WMK10" s="1115"/>
      <c r="WML10" s="1115"/>
      <c r="WMM10" s="1115"/>
      <c r="WMN10" s="1115"/>
      <c r="WMO10" s="1115"/>
      <c r="WMP10" s="1115"/>
      <c r="WMQ10" s="1115"/>
      <c r="WMR10" s="1115"/>
      <c r="WMS10" s="1115"/>
      <c r="WMT10" s="1115"/>
      <c r="WMU10" s="1115"/>
      <c r="WMV10" s="1115"/>
      <c r="WMW10" s="1115"/>
      <c r="WMX10" s="1115"/>
      <c r="WMY10" s="1115"/>
      <c r="WMZ10" s="1115"/>
      <c r="WNA10" s="1115"/>
      <c r="WNB10" s="1115"/>
      <c r="WNC10" s="1115"/>
      <c r="WND10" s="1115"/>
      <c r="WNE10" s="1115"/>
      <c r="WNF10" s="1115"/>
      <c r="WNG10" s="1115"/>
      <c r="WNH10" s="1115"/>
      <c r="WNI10" s="1115"/>
      <c r="WNJ10" s="1115"/>
      <c r="WNK10" s="1115"/>
      <c r="WNL10" s="1115"/>
      <c r="WNM10" s="1115"/>
      <c r="WNN10" s="1115"/>
      <c r="WNO10" s="1115"/>
      <c r="WNP10" s="1115"/>
      <c r="WNQ10" s="1115"/>
      <c r="WNR10" s="1115"/>
      <c r="WNS10" s="1115"/>
      <c r="WNT10" s="1115"/>
      <c r="WNU10" s="1115"/>
      <c r="WNV10" s="1115"/>
      <c r="WNW10" s="1115"/>
      <c r="WNX10" s="1115"/>
      <c r="WNY10" s="1115"/>
      <c r="WNZ10" s="1115"/>
      <c r="WOA10" s="1115"/>
      <c r="WOB10" s="1115"/>
      <c r="WOC10" s="1115"/>
      <c r="WOD10" s="1115"/>
      <c r="WOE10" s="1115"/>
      <c r="WOF10" s="1115"/>
      <c r="WOG10" s="1115"/>
      <c r="WOH10" s="1115"/>
      <c r="WOI10" s="1115"/>
      <c r="WOJ10" s="1115"/>
      <c r="WOK10" s="1115"/>
      <c r="WOL10" s="1115"/>
      <c r="WOM10" s="1115"/>
      <c r="WON10" s="1115"/>
      <c r="WOO10" s="1115"/>
      <c r="WOP10" s="1115"/>
      <c r="WOQ10" s="1115"/>
      <c r="WOR10" s="1115"/>
      <c r="WOS10" s="1115"/>
      <c r="WOT10" s="1115"/>
      <c r="WOU10" s="1115"/>
      <c r="WOV10" s="1115"/>
      <c r="WOW10" s="1115"/>
      <c r="WOX10" s="1115"/>
      <c r="WOY10" s="1115"/>
      <c r="WOZ10" s="1115"/>
      <c r="WPA10" s="1115"/>
      <c r="WPB10" s="1115"/>
      <c r="WPC10" s="1115"/>
      <c r="WPD10" s="1115"/>
      <c r="WPE10" s="1115"/>
      <c r="WPF10" s="1115"/>
      <c r="WPG10" s="1115"/>
      <c r="WPH10" s="1115"/>
      <c r="WPI10" s="1115"/>
      <c r="WPJ10" s="1115"/>
      <c r="WPK10" s="1115"/>
      <c r="WPL10" s="1115"/>
      <c r="WPM10" s="1115"/>
      <c r="WPN10" s="1115"/>
      <c r="WPO10" s="1115"/>
      <c r="WPP10" s="1115"/>
      <c r="WPQ10" s="1115"/>
      <c r="WPR10" s="1115"/>
      <c r="WPS10" s="1115"/>
      <c r="WPT10" s="1115"/>
      <c r="WPU10" s="1115"/>
      <c r="WPV10" s="1115"/>
      <c r="WPW10" s="1115"/>
      <c r="WPX10" s="1115"/>
      <c r="WPY10" s="1115"/>
      <c r="WPZ10" s="1115"/>
      <c r="WQA10" s="1115"/>
      <c r="WQB10" s="1115"/>
      <c r="WQC10" s="1115"/>
      <c r="WQD10" s="1115"/>
      <c r="WQE10" s="1115"/>
      <c r="WQF10" s="1115"/>
      <c r="WQG10" s="1115"/>
      <c r="WQH10" s="1115"/>
      <c r="WQI10" s="1115"/>
      <c r="WQJ10" s="1115"/>
      <c r="WQK10" s="1115"/>
      <c r="WQL10" s="1115"/>
      <c r="WQM10" s="1115"/>
      <c r="WQN10" s="1115"/>
      <c r="WQO10" s="1115"/>
      <c r="WQP10" s="1115"/>
      <c r="WQQ10" s="1115"/>
      <c r="WQR10" s="1115"/>
      <c r="WQS10" s="1115"/>
      <c r="WQT10" s="1115"/>
      <c r="WQU10" s="1115"/>
      <c r="WQV10" s="1115"/>
      <c r="WQW10" s="1115"/>
      <c r="WQX10" s="1115"/>
      <c r="WQY10" s="1115"/>
      <c r="WQZ10" s="1115"/>
      <c r="WRA10" s="1115"/>
      <c r="WRB10" s="1115"/>
      <c r="WRC10" s="1115"/>
      <c r="WRD10" s="1115"/>
      <c r="WRE10" s="1115"/>
      <c r="WRF10" s="1115"/>
      <c r="WRG10" s="1115"/>
      <c r="WRH10" s="1115"/>
      <c r="WRI10" s="1115"/>
      <c r="WRJ10" s="1115"/>
      <c r="WRK10" s="1115"/>
      <c r="WRL10" s="1115"/>
      <c r="WRM10" s="1115"/>
      <c r="WRN10" s="1115"/>
      <c r="WRO10" s="1115"/>
      <c r="WRP10" s="1115"/>
      <c r="WRQ10" s="1115"/>
      <c r="WRR10" s="1115"/>
      <c r="WRS10" s="1115"/>
      <c r="WRT10" s="1115"/>
      <c r="WRU10" s="1115"/>
      <c r="WRV10" s="1115"/>
      <c r="WRW10" s="1115"/>
      <c r="WRX10" s="1115"/>
      <c r="WRY10" s="1115"/>
      <c r="WRZ10" s="1115"/>
      <c r="WSA10" s="1115"/>
      <c r="WSB10" s="1115"/>
      <c r="WSC10" s="1115"/>
      <c r="WSD10" s="1115"/>
      <c r="WSE10" s="1115"/>
      <c r="WSF10" s="1115"/>
      <c r="WSG10" s="1115"/>
      <c r="WSH10" s="1115"/>
      <c r="WSI10" s="1115"/>
      <c r="WSJ10" s="1115"/>
      <c r="WSK10" s="1115"/>
      <c r="WSL10" s="1115"/>
      <c r="WSM10" s="1115"/>
      <c r="WSN10" s="1115"/>
      <c r="WSO10" s="1115"/>
      <c r="WSP10" s="1115"/>
      <c r="WSQ10" s="1115"/>
      <c r="WSR10" s="1115"/>
      <c r="WSS10" s="1115"/>
      <c r="WST10" s="1115"/>
      <c r="WSU10" s="1115"/>
      <c r="WSV10" s="1115"/>
      <c r="WSW10" s="1115"/>
      <c r="WSX10" s="1115"/>
      <c r="WSY10" s="1115"/>
      <c r="WSZ10" s="1115"/>
      <c r="WTA10" s="1115"/>
      <c r="WTB10" s="1115"/>
      <c r="WTC10" s="1115"/>
      <c r="WTD10" s="1115"/>
      <c r="WTE10" s="1115"/>
      <c r="WTF10" s="1115"/>
      <c r="WTG10" s="1115"/>
      <c r="WTH10" s="1115"/>
      <c r="WTI10" s="1115"/>
      <c r="WTJ10" s="1115"/>
      <c r="WTK10" s="1115"/>
      <c r="WTL10" s="1115"/>
      <c r="WTM10" s="1115"/>
      <c r="WTN10" s="1115"/>
      <c r="WTO10" s="1115"/>
      <c r="WTP10" s="1115"/>
      <c r="WTQ10" s="1115"/>
      <c r="WTR10" s="1115"/>
      <c r="WTS10" s="1115"/>
      <c r="WTT10" s="1115"/>
      <c r="WTU10" s="1115"/>
      <c r="WTV10" s="1115"/>
      <c r="WTW10" s="1115"/>
      <c r="WTX10" s="1115"/>
      <c r="WTY10" s="1115"/>
      <c r="WTZ10" s="1115"/>
      <c r="WUA10" s="1115"/>
      <c r="WUB10" s="1115"/>
      <c r="WUC10" s="1115"/>
      <c r="WUD10" s="1115"/>
      <c r="WUE10" s="1115"/>
      <c r="WUF10" s="1115"/>
      <c r="WUG10" s="1115"/>
      <c r="WUH10" s="1115"/>
      <c r="WUI10" s="1115"/>
      <c r="WUJ10" s="1115"/>
      <c r="WUK10" s="1115"/>
      <c r="WUL10" s="1115"/>
      <c r="WUM10" s="1115"/>
      <c r="WUN10" s="1115"/>
      <c r="WUO10" s="1115"/>
      <c r="WUP10" s="1115"/>
      <c r="WUQ10" s="1115"/>
      <c r="WUR10" s="1115"/>
      <c r="WUS10" s="1115"/>
      <c r="WUT10" s="1115"/>
      <c r="WUU10" s="1115"/>
      <c r="WUV10" s="1115"/>
      <c r="WUW10" s="1115"/>
      <c r="WUX10" s="1115"/>
      <c r="WUY10" s="1115"/>
      <c r="WUZ10" s="1115"/>
      <c r="WVA10" s="1115"/>
      <c r="WVB10" s="1115"/>
      <c r="WVC10" s="1115"/>
      <c r="WVD10" s="1115"/>
      <c r="WVE10" s="1115"/>
      <c r="WVF10" s="1115"/>
      <c r="WVG10" s="1115"/>
      <c r="WVH10" s="1115"/>
      <c r="WVI10" s="1115"/>
      <c r="WVJ10" s="1115"/>
      <c r="WVK10" s="1115"/>
      <c r="WVL10" s="1115"/>
      <c r="WVM10" s="1115"/>
      <c r="WVN10" s="1115"/>
      <c r="WVO10" s="1115"/>
      <c r="WVP10" s="1115"/>
      <c r="WVQ10" s="1115"/>
      <c r="WVR10" s="1115"/>
      <c r="WVS10" s="1115"/>
      <c r="WVT10" s="1115"/>
      <c r="WVU10" s="1115"/>
      <c r="WVV10" s="1115"/>
      <c r="WVW10" s="1115"/>
      <c r="WVX10" s="1115"/>
      <c r="WVY10" s="1115"/>
      <c r="WVZ10" s="1115"/>
      <c r="WWA10" s="1115"/>
      <c r="WWB10" s="1115"/>
      <c r="WWC10" s="1115"/>
      <c r="WWD10" s="1115"/>
      <c r="WWE10" s="1115"/>
      <c r="WWF10" s="1115"/>
      <c r="WWG10" s="1115"/>
      <c r="WWH10" s="1115"/>
      <c r="WWI10" s="1115"/>
      <c r="WWJ10" s="1115"/>
      <c r="WWK10" s="1115"/>
      <c r="WWL10" s="1115"/>
      <c r="WWM10" s="1115"/>
      <c r="WWN10" s="1115"/>
      <c r="WWO10" s="1115"/>
      <c r="WWP10" s="1115"/>
      <c r="WWQ10" s="1115"/>
      <c r="WWR10" s="1115"/>
      <c r="WWS10" s="1115"/>
      <c r="WWT10" s="1115"/>
      <c r="WWU10" s="1115"/>
      <c r="WWV10" s="1115"/>
      <c r="WWW10" s="1115"/>
      <c r="WWX10" s="1115"/>
      <c r="WWY10" s="1115"/>
      <c r="WWZ10" s="1115"/>
      <c r="WXA10" s="1115"/>
      <c r="WXB10" s="1115"/>
      <c r="WXC10" s="1115"/>
      <c r="WXD10" s="1115"/>
      <c r="WXE10" s="1115"/>
      <c r="WXF10" s="1115"/>
      <c r="WXG10" s="1115"/>
      <c r="WXH10" s="1115"/>
      <c r="WXI10" s="1115"/>
      <c r="WXJ10" s="1115"/>
      <c r="WXK10" s="1115"/>
      <c r="WXL10" s="1115"/>
      <c r="WXM10" s="1115"/>
      <c r="WXN10" s="1115"/>
      <c r="WXO10" s="1115"/>
      <c r="WXP10" s="1115"/>
      <c r="WXQ10" s="1115"/>
      <c r="WXR10" s="1115"/>
      <c r="WXS10" s="1115"/>
      <c r="WXT10" s="1115"/>
      <c r="WXU10" s="1115"/>
      <c r="WXV10" s="1115"/>
      <c r="WXW10" s="1115"/>
      <c r="WXX10" s="1115"/>
      <c r="WXY10" s="1115"/>
      <c r="WXZ10" s="1115"/>
      <c r="WYA10" s="1115"/>
      <c r="WYB10" s="1115"/>
      <c r="WYC10" s="1115"/>
      <c r="WYD10" s="1115"/>
      <c r="WYE10" s="1115"/>
      <c r="WYF10" s="1115"/>
      <c r="WYG10" s="1115"/>
      <c r="WYH10" s="1115"/>
      <c r="WYI10" s="1115"/>
      <c r="WYJ10" s="1115"/>
      <c r="WYK10" s="1115"/>
      <c r="WYL10" s="1115"/>
      <c r="WYM10" s="1115"/>
      <c r="WYN10" s="1115"/>
      <c r="WYO10" s="1115"/>
      <c r="WYP10" s="1115"/>
      <c r="WYQ10" s="1115"/>
      <c r="WYR10" s="1115"/>
      <c r="WYS10" s="1115"/>
      <c r="WYT10" s="1115"/>
      <c r="WYU10" s="1115"/>
      <c r="WYV10" s="1115"/>
      <c r="WYW10" s="1115"/>
      <c r="WYX10" s="1115"/>
      <c r="WYY10" s="1115"/>
      <c r="WYZ10" s="1115"/>
      <c r="WZA10" s="1115"/>
      <c r="WZB10" s="1115"/>
      <c r="WZC10" s="1115"/>
      <c r="WZD10" s="1115"/>
      <c r="WZE10" s="1115"/>
      <c r="WZF10" s="1115"/>
      <c r="WZG10" s="1115"/>
      <c r="WZH10" s="1115"/>
      <c r="WZI10" s="1115"/>
      <c r="WZJ10" s="1115"/>
      <c r="WZK10" s="1115"/>
      <c r="WZL10" s="1115"/>
      <c r="WZM10" s="1115"/>
      <c r="WZN10" s="1115"/>
      <c r="WZO10" s="1115"/>
      <c r="WZP10" s="1115"/>
      <c r="WZQ10" s="1115"/>
      <c r="WZR10" s="1115"/>
      <c r="WZS10" s="1115"/>
      <c r="WZT10" s="1115"/>
      <c r="WZU10" s="1115"/>
      <c r="WZV10" s="1115"/>
      <c r="WZW10" s="1115"/>
      <c r="WZX10" s="1115"/>
      <c r="WZY10" s="1115"/>
      <c r="WZZ10" s="1115"/>
      <c r="XAA10" s="1115"/>
      <c r="XAB10" s="1115"/>
      <c r="XAC10" s="1115"/>
      <c r="XAD10" s="1115"/>
      <c r="XAE10" s="1115"/>
      <c r="XAF10" s="1115"/>
      <c r="XAG10" s="1115"/>
      <c r="XAH10" s="1115"/>
      <c r="XAI10" s="1115"/>
      <c r="XAJ10" s="1115"/>
      <c r="XAK10" s="1115"/>
      <c r="XAL10" s="1115"/>
      <c r="XAM10" s="1115"/>
      <c r="XAN10" s="1115"/>
      <c r="XAO10" s="1115"/>
      <c r="XAP10" s="1115"/>
      <c r="XAQ10" s="1115"/>
      <c r="XAR10" s="1115"/>
      <c r="XAS10" s="1115"/>
      <c r="XAT10" s="1115"/>
      <c r="XAU10" s="1115"/>
      <c r="XAV10" s="1115"/>
      <c r="XAW10" s="1115"/>
      <c r="XAX10" s="1115"/>
      <c r="XAY10" s="1115"/>
      <c r="XAZ10" s="1115"/>
      <c r="XBA10" s="1115"/>
      <c r="XBB10" s="1115"/>
      <c r="XBC10" s="1115"/>
      <c r="XBD10" s="1115"/>
      <c r="XBE10" s="1115"/>
      <c r="XBF10" s="1115"/>
      <c r="XBG10" s="1115"/>
      <c r="XBH10" s="1115"/>
      <c r="XBI10" s="1115"/>
      <c r="XBJ10" s="1115"/>
      <c r="XBK10" s="1115"/>
      <c r="XBL10" s="1115"/>
      <c r="XBM10" s="1115"/>
      <c r="XBN10" s="1115"/>
      <c r="XBO10" s="1115"/>
      <c r="XBP10" s="1115"/>
      <c r="XBQ10" s="1115"/>
      <c r="XBR10" s="1115"/>
      <c r="XBS10" s="1115"/>
      <c r="XBT10" s="1115"/>
      <c r="XBU10" s="1115"/>
      <c r="XBV10" s="1115"/>
      <c r="XBW10" s="1115"/>
      <c r="XBX10" s="1115"/>
      <c r="XBY10" s="1115"/>
      <c r="XBZ10" s="1115"/>
      <c r="XCA10" s="1115"/>
      <c r="XCB10" s="1115"/>
      <c r="XCC10" s="1115"/>
      <c r="XCD10" s="1115"/>
      <c r="XCE10" s="1115"/>
      <c r="XCF10" s="1115"/>
      <c r="XCG10" s="1115"/>
      <c r="XCH10" s="1115"/>
      <c r="XCI10" s="1115"/>
      <c r="XCJ10" s="1115"/>
      <c r="XCK10" s="1115"/>
      <c r="XCL10" s="1115"/>
      <c r="XCM10" s="1115"/>
      <c r="XCN10" s="1115"/>
      <c r="XCO10" s="1115"/>
      <c r="XCP10" s="1115"/>
      <c r="XCQ10" s="1115"/>
      <c r="XCR10" s="1115"/>
      <c r="XCS10" s="1115"/>
      <c r="XCT10" s="1115"/>
      <c r="XCU10" s="1115"/>
      <c r="XCV10" s="1115"/>
      <c r="XCW10" s="1115"/>
      <c r="XCX10" s="1115"/>
      <c r="XCY10" s="1115"/>
      <c r="XCZ10" s="1115"/>
      <c r="XDA10" s="1115"/>
      <c r="XDB10" s="1115"/>
      <c r="XDC10" s="1115"/>
      <c r="XDD10" s="1115"/>
      <c r="XDE10" s="1115"/>
      <c r="XDF10" s="1115"/>
      <c r="XDG10" s="1115"/>
      <c r="XDH10" s="1115"/>
      <c r="XDI10" s="1115"/>
      <c r="XDJ10" s="1115"/>
      <c r="XDK10" s="1115"/>
      <c r="XDL10" s="1115"/>
      <c r="XDM10" s="1115"/>
      <c r="XDN10" s="1115"/>
      <c r="XDO10" s="1115"/>
      <c r="XDP10" s="1115"/>
      <c r="XDQ10" s="1115"/>
      <c r="XDR10" s="1115"/>
      <c r="XDS10" s="1115"/>
      <c r="XDT10" s="1115"/>
      <c r="XDU10" s="1115"/>
      <c r="XDV10" s="1115"/>
      <c r="XDW10" s="1115"/>
      <c r="XDX10" s="1115"/>
      <c r="XDY10" s="1115"/>
      <c r="XDZ10" s="1115"/>
      <c r="XEA10" s="1115"/>
      <c r="XEB10" s="1115"/>
      <c r="XEC10" s="1115"/>
      <c r="XED10" s="1115"/>
      <c r="XEE10" s="1115"/>
      <c r="XEF10" s="1115"/>
      <c r="XEG10" s="1115"/>
      <c r="XEH10" s="1115"/>
      <c r="XEI10" s="1115"/>
      <c r="XEJ10" s="1115"/>
      <c r="XEK10" s="1115"/>
      <c r="XEL10" s="1115"/>
      <c r="XEM10" s="1115"/>
      <c r="XEN10" s="1115"/>
      <c r="XEO10" s="1115"/>
      <c r="XEP10" s="1115"/>
      <c r="XEQ10" s="1115"/>
      <c r="XER10" s="1115"/>
      <c r="XES10" s="1115"/>
      <c r="XET10" s="1115"/>
      <c r="XEU10" s="1115"/>
      <c r="XEV10" s="1115"/>
      <c r="XEW10" s="1115"/>
      <c r="XEX10" s="1115"/>
      <c r="XEY10" s="1115"/>
      <c r="XEZ10" s="1115"/>
      <c r="XFA10" s="1115"/>
      <c r="XFB10" s="1115"/>
      <c r="XFC10" s="1115"/>
      <c r="XFD10" s="1115"/>
    </row>
    <row r="11" spans="1:19">
      <c r="A11" s="1116" t="s">
        <v>1693</v>
      </c>
      <c r="B11" s="1116" t="s">
        <v>1672</v>
      </c>
      <c r="C11" s="1116" t="s">
        <v>1713</v>
      </c>
      <c r="D11" s="1116">
        <v>255005.7</v>
      </c>
      <c r="E11" s="1116">
        <v>459010.26</v>
      </c>
      <c r="F11" s="1116" t="s">
        <v>1674</v>
      </c>
      <c r="G11" s="1116" t="s">
        <v>1674</v>
      </c>
      <c r="H11" s="1116" t="s">
        <v>1675</v>
      </c>
      <c r="I11" s="1116" t="s">
        <v>1714</v>
      </c>
      <c r="J11" s="1116" t="s">
        <v>1677</v>
      </c>
      <c r="K11" s="1119">
        <v>45471.0004976852</v>
      </c>
      <c r="L11" s="1119">
        <v>45471.0004976852</v>
      </c>
      <c r="M11" s="1116" t="s">
        <v>1678</v>
      </c>
      <c r="N11" s="1116" t="s">
        <v>1715</v>
      </c>
      <c r="O11" s="1116">
        <v>19130</v>
      </c>
      <c r="P11" s="1116">
        <v>19130</v>
      </c>
      <c r="Q11" s="1116">
        <v>50.01</v>
      </c>
      <c r="R11" s="1116">
        <v>417</v>
      </c>
      <c r="S11" s="1116">
        <v>0</v>
      </c>
    </row>
    <row r="12" spans="1:19">
      <c r="A12" s="1116" t="s">
        <v>1697</v>
      </c>
      <c r="B12" s="1116" t="s">
        <v>1672</v>
      </c>
      <c r="C12" s="1116" t="s">
        <v>1716</v>
      </c>
      <c r="D12" s="1116">
        <v>41005.4</v>
      </c>
      <c r="E12" s="1116">
        <v>82010.8</v>
      </c>
      <c r="F12" s="1116" t="s">
        <v>1674</v>
      </c>
      <c r="G12" s="1116" t="s">
        <v>1674</v>
      </c>
      <c r="H12" s="1116" t="s">
        <v>1711</v>
      </c>
      <c r="I12" s="1116" t="s">
        <v>1686</v>
      </c>
      <c r="J12" s="1116" t="s">
        <v>1677</v>
      </c>
      <c r="K12" s="1119">
        <v>45471.0004976852</v>
      </c>
      <c r="L12" s="1119">
        <v>45471.0004976852</v>
      </c>
      <c r="M12" s="1116" t="s">
        <v>1678</v>
      </c>
      <c r="N12" s="1116" t="s">
        <v>1717</v>
      </c>
      <c r="O12" s="1116">
        <v>840</v>
      </c>
      <c r="P12" s="1116">
        <v>840</v>
      </c>
      <c r="Q12" s="1116">
        <v>13.66</v>
      </c>
      <c r="R12" s="1116">
        <v>102</v>
      </c>
      <c r="S12" s="1116">
        <v>0</v>
      </c>
    </row>
    <row r="13" spans="1:19">
      <c r="A13" s="1116" t="s">
        <v>1697</v>
      </c>
      <c r="B13" s="1116" t="s">
        <v>1672</v>
      </c>
      <c r="C13" s="1116" t="s">
        <v>1718</v>
      </c>
      <c r="D13" s="1116">
        <v>10768</v>
      </c>
      <c r="E13" s="1116">
        <v>21536</v>
      </c>
      <c r="F13" s="1116" t="s">
        <v>1674</v>
      </c>
      <c r="G13" s="1116" t="s">
        <v>1674</v>
      </c>
      <c r="H13" s="1116" t="s">
        <v>1675</v>
      </c>
      <c r="I13" s="1116" t="s">
        <v>1699</v>
      </c>
      <c r="J13" s="1116" t="s">
        <v>1677</v>
      </c>
      <c r="K13" s="1119">
        <v>45471.0004976852</v>
      </c>
      <c r="L13" s="1119">
        <v>45471.0004976852</v>
      </c>
      <c r="M13" s="1116" t="s">
        <v>1678</v>
      </c>
      <c r="N13" s="1116" t="s">
        <v>1719</v>
      </c>
      <c r="O13" s="1116">
        <v>550</v>
      </c>
      <c r="P13" s="1116">
        <v>550</v>
      </c>
      <c r="Q13" s="1116">
        <v>34.05</v>
      </c>
      <c r="R13" s="1116">
        <v>255</v>
      </c>
      <c r="S13" s="1116">
        <v>0</v>
      </c>
    </row>
    <row r="14" spans="1:19">
      <c r="A14" s="1116" t="s">
        <v>1697</v>
      </c>
      <c r="B14" s="1116" t="s">
        <v>1672</v>
      </c>
      <c r="C14" s="1116" t="s">
        <v>1720</v>
      </c>
      <c r="D14" s="1116">
        <v>3085.6</v>
      </c>
      <c r="E14" s="1116">
        <v>6171.2</v>
      </c>
      <c r="F14" s="1116" t="s">
        <v>1674</v>
      </c>
      <c r="G14" s="1116" t="s">
        <v>1674</v>
      </c>
      <c r="H14" s="1116" t="s">
        <v>1721</v>
      </c>
      <c r="I14" s="1116" t="s">
        <v>1699</v>
      </c>
      <c r="J14" s="1116" t="s">
        <v>1677</v>
      </c>
      <c r="K14" s="1119">
        <v>45471.0004976852</v>
      </c>
      <c r="L14" s="1119">
        <v>45471.0004976852</v>
      </c>
      <c r="M14" s="1116" t="s">
        <v>1678</v>
      </c>
      <c r="N14" s="1116" t="s">
        <v>1722</v>
      </c>
      <c r="O14" s="1116">
        <v>130</v>
      </c>
      <c r="P14" s="1116">
        <v>130</v>
      </c>
      <c r="Q14" s="1116">
        <v>28.09</v>
      </c>
      <c r="R14" s="1116">
        <v>211</v>
      </c>
      <c r="S14" s="1116">
        <v>0</v>
      </c>
    </row>
    <row r="15" s="1113" customFormat="1" spans="1:16384">
      <c r="A15" s="1115" t="s">
        <v>1709</v>
      </c>
      <c r="B15" s="1115" t="s">
        <v>1672</v>
      </c>
      <c r="C15" s="1115" t="s">
        <v>1723</v>
      </c>
      <c r="D15" s="1115">
        <v>23000.1</v>
      </c>
      <c r="E15" s="1115">
        <v>46000.2</v>
      </c>
      <c r="F15" s="1115" t="s">
        <v>1674</v>
      </c>
      <c r="G15" s="1115" t="s">
        <v>1674</v>
      </c>
      <c r="H15" s="1115" t="s">
        <v>1711</v>
      </c>
      <c r="I15" s="1115" t="s">
        <v>1686</v>
      </c>
      <c r="J15" s="1115" t="s">
        <v>1677</v>
      </c>
      <c r="K15" s="1120">
        <v>45471.0004976852</v>
      </c>
      <c r="L15" s="1120">
        <v>45471.0004976852</v>
      </c>
      <c r="M15" s="1115" t="s">
        <v>1678</v>
      </c>
      <c r="N15" s="1115" t="s">
        <v>1724</v>
      </c>
      <c r="O15" s="1115">
        <v>840</v>
      </c>
      <c r="P15" s="1115">
        <v>840</v>
      </c>
      <c r="Q15" s="1115">
        <v>24.35</v>
      </c>
      <c r="R15" s="1115">
        <v>183</v>
      </c>
      <c r="S15" s="1115">
        <v>0</v>
      </c>
      <c r="T15" s="1115">
        <f>R15*1.4649</f>
        <v>268.0767</v>
      </c>
      <c r="U15" s="1115"/>
      <c r="V15" s="1115"/>
      <c r="W15" s="1115"/>
      <c r="X15" s="1115"/>
      <c r="Y15" s="1115"/>
      <c r="Z15" s="1115"/>
      <c r="AA15" s="1115"/>
      <c r="AB15" s="1115"/>
      <c r="AC15" s="1115"/>
      <c r="AD15" s="1115"/>
      <c r="AE15" s="1115"/>
      <c r="AF15" s="1115"/>
      <c r="AG15" s="1115"/>
      <c r="AH15" s="1115"/>
      <c r="AI15" s="1115"/>
      <c r="AJ15" s="1115"/>
      <c r="AK15" s="1115"/>
      <c r="AL15" s="1115"/>
      <c r="AM15" s="1115"/>
      <c r="AN15" s="1115"/>
      <c r="AO15" s="1115"/>
      <c r="AP15" s="1115"/>
      <c r="AQ15" s="1115"/>
      <c r="AR15" s="1115"/>
      <c r="AS15" s="1115"/>
      <c r="AT15" s="1115"/>
      <c r="AU15" s="1115"/>
      <c r="AV15" s="1115"/>
      <c r="AW15" s="1115"/>
      <c r="AX15" s="1115"/>
      <c r="AY15" s="1115"/>
      <c r="AZ15" s="1115"/>
      <c r="BA15" s="1115"/>
      <c r="BB15" s="1115"/>
      <c r="BC15" s="1115"/>
      <c r="BD15" s="1115"/>
      <c r="BE15" s="1115"/>
      <c r="BF15" s="1115"/>
      <c r="BG15" s="1115"/>
      <c r="BH15" s="1115"/>
      <c r="BI15" s="1115"/>
      <c r="BJ15" s="1115"/>
      <c r="BK15" s="1115"/>
      <c r="BL15" s="1115"/>
      <c r="BM15" s="1115"/>
      <c r="BN15" s="1115"/>
      <c r="BO15" s="1115"/>
      <c r="BP15" s="1115"/>
      <c r="BQ15" s="1115"/>
      <c r="BR15" s="1115"/>
      <c r="BS15" s="1115"/>
      <c r="BT15" s="1115"/>
      <c r="BU15" s="1115"/>
      <c r="BV15" s="1115"/>
      <c r="BW15" s="1115"/>
      <c r="BX15" s="1115"/>
      <c r="BY15" s="1115"/>
      <c r="BZ15" s="1115"/>
      <c r="CA15" s="1115"/>
      <c r="CB15" s="1115"/>
      <c r="CC15" s="1115"/>
      <c r="CD15" s="1115"/>
      <c r="CE15" s="1115"/>
      <c r="CF15" s="1115"/>
      <c r="CG15" s="1115"/>
      <c r="CH15" s="1115"/>
      <c r="CI15" s="1115"/>
      <c r="CJ15" s="1115"/>
      <c r="CK15" s="1115"/>
      <c r="CL15" s="1115"/>
      <c r="CM15" s="1115"/>
      <c r="CN15" s="1115"/>
      <c r="CO15" s="1115"/>
      <c r="CP15" s="1115"/>
      <c r="CQ15" s="1115"/>
      <c r="CR15" s="1115"/>
      <c r="CS15" s="1115"/>
      <c r="CT15" s="1115"/>
      <c r="CU15" s="1115"/>
      <c r="CV15" s="1115"/>
      <c r="CW15" s="1115"/>
      <c r="CX15" s="1115"/>
      <c r="CY15" s="1115"/>
      <c r="CZ15" s="1115"/>
      <c r="DA15" s="1115"/>
      <c r="DB15" s="1115"/>
      <c r="DC15" s="1115"/>
      <c r="DD15" s="1115"/>
      <c r="DE15" s="1115"/>
      <c r="DF15" s="1115"/>
      <c r="DG15" s="1115"/>
      <c r="DH15" s="1115"/>
      <c r="DI15" s="1115"/>
      <c r="DJ15" s="1115"/>
      <c r="DK15" s="1115"/>
      <c r="DL15" s="1115"/>
      <c r="DM15" s="1115"/>
      <c r="DN15" s="1115"/>
      <c r="DO15" s="1115"/>
      <c r="DP15" s="1115"/>
      <c r="DQ15" s="1115"/>
      <c r="DR15" s="1115"/>
      <c r="DS15" s="1115"/>
      <c r="DT15" s="1115"/>
      <c r="DU15" s="1115"/>
      <c r="DV15" s="1115"/>
      <c r="DW15" s="1115"/>
      <c r="DX15" s="1115"/>
      <c r="DY15" s="1115"/>
      <c r="DZ15" s="1115"/>
      <c r="EA15" s="1115"/>
      <c r="EB15" s="1115"/>
      <c r="EC15" s="1115"/>
      <c r="ED15" s="1115"/>
      <c r="EE15" s="1115"/>
      <c r="EF15" s="1115"/>
      <c r="EG15" s="1115"/>
      <c r="EH15" s="1115"/>
      <c r="EI15" s="1115"/>
      <c r="EJ15" s="1115"/>
      <c r="EK15" s="1115"/>
      <c r="EL15" s="1115"/>
      <c r="EM15" s="1115"/>
      <c r="EN15" s="1115"/>
      <c r="EO15" s="1115"/>
      <c r="EP15" s="1115"/>
      <c r="EQ15" s="1115"/>
      <c r="ER15" s="1115"/>
      <c r="ES15" s="1115"/>
      <c r="ET15" s="1115"/>
      <c r="EU15" s="1115"/>
      <c r="EV15" s="1115"/>
      <c r="EW15" s="1115"/>
      <c r="EX15" s="1115"/>
      <c r="EY15" s="1115"/>
      <c r="EZ15" s="1115"/>
      <c r="FA15" s="1115"/>
      <c r="FB15" s="1115"/>
      <c r="FC15" s="1115"/>
      <c r="FD15" s="1115"/>
      <c r="FE15" s="1115"/>
      <c r="FF15" s="1115"/>
      <c r="FG15" s="1115"/>
      <c r="FH15" s="1115"/>
      <c r="FI15" s="1115"/>
      <c r="FJ15" s="1115"/>
      <c r="FK15" s="1115"/>
      <c r="FL15" s="1115"/>
      <c r="FM15" s="1115"/>
      <c r="FN15" s="1115"/>
      <c r="FO15" s="1115"/>
      <c r="FP15" s="1115"/>
      <c r="FQ15" s="1115"/>
      <c r="FR15" s="1115"/>
      <c r="FS15" s="1115"/>
      <c r="FT15" s="1115"/>
      <c r="FU15" s="1115"/>
      <c r="FV15" s="1115"/>
      <c r="FW15" s="1115"/>
      <c r="FX15" s="1115"/>
      <c r="FY15" s="1115"/>
      <c r="FZ15" s="1115"/>
      <c r="GA15" s="1115"/>
      <c r="GB15" s="1115"/>
      <c r="GC15" s="1115"/>
      <c r="GD15" s="1115"/>
      <c r="GE15" s="1115"/>
      <c r="GF15" s="1115"/>
      <c r="GG15" s="1115"/>
      <c r="GH15" s="1115"/>
      <c r="GI15" s="1115"/>
      <c r="GJ15" s="1115"/>
      <c r="GK15" s="1115"/>
      <c r="GL15" s="1115"/>
      <c r="GM15" s="1115"/>
      <c r="GN15" s="1115"/>
      <c r="GO15" s="1115"/>
      <c r="GP15" s="1115"/>
      <c r="GQ15" s="1115"/>
      <c r="GR15" s="1115"/>
      <c r="GS15" s="1115"/>
      <c r="GT15" s="1115"/>
      <c r="GU15" s="1115"/>
      <c r="GV15" s="1115"/>
      <c r="GW15" s="1115"/>
      <c r="GX15" s="1115"/>
      <c r="GY15" s="1115"/>
      <c r="GZ15" s="1115"/>
      <c r="HA15" s="1115"/>
      <c r="HB15" s="1115"/>
      <c r="HC15" s="1115"/>
      <c r="HD15" s="1115"/>
      <c r="HE15" s="1115"/>
      <c r="HF15" s="1115"/>
      <c r="HG15" s="1115"/>
      <c r="HH15" s="1115"/>
      <c r="HI15" s="1115"/>
      <c r="HJ15" s="1115"/>
      <c r="HK15" s="1115"/>
      <c r="HL15" s="1115"/>
      <c r="HM15" s="1115"/>
      <c r="HN15" s="1115"/>
      <c r="HO15" s="1115"/>
      <c r="HP15" s="1115"/>
      <c r="HQ15" s="1115"/>
      <c r="HR15" s="1115"/>
      <c r="HS15" s="1115"/>
      <c r="HT15" s="1115"/>
      <c r="HU15" s="1115"/>
      <c r="HV15" s="1115"/>
      <c r="HW15" s="1115"/>
      <c r="HX15" s="1115"/>
      <c r="HY15" s="1115"/>
      <c r="HZ15" s="1115"/>
      <c r="IA15" s="1115"/>
      <c r="IB15" s="1115"/>
      <c r="IC15" s="1115"/>
      <c r="ID15" s="1115"/>
      <c r="IE15" s="1115"/>
      <c r="IF15" s="1115"/>
      <c r="IG15" s="1115"/>
      <c r="IH15" s="1115"/>
      <c r="II15" s="1115"/>
      <c r="IJ15" s="1115"/>
      <c r="IK15" s="1115"/>
      <c r="IL15" s="1115"/>
      <c r="IM15" s="1115"/>
      <c r="IN15" s="1115"/>
      <c r="IO15" s="1115"/>
      <c r="IP15" s="1115"/>
      <c r="IQ15" s="1115"/>
      <c r="IR15" s="1115"/>
      <c r="IS15" s="1115"/>
      <c r="IT15" s="1115"/>
      <c r="IU15" s="1115"/>
      <c r="IV15" s="1115"/>
      <c r="IW15" s="1115"/>
      <c r="IX15" s="1115"/>
      <c r="IY15" s="1115"/>
      <c r="IZ15" s="1115"/>
      <c r="JA15" s="1115"/>
      <c r="JB15" s="1115"/>
      <c r="JC15" s="1115"/>
      <c r="JD15" s="1115"/>
      <c r="JE15" s="1115"/>
      <c r="JF15" s="1115"/>
      <c r="JG15" s="1115"/>
      <c r="JH15" s="1115"/>
      <c r="JI15" s="1115"/>
      <c r="JJ15" s="1115"/>
      <c r="JK15" s="1115"/>
      <c r="JL15" s="1115"/>
      <c r="JM15" s="1115"/>
      <c r="JN15" s="1115"/>
      <c r="JO15" s="1115"/>
      <c r="JP15" s="1115"/>
      <c r="JQ15" s="1115"/>
      <c r="JR15" s="1115"/>
      <c r="JS15" s="1115"/>
      <c r="JT15" s="1115"/>
      <c r="JU15" s="1115"/>
      <c r="JV15" s="1115"/>
      <c r="JW15" s="1115"/>
      <c r="JX15" s="1115"/>
      <c r="JY15" s="1115"/>
      <c r="JZ15" s="1115"/>
      <c r="KA15" s="1115"/>
      <c r="KB15" s="1115"/>
      <c r="KC15" s="1115"/>
      <c r="KD15" s="1115"/>
      <c r="KE15" s="1115"/>
      <c r="KF15" s="1115"/>
      <c r="KG15" s="1115"/>
      <c r="KH15" s="1115"/>
      <c r="KI15" s="1115"/>
      <c r="KJ15" s="1115"/>
      <c r="KK15" s="1115"/>
      <c r="KL15" s="1115"/>
      <c r="KM15" s="1115"/>
      <c r="KN15" s="1115"/>
      <c r="KO15" s="1115"/>
      <c r="KP15" s="1115"/>
      <c r="KQ15" s="1115"/>
      <c r="KR15" s="1115"/>
      <c r="KS15" s="1115"/>
      <c r="KT15" s="1115"/>
      <c r="KU15" s="1115"/>
      <c r="KV15" s="1115"/>
      <c r="KW15" s="1115"/>
      <c r="KX15" s="1115"/>
      <c r="KY15" s="1115"/>
      <c r="KZ15" s="1115"/>
      <c r="LA15" s="1115"/>
      <c r="LB15" s="1115"/>
      <c r="LC15" s="1115"/>
      <c r="LD15" s="1115"/>
      <c r="LE15" s="1115"/>
      <c r="LF15" s="1115"/>
      <c r="LG15" s="1115"/>
      <c r="LH15" s="1115"/>
      <c r="LI15" s="1115"/>
      <c r="LJ15" s="1115"/>
      <c r="LK15" s="1115"/>
      <c r="LL15" s="1115"/>
      <c r="LM15" s="1115"/>
      <c r="LN15" s="1115"/>
      <c r="LO15" s="1115"/>
      <c r="LP15" s="1115"/>
      <c r="LQ15" s="1115"/>
      <c r="LR15" s="1115"/>
      <c r="LS15" s="1115"/>
      <c r="LT15" s="1115"/>
      <c r="LU15" s="1115"/>
      <c r="LV15" s="1115"/>
      <c r="LW15" s="1115"/>
      <c r="LX15" s="1115"/>
      <c r="LY15" s="1115"/>
      <c r="LZ15" s="1115"/>
      <c r="MA15" s="1115"/>
      <c r="MB15" s="1115"/>
      <c r="MC15" s="1115"/>
      <c r="MD15" s="1115"/>
      <c r="ME15" s="1115"/>
      <c r="MF15" s="1115"/>
      <c r="MG15" s="1115"/>
      <c r="MH15" s="1115"/>
      <c r="MI15" s="1115"/>
      <c r="MJ15" s="1115"/>
      <c r="MK15" s="1115"/>
      <c r="ML15" s="1115"/>
      <c r="MM15" s="1115"/>
      <c r="MN15" s="1115"/>
      <c r="MO15" s="1115"/>
      <c r="MP15" s="1115"/>
      <c r="MQ15" s="1115"/>
      <c r="MR15" s="1115"/>
      <c r="MS15" s="1115"/>
      <c r="MT15" s="1115"/>
      <c r="MU15" s="1115"/>
      <c r="MV15" s="1115"/>
      <c r="MW15" s="1115"/>
      <c r="MX15" s="1115"/>
      <c r="MY15" s="1115"/>
      <c r="MZ15" s="1115"/>
      <c r="NA15" s="1115"/>
      <c r="NB15" s="1115"/>
      <c r="NC15" s="1115"/>
      <c r="ND15" s="1115"/>
      <c r="NE15" s="1115"/>
      <c r="NF15" s="1115"/>
      <c r="NG15" s="1115"/>
      <c r="NH15" s="1115"/>
      <c r="NI15" s="1115"/>
      <c r="NJ15" s="1115"/>
      <c r="NK15" s="1115"/>
      <c r="NL15" s="1115"/>
      <c r="NM15" s="1115"/>
      <c r="NN15" s="1115"/>
      <c r="NO15" s="1115"/>
      <c r="NP15" s="1115"/>
      <c r="NQ15" s="1115"/>
      <c r="NR15" s="1115"/>
      <c r="NS15" s="1115"/>
      <c r="NT15" s="1115"/>
      <c r="NU15" s="1115"/>
      <c r="NV15" s="1115"/>
      <c r="NW15" s="1115"/>
      <c r="NX15" s="1115"/>
      <c r="NY15" s="1115"/>
      <c r="NZ15" s="1115"/>
      <c r="OA15" s="1115"/>
      <c r="OB15" s="1115"/>
      <c r="OC15" s="1115"/>
      <c r="OD15" s="1115"/>
      <c r="OE15" s="1115"/>
      <c r="OF15" s="1115"/>
      <c r="OG15" s="1115"/>
      <c r="OH15" s="1115"/>
      <c r="OI15" s="1115"/>
      <c r="OJ15" s="1115"/>
      <c r="OK15" s="1115"/>
      <c r="OL15" s="1115"/>
      <c r="OM15" s="1115"/>
      <c r="ON15" s="1115"/>
      <c r="OO15" s="1115"/>
      <c r="OP15" s="1115"/>
      <c r="OQ15" s="1115"/>
      <c r="OR15" s="1115"/>
      <c r="OS15" s="1115"/>
      <c r="OT15" s="1115"/>
      <c r="OU15" s="1115"/>
      <c r="OV15" s="1115"/>
      <c r="OW15" s="1115"/>
      <c r="OX15" s="1115"/>
      <c r="OY15" s="1115"/>
      <c r="OZ15" s="1115"/>
      <c r="PA15" s="1115"/>
      <c r="PB15" s="1115"/>
      <c r="PC15" s="1115"/>
      <c r="PD15" s="1115"/>
      <c r="PE15" s="1115"/>
      <c r="PF15" s="1115"/>
      <c r="PG15" s="1115"/>
      <c r="PH15" s="1115"/>
      <c r="PI15" s="1115"/>
      <c r="PJ15" s="1115"/>
      <c r="PK15" s="1115"/>
      <c r="PL15" s="1115"/>
      <c r="PM15" s="1115"/>
      <c r="PN15" s="1115"/>
      <c r="PO15" s="1115"/>
      <c r="PP15" s="1115"/>
      <c r="PQ15" s="1115"/>
      <c r="PR15" s="1115"/>
      <c r="PS15" s="1115"/>
      <c r="PT15" s="1115"/>
      <c r="PU15" s="1115"/>
      <c r="PV15" s="1115"/>
      <c r="PW15" s="1115"/>
      <c r="PX15" s="1115"/>
      <c r="PY15" s="1115"/>
      <c r="PZ15" s="1115"/>
      <c r="QA15" s="1115"/>
      <c r="QB15" s="1115"/>
      <c r="QC15" s="1115"/>
      <c r="QD15" s="1115"/>
      <c r="QE15" s="1115"/>
      <c r="QF15" s="1115"/>
      <c r="QG15" s="1115"/>
      <c r="QH15" s="1115"/>
      <c r="QI15" s="1115"/>
      <c r="QJ15" s="1115"/>
      <c r="QK15" s="1115"/>
      <c r="QL15" s="1115"/>
      <c r="QM15" s="1115"/>
      <c r="QN15" s="1115"/>
      <c r="QO15" s="1115"/>
      <c r="QP15" s="1115"/>
      <c r="QQ15" s="1115"/>
      <c r="QR15" s="1115"/>
      <c r="QS15" s="1115"/>
      <c r="QT15" s="1115"/>
      <c r="QU15" s="1115"/>
      <c r="QV15" s="1115"/>
      <c r="QW15" s="1115"/>
      <c r="QX15" s="1115"/>
      <c r="QY15" s="1115"/>
      <c r="QZ15" s="1115"/>
      <c r="RA15" s="1115"/>
      <c r="RB15" s="1115"/>
      <c r="RC15" s="1115"/>
      <c r="RD15" s="1115"/>
      <c r="RE15" s="1115"/>
      <c r="RF15" s="1115"/>
      <c r="RG15" s="1115"/>
      <c r="RH15" s="1115"/>
      <c r="RI15" s="1115"/>
      <c r="RJ15" s="1115"/>
      <c r="RK15" s="1115"/>
      <c r="RL15" s="1115"/>
      <c r="RM15" s="1115"/>
      <c r="RN15" s="1115"/>
      <c r="RO15" s="1115"/>
      <c r="RP15" s="1115"/>
      <c r="RQ15" s="1115"/>
      <c r="RR15" s="1115"/>
      <c r="RS15" s="1115"/>
      <c r="RT15" s="1115"/>
      <c r="RU15" s="1115"/>
      <c r="RV15" s="1115"/>
      <c r="RW15" s="1115"/>
      <c r="RX15" s="1115"/>
      <c r="RY15" s="1115"/>
      <c r="RZ15" s="1115"/>
      <c r="SA15" s="1115"/>
      <c r="SB15" s="1115"/>
      <c r="SC15" s="1115"/>
      <c r="SD15" s="1115"/>
      <c r="SE15" s="1115"/>
      <c r="SF15" s="1115"/>
      <c r="SG15" s="1115"/>
      <c r="SH15" s="1115"/>
      <c r="SI15" s="1115"/>
      <c r="SJ15" s="1115"/>
      <c r="SK15" s="1115"/>
      <c r="SL15" s="1115"/>
      <c r="SM15" s="1115"/>
      <c r="SN15" s="1115"/>
      <c r="SO15" s="1115"/>
      <c r="SP15" s="1115"/>
      <c r="SQ15" s="1115"/>
      <c r="SR15" s="1115"/>
      <c r="SS15" s="1115"/>
      <c r="ST15" s="1115"/>
      <c r="SU15" s="1115"/>
      <c r="SV15" s="1115"/>
      <c r="SW15" s="1115"/>
      <c r="SX15" s="1115"/>
      <c r="SY15" s="1115"/>
      <c r="SZ15" s="1115"/>
      <c r="TA15" s="1115"/>
      <c r="TB15" s="1115"/>
      <c r="TC15" s="1115"/>
      <c r="TD15" s="1115"/>
      <c r="TE15" s="1115"/>
      <c r="TF15" s="1115"/>
      <c r="TG15" s="1115"/>
      <c r="TH15" s="1115"/>
      <c r="TI15" s="1115"/>
      <c r="TJ15" s="1115"/>
      <c r="TK15" s="1115"/>
      <c r="TL15" s="1115"/>
      <c r="TM15" s="1115"/>
      <c r="TN15" s="1115"/>
      <c r="TO15" s="1115"/>
      <c r="TP15" s="1115"/>
      <c r="TQ15" s="1115"/>
      <c r="TR15" s="1115"/>
      <c r="TS15" s="1115"/>
      <c r="TT15" s="1115"/>
      <c r="TU15" s="1115"/>
      <c r="TV15" s="1115"/>
      <c r="TW15" s="1115"/>
      <c r="TX15" s="1115"/>
      <c r="TY15" s="1115"/>
      <c r="TZ15" s="1115"/>
      <c r="UA15" s="1115"/>
      <c r="UB15" s="1115"/>
      <c r="UC15" s="1115"/>
      <c r="UD15" s="1115"/>
      <c r="UE15" s="1115"/>
      <c r="UF15" s="1115"/>
      <c r="UG15" s="1115"/>
      <c r="UH15" s="1115"/>
      <c r="UI15" s="1115"/>
      <c r="UJ15" s="1115"/>
      <c r="UK15" s="1115"/>
      <c r="UL15" s="1115"/>
      <c r="UM15" s="1115"/>
      <c r="UN15" s="1115"/>
      <c r="UO15" s="1115"/>
      <c r="UP15" s="1115"/>
      <c r="UQ15" s="1115"/>
      <c r="UR15" s="1115"/>
      <c r="US15" s="1115"/>
      <c r="UT15" s="1115"/>
      <c r="UU15" s="1115"/>
      <c r="UV15" s="1115"/>
      <c r="UW15" s="1115"/>
      <c r="UX15" s="1115"/>
      <c r="UY15" s="1115"/>
      <c r="UZ15" s="1115"/>
      <c r="VA15" s="1115"/>
      <c r="VB15" s="1115"/>
      <c r="VC15" s="1115"/>
      <c r="VD15" s="1115"/>
      <c r="VE15" s="1115"/>
      <c r="VF15" s="1115"/>
      <c r="VG15" s="1115"/>
      <c r="VH15" s="1115"/>
      <c r="VI15" s="1115"/>
      <c r="VJ15" s="1115"/>
      <c r="VK15" s="1115"/>
      <c r="VL15" s="1115"/>
      <c r="VM15" s="1115"/>
      <c r="VN15" s="1115"/>
      <c r="VO15" s="1115"/>
      <c r="VP15" s="1115"/>
      <c r="VQ15" s="1115"/>
      <c r="VR15" s="1115"/>
      <c r="VS15" s="1115"/>
      <c r="VT15" s="1115"/>
      <c r="VU15" s="1115"/>
      <c r="VV15" s="1115"/>
      <c r="VW15" s="1115"/>
      <c r="VX15" s="1115"/>
      <c r="VY15" s="1115"/>
      <c r="VZ15" s="1115"/>
      <c r="WA15" s="1115"/>
      <c r="WB15" s="1115"/>
      <c r="WC15" s="1115"/>
      <c r="WD15" s="1115"/>
      <c r="WE15" s="1115"/>
      <c r="WF15" s="1115"/>
      <c r="WG15" s="1115"/>
      <c r="WH15" s="1115"/>
      <c r="WI15" s="1115"/>
      <c r="WJ15" s="1115"/>
      <c r="WK15" s="1115"/>
      <c r="WL15" s="1115"/>
      <c r="WM15" s="1115"/>
      <c r="WN15" s="1115"/>
      <c r="WO15" s="1115"/>
      <c r="WP15" s="1115"/>
      <c r="WQ15" s="1115"/>
      <c r="WR15" s="1115"/>
      <c r="WS15" s="1115"/>
      <c r="WT15" s="1115"/>
      <c r="WU15" s="1115"/>
      <c r="WV15" s="1115"/>
      <c r="WW15" s="1115"/>
      <c r="WX15" s="1115"/>
      <c r="WY15" s="1115"/>
      <c r="WZ15" s="1115"/>
      <c r="XA15" s="1115"/>
      <c r="XB15" s="1115"/>
      <c r="XC15" s="1115"/>
      <c r="XD15" s="1115"/>
      <c r="XE15" s="1115"/>
      <c r="XF15" s="1115"/>
      <c r="XG15" s="1115"/>
      <c r="XH15" s="1115"/>
      <c r="XI15" s="1115"/>
      <c r="XJ15" s="1115"/>
      <c r="XK15" s="1115"/>
      <c r="XL15" s="1115"/>
      <c r="XM15" s="1115"/>
      <c r="XN15" s="1115"/>
      <c r="XO15" s="1115"/>
      <c r="XP15" s="1115"/>
      <c r="XQ15" s="1115"/>
      <c r="XR15" s="1115"/>
      <c r="XS15" s="1115"/>
      <c r="XT15" s="1115"/>
      <c r="XU15" s="1115"/>
      <c r="XV15" s="1115"/>
      <c r="XW15" s="1115"/>
      <c r="XX15" s="1115"/>
      <c r="XY15" s="1115"/>
      <c r="XZ15" s="1115"/>
      <c r="YA15" s="1115"/>
      <c r="YB15" s="1115"/>
      <c r="YC15" s="1115"/>
      <c r="YD15" s="1115"/>
      <c r="YE15" s="1115"/>
      <c r="YF15" s="1115"/>
      <c r="YG15" s="1115"/>
      <c r="YH15" s="1115"/>
      <c r="YI15" s="1115"/>
      <c r="YJ15" s="1115"/>
      <c r="YK15" s="1115"/>
      <c r="YL15" s="1115"/>
      <c r="YM15" s="1115"/>
      <c r="YN15" s="1115"/>
      <c r="YO15" s="1115"/>
      <c r="YP15" s="1115"/>
      <c r="YQ15" s="1115"/>
      <c r="YR15" s="1115"/>
      <c r="YS15" s="1115"/>
      <c r="YT15" s="1115"/>
      <c r="YU15" s="1115"/>
      <c r="YV15" s="1115"/>
      <c r="YW15" s="1115"/>
      <c r="YX15" s="1115"/>
      <c r="YY15" s="1115"/>
      <c r="YZ15" s="1115"/>
      <c r="ZA15" s="1115"/>
      <c r="ZB15" s="1115"/>
      <c r="ZC15" s="1115"/>
      <c r="ZD15" s="1115"/>
      <c r="ZE15" s="1115"/>
      <c r="ZF15" s="1115"/>
      <c r="ZG15" s="1115"/>
      <c r="ZH15" s="1115"/>
      <c r="ZI15" s="1115"/>
      <c r="ZJ15" s="1115"/>
      <c r="ZK15" s="1115"/>
      <c r="ZL15" s="1115"/>
      <c r="ZM15" s="1115"/>
      <c r="ZN15" s="1115"/>
      <c r="ZO15" s="1115"/>
      <c r="ZP15" s="1115"/>
      <c r="ZQ15" s="1115"/>
      <c r="ZR15" s="1115"/>
      <c r="ZS15" s="1115"/>
      <c r="ZT15" s="1115"/>
      <c r="ZU15" s="1115"/>
      <c r="ZV15" s="1115"/>
      <c r="ZW15" s="1115"/>
      <c r="ZX15" s="1115"/>
      <c r="ZY15" s="1115"/>
      <c r="ZZ15" s="1115"/>
      <c r="AAA15" s="1115"/>
      <c r="AAB15" s="1115"/>
      <c r="AAC15" s="1115"/>
      <c r="AAD15" s="1115"/>
      <c r="AAE15" s="1115"/>
      <c r="AAF15" s="1115"/>
      <c r="AAG15" s="1115"/>
      <c r="AAH15" s="1115"/>
      <c r="AAI15" s="1115"/>
      <c r="AAJ15" s="1115"/>
      <c r="AAK15" s="1115"/>
      <c r="AAL15" s="1115"/>
      <c r="AAM15" s="1115"/>
      <c r="AAN15" s="1115"/>
      <c r="AAO15" s="1115"/>
      <c r="AAP15" s="1115"/>
      <c r="AAQ15" s="1115"/>
      <c r="AAR15" s="1115"/>
      <c r="AAS15" s="1115"/>
      <c r="AAT15" s="1115"/>
      <c r="AAU15" s="1115"/>
      <c r="AAV15" s="1115"/>
      <c r="AAW15" s="1115"/>
      <c r="AAX15" s="1115"/>
      <c r="AAY15" s="1115"/>
      <c r="AAZ15" s="1115"/>
      <c r="ABA15" s="1115"/>
      <c r="ABB15" s="1115"/>
      <c r="ABC15" s="1115"/>
      <c r="ABD15" s="1115"/>
      <c r="ABE15" s="1115"/>
      <c r="ABF15" s="1115"/>
      <c r="ABG15" s="1115"/>
      <c r="ABH15" s="1115"/>
      <c r="ABI15" s="1115"/>
      <c r="ABJ15" s="1115"/>
      <c r="ABK15" s="1115"/>
      <c r="ABL15" s="1115"/>
      <c r="ABM15" s="1115"/>
      <c r="ABN15" s="1115"/>
      <c r="ABO15" s="1115"/>
      <c r="ABP15" s="1115"/>
      <c r="ABQ15" s="1115"/>
      <c r="ABR15" s="1115"/>
      <c r="ABS15" s="1115"/>
      <c r="ABT15" s="1115"/>
      <c r="ABU15" s="1115"/>
      <c r="ABV15" s="1115"/>
      <c r="ABW15" s="1115"/>
      <c r="ABX15" s="1115"/>
      <c r="ABY15" s="1115"/>
      <c r="ABZ15" s="1115"/>
      <c r="ACA15" s="1115"/>
      <c r="ACB15" s="1115"/>
      <c r="ACC15" s="1115"/>
      <c r="ACD15" s="1115"/>
      <c r="ACE15" s="1115"/>
      <c r="ACF15" s="1115"/>
      <c r="ACG15" s="1115"/>
      <c r="ACH15" s="1115"/>
      <c r="ACI15" s="1115"/>
      <c r="ACJ15" s="1115"/>
      <c r="ACK15" s="1115"/>
      <c r="ACL15" s="1115"/>
      <c r="ACM15" s="1115"/>
      <c r="ACN15" s="1115"/>
      <c r="ACO15" s="1115"/>
      <c r="ACP15" s="1115"/>
      <c r="ACQ15" s="1115"/>
      <c r="ACR15" s="1115"/>
      <c r="ACS15" s="1115"/>
      <c r="ACT15" s="1115"/>
      <c r="ACU15" s="1115"/>
      <c r="ACV15" s="1115"/>
      <c r="ACW15" s="1115"/>
      <c r="ACX15" s="1115"/>
      <c r="ACY15" s="1115"/>
      <c r="ACZ15" s="1115"/>
      <c r="ADA15" s="1115"/>
      <c r="ADB15" s="1115"/>
      <c r="ADC15" s="1115"/>
      <c r="ADD15" s="1115"/>
      <c r="ADE15" s="1115"/>
      <c r="ADF15" s="1115"/>
      <c r="ADG15" s="1115"/>
      <c r="ADH15" s="1115"/>
      <c r="ADI15" s="1115"/>
      <c r="ADJ15" s="1115"/>
      <c r="ADK15" s="1115"/>
      <c r="ADL15" s="1115"/>
      <c r="ADM15" s="1115"/>
      <c r="ADN15" s="1115"/>
      <c r="ADO15" s="1115"/>
      <c r="ADP15" s="1115"/>
      <c r="ADQ15" s="1115"/>
      <c r="ADR15" s="1115"/>
      <c r="ADS15" s="1115"/>
      <c r="ADT15" s="1115"/>
      <c r="ADU15" s="1115"/>
      <c r="ADV15" s="1115"/>
      <c r="ADW15" s="1115"/>
      <c r="ADX15" s="1115"/>
      <c r="ADY15" s="1115"/>
      <c r="ADZ15" s="1115"/>
      <c r="AEA15" s="1115"/>
      <c r="AEB15" s="1115"/>
      <c r="AEC15" s="1115"/>
      <c r="AED15" s="1115"/>
      <c r="AEE15" s="1115"/>
      <c r="AEF15" s="1115"/>
      <c r="AEG15" s="1115"/>
      <c r="AEH15" s="1115"/>
      <c r="AEI15" s="1115"/>
      <c r="AEJ15" s="1115"/>
      <c r="AEK15" s="1115"/>
      <c r="AEL15" s="1115"/>
      <c r="AEM15" s="1115"/>
      <c r="AEN15" s="1115"/>
      <c r="AEO15" s="1115"/>
      <c r="AEP15" s="1115"/>
      <c r="AEQ15" s="1115"/>
      <c r="AER15" s="1115"/>
      <c r="AES15" s="1115"/>
      <c r="AET15" s="1115"/>
      <c r="AEU15" s="1115"/>
      <c r="AEV15" s="1115"/>
      <c r="AEW15" s="1115"/>
      <c r="AEX15" s="1115"/>
      <c r="AEY15" s="1115"/>
      <c r="AEZ15" s="1115"/>
      <c r="AFA15" s="1115"/>
      <c r="AFB15" s="1115"/>
      <c r="AFC15" s="1115"/>
      <c r="AFD15" s="1115"/>
      <c r="AFE15" s="1115"/>
      <c r="AFF15" s="1115"/>
      <c r="AFG15" s="1115"/>
      <c r="AFH15" s="1115"/>
      <c r="AFI15" s="1115"/>
      <c r="AFJ15" s="1115"/>
      <c r="AFK15" s="1115"/>
      <c r="AFL15" s="1115"/>
      <c r="AFM15" s="1115"/>
      <c r="AFN15" s="1115"/>
      <c r="AFO15" s="1115"/>
      <c r="AFP15" s="1115"/>
      <c r="AFQ15" s="1115"/>
      <c r="AFR15" s="1115"/>
      <c r="AFS15" s="1115"/>
      <c r="AFT15" s="1115"/>
      <c r="AFU15" s="1115"/>
      <c r="AFV15" s="1115"/>
      <c r="AFW15" s="1115"/>
      <c r="AFX15" s="1115"/>
      <c r="AFY15" s="1115"/>
      <c r="AFZ15" s="1115"/>
      <c r="AGA15" s="1115"/>
      <c r="AGB15" s="1115"/>
      <c r="AGC15" s="1115"/>
      <c r="AGD15" s="1115"/>
      <c r="AGE15" s="1115"/>
      <c r="AGF15" s="1115"/>
      <c r="AGG15" s="1115"/>
      <c r="AGH15" s="1115"/>
      <c r="AGI15" s="1115"/>
      <c r="AGJ15" s="1115"/>
      <c r="AGK15" s="1115"/>
      <c r="AGL15" s="1115"/>
      <c r="AGM15" s="1115"/>
      <c r="AGN15" s="1115"/>
      <c r="AGO15" s="1115"/>
      <c r="AGP15" s="1115"/>
      <c r="AGQ15" s="1115"/>
      <c r="AGR15" s="1115"/>
      <c r="AGS15" s="1115"/>
      <c r="AGT15" s="1115"/>
      <c r="AGU15" s="1115"/>
      <c r="AGV15" s="1115"/>
      <c r="AGW15" s="1115"/>
      <c r="AGX15" s="1115"/>
      <c r="AGY15" s="1115"/>
      <c r="AGZ15" s="1115"/>
      <c r="AHA15" s="1115"/>
      <c r="AHB15" s="1115"/>
      <c r="AHC15" s="1115"/>
      <c r="AHD15" s="1115"/>
      <c r="AHE15" s="1115"/>
      <c r="AHF15" s="1115"/>
      <c r="AHG15" s="1115"/>
      <c r="AHH15" s="1115"/>
      <c r="AHI15" s="1115"/>
      <c r="AHJ15" s="1115"/>
      <c r="AHK15" s="1115"/>
      <c r="AHL15" s="1115"/>
      <c r="AHM15" s="1115"/>
      <c r="AHN15" s="1115"/>
      <c r="AHO15" s="1115"/>
      <c r="AHP15" s="1115"/>
      <c r="AHQ15" s="1115"/>
      <c r="AHR15" s="1115"/>
      <c r="AHS15" s="1115"/>
      <c r="AHT15" s="1115"/>
      <c r="AHU15" s="1115"/>
      <c r="AHV15" s="1115"/>
      <c r="AHW15" s="1115"/>
      <c r="AHX15" s="1115"/>
      <c r="AHY15" s="1115"/>
      <c r="AHZ15" s="1115"/>
      <c r="AIA15" s="1115"/>
      <c r="AIB15" s="1115"/>
      <c r="AIC15" s="1115"/>
      <c r="AID15" s="1115"/>
      <c r="AIE15" s="1115"/>
      <c r="AIF15" s="1115"/>
      <c r="AIG15" s="1115"/>
      <c r="AIH15" s="1115"/>
      <c r="AII15" s="1115"/>
      <c r="AIJ15" s="1115"/>
      <c r="AIK15" s="1115"/>
      <c r="AIL15" s="1115"/>
      <c r="AIM15" s="1115"/>
      <c r="AIN15" s="1115"/>
      <c r="AIO15" s="1115"/>
      <c r="AIP15" s="1115"/>
      <c r="AIQ15" s="1115"/>
      <c r="AIR15" s="1115"/>
      <c r="AIS15" s="1115"/>
      <c r="AIT15" s="1115"/>
      <c r="AIU15" s="1115"/>
      <c r="AIV15" s="1115"/>
      <c r="AIW15" s="1115"/>
      <c r="AIX15" s="1115"/>
      <c r="AIY15" s="1115"/>
      <c r="AIZ15" s="1115"/>
      <c r="AJA15" s="1115"/>
      <c r="AJB15" s="1115"/>
      <c r="AJC15" s="1115"/>
      <c r="AJD15" s="1115"/>
      <c r="AJE15" s="1115"/>
      <c r="AJF15" s="1115"/>
      <c r="AJG15" s="1115"/>
      <c r="AJH15" s="1115"/>
      <c r="AJI15" s="1115"/>
      <c r="AJJ15" s="1115"/>
      <c r="AJK15" s="1115"/>
      <c r="AJL15" s="1115"/>
      <c r="AJM15" s="1115"/>
      <c r="AJN15" s="1115"/>
      <c r="AJO15" s="1115"/>
      <c r="AJP15" s="1115"/>
      <c r="AJQ15" s="1115"/>
      <c r="AJR15" s="1115"/>
      <c r="AJS15" s="1115"/>
      <c r="AJT15" s="1115"/>
      <c r="AJU15" s="1115"/>
      <c r="AJV15" s="1115"/>
      <c r="AJW15" s="1115"/>
      <c r="AJX15" s="1115"/>
      <c r="AJY15" s="1115"/>
      <c r="AJZ15" s="1115"/>
      <c r="AKA15" s="1115"/>
      <c r="AKB15" s="1115"/>
      <c r="AKC15" s="1115"/>
      <c r="AKD15" s="1115"/>
      <c r="AKE15" s="1115"/>
      <c r="AKF15" s="1115"/>
      <c r="AKG15" s="1115"/>
      <c r="AKH15" s="1115"/>
      <c r="AKI15" s="1115"/>
      <c r="AKJ15" s="1115"/>
      <c r="AKK15" s="1115"/>
      <c r="AKL15" s="1115"/>
      <c r="AKM15" s="1115"/>
      <c r="AKN15" s="1115"/>
      <c r="AKO15" s="1115"/>
      <c r="AKP15" s="1115"/>
      <c r="AKQ15" s="1115"/>
      <c r="AKR15" s="1115"/>
      <c r="AKS15" s="1115"/>
      <c r="AKT15" s="1115"/>
      <c r="AKU15" s="1115"/>
      <c r="AKV15" s="1115"/>
      <c r="AKW15" s="1115"/>
      <c r="AKX15" s="1115"/>
      <c r="AKY15" s="1115"/>
      <c r="AKZ15" s="1115"/>
      <c r="ALA15" s="1115"/>
      <c r="ALB15" s="1115"/>
      <c r="ALC15" s="1115"/>
      <c r="ALD15" s="1115"/>
      <c r="ALE15" s="1115"/>
      <c r="ALF15" s="1115"/>
      <c r="ALG15" s="1115"/>
      <c r="ALH15" s="1115"/>
      <c r="ALI15" s="1115"/>
      <c r="ALJ15" s="1115"/>
      <c r="ALK15" s="1115"/>
      <c r="ALL15" s="1115"/>
      <c r="ALM15" s="1115"/>
      <c r="ALN15" s="1115"/>
      <c r="ALO15" s="1115"/>
      <c r="ALP15" s="1115"/>
      <c r="ALQ15" s="1115"/>
      <c r="ALR15" s="1115"/>
      <c r="ALS15" s="1115"/>
      <c r="ALT15" s="1115"/>
      <c r="ALU15" s="1115"/>
      <c r="ALV15" s="1115"/>
      <c r="ALW15" s="1115"/>
      <c r="ALX15" s="1115"/>
      <c r="ALY15" s="1115"/>
      <c r="ALZ15" s="1115"/>
      <c r="AMA15" s="1115"/>
      <c r="AMB15" s="1115"/>
      <c r="AMC15" s="1115"/>
      <c r="AMD15" s="1115"/>
      <c r="AME15" s="1115"/>
      <c r="AMF15" s="1115"/>
      <c r="AMG15" s="1115"/>
      <c r="AMH15" s="1115"/>
      <c r="AMI15" s="1115"/>
      <c r="AMJ15" s="1115"/>
      <c r="AMK15" s="1115"/>
      <c r="AML15" s="1115"/>
      <c r="AMM15" s="1115"/>
      <c r="AMN15" s="1115"/>
      <c r="AMO15" s="1115"/>
      <c r="AMP15" s="1115"/>
      <c r="AMQ15" s="1115"/>
      <c r="AMR15" s="1115"/>
      <c r="AMS15" s="1115"/>
      <c r="AMT15" s="1115"/>
      <c r="AMU15" s="1115"/>
      <c r="AMV15" s="1115"/>
      <c r="AMW15" s="1115"/>
      <c r="AMX15" s="1115"/>
      <c r="AMY15" s="1115"/>
      <c r="AMZ15" s="1115"/>
      <c r="ANA15" s="1115"/>
      <c r="ANB15" s="1115"/>
      <c r="ANC15" s="1115"/>
      <c r="AND15" s="1115"/>
      <c r="ANE15" s="1115"/>
      <c r="ANF15" s="1115"/>
      <c r="ANG15" s="1115"/>
      <c r="ANH15" s="1115"/>
      <c r="ANI15" s="1115"/>
      <c r="ANJ15" s="1115"/>
      <c r="ANK15" s="1115"/>
      <c r="ANL15" s="1115"/>
      <c r="ANM15" s="1115"/>
      <c r="ANN15" s="1115"/>
      <c r="ANO15" s="1115"/>
      <c r="ANP15" s="1115"/>
      <c r="ANQ15" s="1115"/>
      <c r="ANR15" s="1115"/>
      <c r="ANS15" s="1115"/>
      <c r="ANT15" s="1115"/>
      <c r="ANU15" s="1115"/>
      <c r="ANV15" s="1115"/>
      <c r="ANW15" s="1115"/>
      <c r="ANX15" s="1115"/>
      <c r="ANY15" s="1115"/>
      <c r="ANZ15" s="1115"/>
      <c r="AOA15" s="1115"/>
      <c r="AOB15" s="1115"/>
      <c r="AOC15" s="1115"/>
      <c r="AOD15" s="1115"/>
      <c r="AOE15" s="1115"/>
      <c r="AOF15" s="1115"/>
      <c r="AOG15" s="1115"/>
      <c r="AOH15" s="1115"/>
      <c r="AOI15" s="1115"/>
      <c r="AOJ15" s="1115"/>
      <c r="AOK15" s="1115"/>
      <c r="AOL15" s="1115"/>
      <c r="AOM15" s="1115"/>
      <c r="AON15" s="1115"/>
      <c r="AOO15" s="1115"/>
      <c r="AOP15" s="1115"/>
      <c r="AOQ15" s="1115"/>
      <c r="AOR15" s="1115"/>
      <c r="AOS15" s="1115"/>
      <c r="AOT15" s="1115"/>
      <c r="AOU15" s="1115"/>
      <c r="AOV15" s="1115"/>
      <c r="AOW15" s="1115"/>
      <c r="AOX15" s="1115"/>
      <c r="AOY15" s="1115"/>
      <c r="AOZ15" s="1115"/>
      <c r="APA15" s="1115"/>
      <c r="APB15" s="1115"/>
      <c r="APC15" s="1115"/>
      <c r="APD15" s="1115"/>
      <c r="APE15" s="1115"/>
      <c r="APF15" s="1115"/>
      <c r="APG15" s="1115"/>
      <c r="APH15" s="1115"/>
      <c r="API15" s="1115"/>
      <c r="APJ15" s="1115"/>
      <c r="APK15" s="1115"/>
      <c r="APL15" s="1115"/>
      <c r="APM15" s="1115"/>
      <c r="APN15" s="1115"/>
      <c r="APO15" s="1115"/>
      <c r="APP15" s="1115"/>
      <c r="APQ15" s="1115"/>
      <c r="APR15" s="1115"/>
      <c r="APS15" s="1115"/>
      <c r="APT15" s="1115"/>
      <c r="APU15" s="1115"/>
      <c r="APV15" s="1115"/>
      <c r="APW15" s="1115"/>
      <c r="APX15" s="1115"/>
      <c r="APY15" s="1115"/>
      <c r="APZ15" s="1115"/>
      <c r="AQA15" s="1115"/>
      <c r="AQB15" s="1115"/>
      <c r="AQC15" s="1115"/>
      <c r="AQD15" s="1115"/>
      <c r="AQE15" s="1115"/>
      <c r="AQF15" s="1115"/>
      <c r="AQG15" s="1115"/>
      <c r="AQH15" s="1115"/>
      <c r="AQI15" s="1115"/>
      <c r="AQJ15" s="1115"/>
      <c r="AQK15" s="1115"/>
      <c r="AQL15" s="1115"/>
      <c r="AQM15" s="1115"/>
      <c r="AQN15" s="1115"/>
      <c r="AQO15" s="1115"/>
      <c r="AQP15" s="1115"/>
      <c r="AQQ15" s="1115"/>
      <c r="AQR15" s="1115"/>
      <c r="AQS15" s="1115"/>
      <c r="AQT15" s="1115"/>
      <c r="AQU15" s="1115"/>
      <c r="AQV15" s="1115"/>
      <c r="AQW15" s="1115"/>
      <c r="AQX15" s="1115"/>
      <c r="AQY15" s="1115"/>
      <c r="AQZ15" s="1115"/>
      <c r="ARA15" s="1115"/>
      <c r="ARB15" s="1115"/>
      <c r="ARC15" s="1115"/>
      <c r="ARD15" s="1115"/>
      <c r="ARE15" s="1115"/>
      <c r="ARF15" s="1115"/>
      <c r="ARG15" s="1115"/>
      <c r="ARH15" s="1115"/>
      <c r="ARI15" s="1115"/>
      <c r="ARJ15" s="1115"/>
      <c r="ARK15" s="1115"/>
      <c r="ARL15" s="1115"/>
      <c r="ARM15" s="1115"/>
      <c r="ARN15" s="1115"/>
      <c r="ARO15" s="1115"/>
      <c r="ARP15" s="1115"/>
      <c r="ARQ15" s="1115"/>
      <c r="ARR15" s="1115"/>
      <c r="ARS15" s="1115"/>
      <c r="ART15" s="1115"/>
      <c r="ARU15" s="1115"/>
      <c r="ARV15" s="1115"/>
      <c r="ARW15" s="1115"/>
      <c r="ARX15" s="1115"/>
      <c r="ARY15" s="1115"/>
      <c r="ARZ15" s="1115"/>
      <c r="ASA15" s="1115"/>
      <c r="ASB15" s="1115"/>
      <c r="ASC15" s="1115"/>
      <c r="ASD15" s="1115"/>
      <c r="ASE15" s="1115"/>
      <c r="ASF15" s="1115"/>
      <c r="ASG15" s="1115"/>
      <c r="ASH15" s="1115"/>
      <c r="ASI15" s="1115"/>
      <c r="ASJ15" s="1115"/>
      <c r="ASK15" s="1115"/>
      <c r="ASL15" s="1115"/>
      <c r="ASM15" s="1115"/>
      <c r="ASN15" s="1115"/>
      <c r="ASO15" s="1115"/>
      <c r="ASP15" s="1115"/>
      <c r="ASQ15" s="1115"/>
      <c r="ASR15" s="1115"/>
      <c r="ASS15" s="1115"/>
      <c r="AST15" s="1115"/>
      <c r="ASU15" s="1115"/>
      <c r="ASV15" s="1115"/>
      <c r="ASW15" s="1115"/>
      <c r="ASX15" s="1115"/>
      <c r="ASY15" s="1115"/>
      <c r="ASZ15" s="1115"/>
      <c r="ATA15" s="1115"/>
      <c r="ATB15" s="1115"/>
      <c r="ATC15" s="1115"/>
      <c r="ATD15" s="1115"/>
      <c r="ATE15" s="1115"/>
      <c r="ATF15" s="1115"/>
      <c r="ATG15" s="1115"/>
      <c r="ATH15" s="1115"/>
      <c r="ATI15" s="1115"/>
      <c r="ATJ15" s="1115"/>
      <c r="ATK15" s="1115"/>
      <c r="ATL15" s="1115"/>
      <c r="ATM15" s="1115"/>
      <c r="ATN15" s="1115"/>
      <c r="ATO15" s="1115"/>
      <c r="ATP15" s="1115"/>
      <c r="ATQ15" s="1115"/>
      <c r="ATR15" s="1115"/>
      <c r="ATS15" s="1115"/>
      <c r="ATT15" s="1115"/>
      <c r="ATU15" s="1115"/>
      <c r="ATV15" s="1115"/>
      <c r="ATW15" s="1115"/>
      <c r="ATX15" s="1115"/>
      <c r="ATY15" s="1115"/>
      <c r="ATZ15" s="1115"/>
      <c r="AUA15" s="1115"/>
      <c r="AUB15" s="1115"/>
      <c r="AUC15" s="1115"/>
      <c r="AUD15" s="1115"/>
      <c r="AUE15" s="1115"/>
      <c r="AUF15" s="1115"/>
      <c r="AUG15" s="1115"/>
      <c r="AUH15" s="1115"/>
      <c r="AUI15" s="1115"/>
      <c r="AUJ15" s="1115"/>
      <c r="AUK15" s="1115"/>
      <c r="AUL15" s="1115"/>
      <c r="AUM15" s="1115"/>
      <c r="AUN15" s="1115"/>
      <c r="AUO15" s="1115"/>
      <c r="AUP15" s="1115"/>
      <c r="AUQ15" s="1115"/>
      <c r="AUR15" s="1115"/>
      <c r="AUS15" s="1115"/>
      <c r="AUT15" s="1115"/>
      <c r="AUU15" s="1115"/>
      <c r="AUV15" s="1115"/>
      <c r="AUW15" s="1115"/>
      <c r="AUX15" s="1115"/>
      <c r="AUY15" s="1115"/>
      <c r="AUZ15" s="1115"/>
      <c r="AVA15" s="1115"/>
      <c r="AVB15" s="1115"/>
      <c r="AVC15" s="1115"/>
      <c r="AVD15" s="1115"/>
      <c r="AVE15" s="1115"/>
      <c r="AVF15" s="1115"/>
      <c r="AVG15" s="1115"/>
      <c r="AVH15" s="1115"/>
      <c r="AVI15" s="1115"/>
      <c r="AVJ15" s="1115"/>
      <c r="AVK15" s="1115"/>
      <c r="AVL15" s="1115"/>
      <c r="AVM15" s="1115"/>
      <c r="AVN15" s="1115"/>
      <c r="AVO15" s="1115"/>
      <c r="AVP15" s="1115"/>
      <c r="AVQ15" s="1115"/>
      <c r="AVR15" s="1115"/>
      <c r="AVS15" s="1115"/>
      <c r="AVT15" s="1115"/>
      <c r="AVU15" s="1115"/>
      <c r="AVV15" s="1115"/>
      <c r="AVW15" s="1115"/>
      <c r="AVX15" s="1115"/>
      <c r="AVY15" s="1115"/>
      <c r="AVZ15" s="1115"/>
      <c r="AWA15" s="1115"/>
      <c r="AWB15" s="1115"/>
      <c r="AWC15" s="1115"/>
      <c r="AWD15" s="1115"/>
      <c r="AWE15" s="1115"/>
      <c r="AWF15" s="1115"/>
      <c r="AWG15" s="1115"/>
      <c r="AWH15" s="1115"/>
      <c r="AWI15" s="1115"/>
      <c r="AWJ15" s="1115"/>
      <c r="AWK15" s="1115"/>
      <c r="AWL15" s="1115"/>
      <c r="AWM15" s="1115"/>
      <c r="AWN15" s="1115"/>
      <c r="AWO15" s="1115"/>
      <c r="AWP15" s="1115"/>
      <c r="AWQ15" s="1115"/>
      <c r="AWR15" s="1115"/>
      <c r="AWS15" s="1115"/>
      <c r="AWT15" s="1115"/>
      <c r="AWU15" s="1115"/>
      <c r="AWV15" s="1115"/>
      <c r="AWW15" s="1115"/>
      <c r="AWX15" s="1115"/>
      <c r="AWY15" s="1115"/>
      <c r="AWZ15" s="1115"/>
      <c r="AXA15" s="1115"/>
      <c r="AXB15" s="1115"/>
      <c r="AXC15" s="1115"/>
      <c r="AXD15" s="1115"/>
      <c r="AXE15" s="1115"/>
      <c r="AXF15" s="1115"/>
      <c r="AXG15" s="1115"/>
      <c r="AXH15" s="1115"/>
      <c r="AXI15" s="1115"/>
      <c r="AXJ15" s="1115"/>
      <c r="AXK15" s="1115"/>
      <c r="AXL15" s="1115"/>
      <c r="AXM15" s="1115"/>
      <c r="AXN15" s="1115"/>
      <c r="AXO15" s="1115"/>
      <c r="AXP15" s="1115"/>
      <c r="AXQ15" s="1115"/>
      <c r="AXR15" s="1115"/>
      <c r="AXS15" s="1115"/>
      <c r="AXT15" s="1115"/>
      <c r="AXU15" s="1115"/>
      <c r="AXV15" s="1115"/>
      <c r="AXW15" s="1115"/>
      <c r="AXX15" s="1115"/>
      <c r="AXY15" s="1115"/>
      <c r="AXZ15" s="1115"/>
      <c r="AYA15" s="1115"/>
      <c r="AYB15" s="1115"/>
      <c r="AYC15" s="1115"/>
      <c r="AYD15" s="1115"/>
      <c r="AYE15" s="1115"/>
      <c r="AYF15" s="1115"/>
      <c r="AYG15" s="1115"/>
      <c r="AYH15" s="1115"/>
      <c r="AYI15" s="1115"/>
      <c r="AYJ15" s="1115"/>
      <c r="AYK15" s="1115"/>
      <c r="AYL15" s="1115"/>
      <c r="AYM15" s="1115"/>
      <c r="AYN15" s="1115"/>
      <c r="AYO15" s="1115"/>
      <c r="AYP15" s="1115"/>
      <c r="AYQ15" s="1115"/>
      <c r="AYR15" s="1115"/>
      <c r="AYS15" s="1115"/>
      <c r="AYT15" s="1115"/>
      <c r="AYU15" s="1115"/>
      <c r="AYV15" s="1115"/>
      <c r="AYW15" s="1115"/>
      <c r="AYX15" s="1115"/>
      <c r="AYY15" s="1115"/>
      <c r="AYZ15" s="1115"/>
      <c r="AZA15" s="1115"/>
      <c r="AZB15" s="1115"/>
      <c r="AZC15" s="1115"/>
      <c r="AZD15" s="1115"/>
      <c r="AZE15" s="1115"/>
      <c r="AZF15" s="1115"/>
      <c r="AZG15" s="1115"/>
      <c r="AZH15" s="1115"/>
      <c r="AZI15" s="1115"/>
      <c r="AZJ15" s="1115"/>
      <c r="AZK15" s="1115"/>
      <c r="AZL15" s="1115"/>
      <c r="AZM15" s="1115"/>
      <c r="AZN15" s="1115"/>
      <c r="AZO15" s="1115"/>
      <c r="AZP15" s="1115"/>
      <c r="AZQ15" s="1115"/>
      <c r="AZR15" s="1115"/>
      <c r="AZS15" s="1115"/>
      <c r="AZT15" s="1115"/>
      <c r="AZU15" s="1115"/>
      <c r="AZV15" s="1115"/>
      <c r="AZW15" s="1115"/>
      <c r="AZX15" s="1115"/>
      <c r="AZY15" s="1115"/>
      <c r="AZZ15" s="1115"/>
      <c r="BAA15" s="1115"/>
      <c r="BAB15" s="1115"/>
      <c r="BAC15" s="1115"/>
      <c r="BAD15" s="1115"/>
      <c r="BAE15" s="1115"/>
      <c r="BAF15" s="1115"/>
      <c r="BAG15" s="1115"/>
      <c r="BAH15" s="1115"/>
      <c r="BAI15" s="1115"/>
      <c r="BAJ15" s="1115"/>
      <c r="BAK15" s="1115"/>
      <c r="BAL15" s="1115"/>
      <c r="BAM15" s="1115"/>
      <c r="BAN15" s="1115"/>
      <c r="BAO15" s="1115"/>
      <c r="BAP15" s="1115"/>
      <c r="BAQ15" s="1115"/>
      <c r="BAR15" s="1115"/>
      <c r="BAS15" s="1115"/>
      <c r="BAT15" s="1115"/>
      <c r="BAU15" s="1115"/>
      <c r="BAV15" s="1115"/>
      <c r="BAW15" s="1115"/>
      <c r="BAX15" s="1115"/>
      <c r="BAY15" s="1115"/>
      <c r="BAZ15" s="1115"/>
      <c r="BBA15" s="1115"/>
      <c r="BBB15" s="1115"/>
      <c r="BBC15" s="1115"/>
      <c r="BBD15" s="1115"/>
      <c r="BBE15" s="1115"/>
      <c r="BBF15" s="1115"/>
      <c r="BBG15" s="1115"/>
      <c r="BBH15" s="1115"/>
      <c r="BBI15" s="1115"/>
      <c r="BBJ15" s="1115"/>
      <c r="BBK15" s="1115"/>
      <c r="BBL15" s="1115"/>
      <c r="BBM15" s="1115"/>
      <c r="BBN15" s="1115"/>
      <c r="BBO15" s="1115"/>
      <c r="BBP15" s="1115"/>
      <c r="BBQ15" s="1115"/>
      <c r="BBR15" s="1115"/>
      <c r="BBS15" s="1115"/>
      <c r="BBT15" s="1115"/>
      <c r="BBU15" s="1115"/>
      <c r="BBV15" s="1115"/>
      <c r="BBW15" s="1115"/>
      <c r="BBX15" s="1115"/>
      <c r="BBY15" s="1115"/>
      <c r="BBZ15" s="1115"/>
      <c r="BCA15" s="1115"/>
      <c r="BCB15" s="1115"/>
      <c r="BCC15" s="1115"/>
      <c r="BCD15" s="1115"/>
      <c r="BCE15" s="1115"/>
      <c r="BCF15" s="1115"/>
      <c r="BCG15" s="1115"/>
      <c r="BCH15" s="1115"/>
      <c r="BCI15" s="1115"/>
      <c r="BCJ15" s="1115"/>
      <c r="BCK15" s="1115"/>
      <c r="BCL15" s="1115"/>
      <c r="BCM15" s="1115"/>
      <c r="BCN15" s="1115"/>
      <c r="BCO15" s="1115"/>
      <c r="BCP15" s="1115"/>
      <c r="BCQ15" s="1115"/>
      <c r="BCR15" s="1115"/>
      <c r="BCS15" s="1115"/>
      <c r="BCT15" s="1115"/>
      <c r="BCU15" s="1115"/>
      <c r="BCV15" s="1115"/>
      <c r="BCW15" s="1115"/>
      <c r="BCX15" s="1115"/>
      <c r="BCY15" s="1115"/>
      <c r="BCZ15" s="1115"/>
      <c r="BDA15" s="1115"/>
      <c r="BDB15" s="1115"/>
      <c r="BDC15" s="1115"/>
      <c r="BDD15" s="1115"/>
      <c r="BDE15" s="1115"/>
      <c r="BDF15" s="1115"/>
      <c r="BDG15" s="1115"/>
      <c r="BDH15" s="1115"/>
      <c r="BDI15" s="1115"/>
      <c r="BDJ15" s="1115"/>
      <c r="BDK15" s="1115"/>
      <c r="BDL15" s="1115"/>
      <c r="BDM15" s="1115"/>
      <c r="BDN15" s="1115"/>
      <c r="BDO15" s="1115"/>
      <c r="BDP15" s="1115"/>
      <c r="BDQ15" s="1115"/>
      <c r="BDR15" s="1115"/>
      <c r="BDS15" s="1115"/>
      <c r="BDT15" s="1115"/>
      <c r="BDU15" s="1115"/>
      <c r="BDV15" s="1115"/>
      <c r="BDW15" s="1115"/>
      <c r="BDX15" s="1115"/>
      <c r="BDY15" s="1115"/>
      <c r="BDZ15" s="1115"/>
      <c r="BEA15" s="1115"/>
      <c r="BEB15" s="1115"/>
      <c r="BEC15" s="1115"/>
      <c r="BED15" s="1115"/>
      <c r="BEE15" s="1115"/>
      <c r="BEF15" s="1115"/>
      <c r="BEG15" s="1115"/>
      <c r="BEH15" s="1115"/>
      <c r="BEI15" s="1115"/>
      <c r="BEJ15" s="1115"/>
      <c r="BEK15" s="1115"/>
      <c r="BEL15" s="1115"/>
      <c r="BEM15" s="1115"/>
      <c r="BEN15" s="1115"/>
      <c r="BEO15" s="1115"/>
      <c r="BEP15" s="1115"/>
      <c r="BEQ15" s="1115"/>
      <c r="BER15" s="1115"/>
      <c r="BES15" s="1115"/>
      <c r="BET15" s="1115"/>
      <c r="BEU15" s="1115"/>
      <c r="BEV15" s="1115"/>
      <c r="BEW15" s="1115"/>
      <c r="BEX15" s="1115"/>
      <c r="BEY15" s="1115"/>
      <c r="BEZ15" s="1115"/>
      <c r="BFA15" s="1115"/>
      <c r="BFB15" s="1115"/>
      <c r="BFC15" s="1115"/>
      <c r="BFD15" s="1115"/>
      <c r="BFE15" s="1115"/>
      <c r="BFF15" s="1115"/>
      <c r="BFG15" s="1115"/>
      <c r="BFH15" s="1115"/>
      <c r="BFI15" s="1115"/>
      <c r="BFJ15" s="1115"/>
      <c r="BFK15" s="1115"/>
      <c r="BFL15" s="1115"/>
      <c r="BFM15" s="1115"/>
      <c r="BFN15" s="1115"/>
      <c r="BFO15" s="1115"/>
      <c r="BFP15" s="1115"/>
      <c r="BFQ15" s="1115"/>
      <c r="BFR15" s="1115"/>
      <c r="BFS15" s="1115"/>
      <c r="BFT15" s="1115"/>
      <c r="BFU15" s="1115"/>
      <c r="BFV15" s="1115"/>
      <c r="BFW15" s="1115"/>
      <c r="BFX15" s="1115"/>
      <c r="BFY15" s="1115"/>
      <c r="BFZ15" s="1115"/>
      <c r="BGA15" s="1115"/>
      <c r="BGB15" s="1115"/>
      <c r="BGC15" s="1115"/>
      <c r="BGD15" s="1115"/>
      <c r="BGE15" s="1115"/>
      <c r="BGF15" s="1115"/>
      <c r="BGG15" s="1115"/>
      <c r="BGH15" s="1115"/>
      <c r="BGI15" s="1115"/>
      <c r="BGJ15" s="1115"/>
      <c r="BGK15" s="1115"/>
      <c r="BGL15" s="1115"/>
      <c r="BGM15" s="1115"/>
      <c r="BGN15" s="1115"/>
      <c r="BGO15" s="1115"/>
      <c r="BGP15" s="1115"/>
      <c r="BGQ15" s="1115"/>
      <c r="BGR15" s="1115"/>
      <c r="BGS15" s="1115"/>
      <c r="BGT15" s="1115"/>
      <c r="BGU15" s="1115"/>
      <c r="BGV15" s="1115"/>
      <c r="BGW15" s="1115"/>
      <c r="BGX15" s="1115"/>
      <c r="BGY15" s="1115"/>
      <c r="BGZ15" s="1115"/>
      <c r="BHA15" s="1115"/>
      <c r="BHB15" s="1115"/>
      <c r="BHC15" s="1115"/>
      <c r="BHD15" s="1115"/>
      <c r="BHE15" s="1115"/>
      <c r="BHF15" s="1115"/>
      <c r="BHG15" s="1115"/>
      <c r="BHH15" s="1115"/>
      <c r="BHI15" s="1115"/>
      <c r="BHJ15" s="1115"/>
      <c r="BHK15" s="1115"/>
      <c r="BHL15" s="1115"/>
      <c r="BHM15" s="1115"/>
      <c r="BHN15" s="1115"/>
      <c r="BHO15" s="1115"/>
      <c r="BHP15" s="1115"/>
      <c r="BHQ15" s="1115"/>
      <c r="BHR15" s="1115"/>
      <c r="BHS15" s="1115"/>
      <c r="BHT15" s="1115"/>
      <c r="BHU15" s="1115"/>
      <c r="BHV15" s="1115"/>
      <c r="BHW15" s="1115"/>
      <c r="BHX15" s="1115"/>
      <c r="BHY15" s="1115"/>
      <c r="BHZ15" s="1115"/>
      <c r="BIA15" s="1115"/>
      <c r="BIB15" s="1115"/>
      <c r="BIC15" s="1115"/>
      <c r="BID15" s="1115"/>
      <c r="BIE15" s="1115"/>
      <c r="BIF15" s="1115"/>
      <c r="BIG15" s="1115"/>
      <c r="BIH15" s="1115"/>
      <c r="BII15" s="1115"/>
      <c r="BIJ15" s="1115"/>
      <c r="BIK15" s="1115"/>
      <c r="BIL15" s="1115"/>
      <c r="BIM15" s="1115"/>
      <c r="BIN15" s="1115"/>
      <c r="BIO15" s="1115"/>
      <c r="BIP15" s="1115"/>
      <c r="BIQ15" s="1115"/>
      <c r="BIR15" s="1115"/>
      <c r="BIS15" s="1115"/>
      <c r="BIT15" s="1115"/>
      <c r="BIU15" s="1115"/>
      <c r="BIV15" s="1115"/>
      <c r="BIW15" s="1115"/>
      <c r="BIX15" s="1115"/>
      <c r="BIY15" s="1115"/>
      <c r="BIZ15" s="1115"/>
      <c r="BJA15" s="1115"/>
      <c r="BJB15" s="1115"/>
      <c r="BJC15" s="1115"/>
      <c r="BJD15" s="1115"/>
      <c r="BJE15" s="1115"/>
      <c r="BJF15" s="1115"/>
      <c r="BJG15" s="1115"/>
      <c r="BJH15" s="1115"/>
      <c r="BJI15" s="1115"/>
      <c r="BJJ15" s="1115"/>
      <c r="BJK15" s="1115"/>
      <c r="BJL15" s="1115"/>
      <c r="BJM15" s="1115"/>
      <c r="BJN15" s="1115"/>
      <c r="BJO15" s="1115"/>
      <c r="BJP15" s="1115"/>
      <c r="BJQ15" s="1115"/>
      <c r="BJR15" s="1115"/>
      <c r="BJS15" s="1115"/>
      <c r="BJT15" s="1115"/>
      <c r="BJU15" s="1115"/>
      <c r="BJV15" s="1115"/>
      <c r="BJW15" s="1115"/>
      <c r="BJX15" s="1115"/>
      <c r="BJY15" s="1115"/>
      <c r="BJZ15" s="1115"/>
      <c r="BKA15" s="1115"/>
      <c r="BKB15" s="1115"/>
      <c r="BKC15" s="1115"/>
      <c r="BKD15" s="1115"/>
      <c r="BKE15" s="1115"/>
      <c r="BKF15" s="1115"/>
      <c r="BKG15" s="1115"/>
      <c r="BKH15" s="1115"/>
      <c r="BKI15" s="1115"/>
      <c r="BKJ15" s="1115"/>
      <c r="BKK15" s="1115"/>
      <c r="BKL15" s="1115"/>
      <c r="BKM15" s="1115"/>
      <c r="BKN15" s="1115"/>
      <c r="BKO15" s="1115"/>
      <c r="BKP15" s="1115"/>
      <c r="BKQ15" s="1115"/>
      <c r="BKR15" s="1115"/>
      <c r="BKS15" s="1115"/>
      <c r="BKT15" s="1115"/>
      <c r="BKU15" s="1115"/>
      <c r="BKV15" s="1115"/>
      <c r="BKW15" s="1115"/>
      <c r="BKX15" s="1115"/>
      <c r="BKY15" s="1115"/>
      <c r="BKZ15" s="1115"/>
      <c r="BLA15" s="1115"/>
      <c r="BLB15" s="1115"/>
      <c r="BLC15" s="1115"/>
      <c r="BLD15" s="1115"/>
      <c r="BLE15" s="1115"/>
      <c r="BLF15" s="1115"/>
      <c r="BLG15" s="1115"/>
      <c r="BLH15" s="1115"/>
      <c r="BLI15" s="1115"/>
      <c r="BLJ15" s="1115"/>
      <c r="BLK15" s="1115"/>
      <c r="BLL15" s="1115"/>
      <c r="BLM15" s="1115"/>
      <c r="BLN15" s="1115"/>
      <c r="BLO15" s="1115"/>
      <c r="BLP15" s="1115"/>
      <c r="BLQ15" s="1115"/>
      <c r="BLR15" s="1115"/>
      <c r="BLS15" s="1115"/>
      <c r="BLT15" s="1115"/>
      <c r="BLU15" s="1115"/>
      <c r="BLV15" s="1115"/>
      <c r="BLW15" s="1115"/>
      <c r="BLX15" s="1115"/>
      <c r="BLY15" s="1115"/>
      <c r="BLZ15" s="1115"/>
      <c r="BMA15" s="1115"/>
      <c r="BMB15" s="1115"/>
      <c r="BMC15" s="1115"/>
      <c r="BMD15" s="1115"/>
      <c r="BME15" s="1115"/>
      <c r="BMF15" s="1115"/>
      <c r="BMG15" s="1115"/>
      <c r="BMH15" s="1115"/>
      <c r="BMI15" s="1115"/>
      <c r="BMJ15" s="1115"/>
      <c r="BMK15" s="1115"/>
      <c r="BML15" s="1115"/>
      <c r="BMM15" s="1115"/>
      <c r="BMN15" s="1115"/>
      <c r="BMO15" s="1115"/>
      <c r="BMP15" s="1115"/>
      <c r="BMQ15" s="1115"/>
      <c r="BMR15" s="1115"/>
      <c r="BMS15" s="1115"/>
      <c r="BMT15" s="1115"/>
      <c r="BMU15" s="1115"/>
      <c r="BMV15" s="1115"/>
      <c r="BMW15" s="1115"/>
      <c r="BMX15" s="1115"/>
      <c r="BMY15" s="1115"/>
      <c r="BMZ15" s="1115"/>
      <c r="BNA15" s="1115"/>
      <c r="BNB15" s="1115"/>
      <c r="BNC15" s="1115"/>
      <c r="BND15" s="1115"/>
      <c r="BNE15" s="1115"/>
      <c r="BNF15" s="1115"/>
      <c r="BNG15" s="1115"/>
      <c r="BNH15" s="1115"/>
      <c r="BNI15" s="1115"/>
      <c r="BNJ15" s="1115"/>
      <c r="BNK15" s="1115"/>
      <c r="BNL15" s="1115"/>
      <c r="BNM15" s="1115"/>
      <c r="BNN15" s="1115"/>
      <c r="BNO15" s="1115"/>
      <c r="BNP15" s="1115"/>
      <c r="BNQ15" s="1115"/>
      <c r="BNR15" s="1115"/>
      <c r="BNS15" s="1115"/>
      <c r="BNT15" s="1115"/>
      <c r="BNU15" s="1115"/>
      <c r="BNV15" s="1115"/>
      <c r="BNW15" s="1115"/>
      <c r="BNX15" s="1115"/>
      <c r="BNY15" s="1115"/>
      <c r="BNZ15" s="1115"/>
      <c r="BOA15" s="1115"/>
      <c r="BOB15" s="1115"/>
      <c r="BOC15" s="1115"/>
      <c r="BOD15" s="1115"/>
      <c r="BOE15" s="1115"/>
      <c r="BOF15" s="1115"/>
      <c r="BOG15" s="1115"/>
      <c r="BOH15" s="1115"/>
      <c r="BOI15" s="1115"/>
      <c r="BOJ15" s="1115"/>
      <c r="BOK15" s="1115"/>
      <c r="BOL15" s="1115"/>
      <c r="BOM15" s="1115"/>
      <c r="BON15" s="1115"/>
      <c r="BOO15" s="1115"/>
      <c r="BOP15" s="1115"/>
      <c r="BOQ15" s="1115"/>
      <c r="BOR15" s="1115"/>
      <c r="BOS15" s="1115"/>
      <c r="BOT15" s="1115"/>
      <c r="BOU15" s="1115"/>
      <c r="BOV15" s="1115"/>
      <c r="BOW15" s="1115"/>
      <c r="BOX15" s="1115"/>
      <c r="BOY15" s="1115"/>
      <c r="BOZ15" s="1115"/>
      <c r="BPA15" s="1115"/>
      <c r="BPB15" s="1115"/>
      <c r="BPC15" s="1115"/>
      <c r="BPD15" s="1115"/>
      <c r="BPE15" s="1115"/>
      <c r="BPF15" s="1115"/>
      <c r="BPG15" s="1115"/>
      <c r="BPH15" s="1115"/>
      <c r="BPI15" s="1115"/>
      <c r="BPJ15" s="1115"/>
      <c r="BPK15" s="1115"/>
      <c r="BPL15" s="1115"/>
      <c r="BPM15" s="1115"/>
      <c r="BPN15" s="1115"/>
      <c r="BPO15" s="1115"/>
      <c r="BPP15" s="1115"/>
      <c r="BPQ15" s="1115"/>
      <c r="BPR15" s="1115"/>
      <c r="BPS15" s="1115"/>
      <c r="BPT15" s="1115"/>
      <c r="BPU15" s="1115"/>
      <c r="BPV15" s="1115"/>
      <c r="BPW15" s="1115"/>
      <c r="BPX15" s="1115"/>
      <c r="BPY15" s="1115"/>
      <c r="BPZ15" s="1115"/>
      <c r="BQA15" s="1115"/>
      <c r="BQB15" s="1115"/>
      <c r="BQC15" s="1115"/>
      <c r="BQD15" s="1115"/>
      <c r="BQE15" s="1115"/>
      <c r="BQF15" s="1115"/>
      <c r="BQG15" s="1115"/>
      <c r="BQH15" s="1115"/>
      <c r="BQI15" s="1115"/>
      <c r="BQJ15" s="1115"/>
      <c r="BQK15" s="1115"/>
      <c r="BQL15" s="1115"/>
      <c r="BQM15" s="1115"/>
      <c r="BQN15" s="1115"/>
      <c r="BQO15" s="1115"/>
      <c r="BQP15" s="1115"/>
      <c r="BQQ15" s="1115"/>
      <c r="BQR15" s="1115"/>
      <c r="BQS15" s="1115"/>
      <c r="BQT15" s="1115"/>
      <c r="BQU15" s="1115"/>
      <c r="BQV15" s="1115"/>
      <c r="BQW15" s="1115"/>
      <c r="BQX15" s="1115"/>
      <c r="BQY15" s="1115"/>
      <c r="BQZ15" s="1115"/>
      <c r="BRA15" s="1115"/>
      <c r="BRB15" s="1115"/>
      <c r="BRC15" s="1115"/>
      <c r="BRD15" s="1115"/>
      <c r="BRE15" s="1115"/>
      <c r="BRF15" s="1115"/>
      <c r="BRG15" s="1115"/>
      <c r="BRH15" s="1115"/>
      <c r="BRI15" s="1115"/>
      <c r="BRJ15" s="1115"/>
      <c r="BRK15" s="1115"/>
      <c r="BRL15" s="1115"/>
      <c r="BRM15" s="1115"/>
      <c r="BRN15" s="1115"/>
      <c r="BRO15" s="1115"/>
      <c r="BRP15" s="1115"/>
      <c r="BRQ15" s="1115"/>
      <c r="BRR15" s="1115"/>
      <c r="BRS15" s="1115"/>
      <c r="BRT15" s="1115"/>
      <c r="BRU15" s="1115"/>
      <c r="BRV15" s="1115"/>
      <c r="BRW15" s="1115"/>
      <c r="BRX15" s="1115"/>
      <c r="BRY15" s="1115"/>
      <c r="BRZ15" s="1115"/>
      <c r="BSA15" s="1115"/>
      <c r="BSB15" s="1115"/>
      <c r="BSC15" s="1115"/>
      <c r="BSD15" s="1115"/>
      <c r="BSE15" s="1115"/>
      <c r="BSF15" s="1115"/>
      <c r="BSG15" s="1115"/>
      <c r="BSH15" s="1115"/>
      <c r="BSI15" s="1115"/>
      <c r="BSJ15" s="1115"/>
      <c r="BSK15" s="1115"/>
      <c r="BSL15" s="1115"/>
      <c r="BSM15" s="1115"/>
      <c r="BSN15" s="1115"/>
      <c r="BSO15" s="1115"/>
      <c r="BSP15" s="1115"/>
      <c r="BSQ15" s="1115"/>
      <c r="BSR15" s="1115"/>
      <c r="BSS15" s="1115"/>
      <c r="BST15" s="1115"/>
      <c r="BSU15" s="1115"/>
      <c r="BSV15" s="1115"/>
      <c r="BSW15" s="1115"/>
      <c r="BSX15" s="1115"/>
      <c r="BSY15" s="1115"/>
      <c r="BSZ15" s="1115"/>
      <c r="BTA15" s="1115"/>
      <c r="BTB15" s="1115"/>
      <c r="BTC15" s="1115"/>
      <c r="BTD15" s="1115"/>
      <c r="BTE15" s="1115"/>
      <c r="BTF15" s="1115"/>
      <c r="BTG15" s="1115"/>
      <c r="BTH15" s="1115"/>
      <c r="BTI15" s="1115"/>
      <c r="BTJ15" s="1115"/>
      <c r="BTK15" s="1115"/>
      <c r="BTL15" s="1115"/>
      <c r="BTM15" s="1115"/>
      <c r="BTN15" s="1115"/>
      <c r="BTO15" s="1115"/>
      <c r="BTP15" s="1115"/>
      <c r="BTQ15" s="1115"/>
      <c r="BTR15" s="1115"/>
      <c r="BTS15" s="1115"/>
      <c r="BTT15" s="1115"/>
      <c r="BTU15" s="1115"/>
      <c r="BTV15" s="1115"/>
      <c r="BTW15" s="1115"/>
      <c r="BTX15" s="1115"/>
      <c r="BTY15" s="1115"/>
      <c r="BTZ15" s="1115"/>
      <c r="BUA15" s="1115"/>
      <c r="BUB15" s="1115"/>
      <c r="BUC15" s="1115"/>
      <c r="BUD15" s="1115"/>
      <c r="BUE15" s="1115"/>
      <c r="BUF15" s="1115"/>
      <c r="BUG15" s="1115"/>
      <c r="BUH15" s="1115"/>
      <c r="BUI15" s="1115"/>
      <c r="BUJ15" s="1115"/>
      <c r="BUK15" s="1115"/>
      <c r="BUL15" s="1115"/>
      <c r="BUM15" s="1115"/>
      <c r="BUN15" s="1115"/>
      <c r="BUO15" s="1115"/>
      <c r="BUP15" s="1115"/>
      <c r="BUQ15" s="1115"/>
      <c r="BUR15" s="1115"/>
      <c r="BUS15" s="1115"/>
      <c r="BUT15" s="1115"/>
      <c r="BUU15" s="1115"/>
      <c r="BUV15" s="1115"/>
      <c r="BUW15" s="1115"/>
      <c r="BUX15" s="1115"/>
      <c r="BUY15" s="1115"/>
      <c r="BUZ15" s="1115"/>
      <c r="BVA15" s="1115"/>
      <c r="BVB15" s="1115"/>
      <c r="BVC15" s="1115"/>
      <c r="BVD15" s="1115"/>
      <c r="BVE15" s="1115"/>
      <c r="BVF15" s="1115"/>
      <c r="BVG15" s="1115"/>
      <c r="BVH15" s="1115"/>
      <c r="BVI15" s="1115"/>
      <c r="BVJ15" s="1115"/>
      <c r="BVK15" s="1115"/>
      <c r="BVL15" s="1115"/>
      <c r="BVM15" s="1115"/>
      <c r="BVN15" s="1115"/>
      <c r="BVO15" s="1115"/>
      <c r="BVP15" s="1115"/>
      <c r="BVQ15" s="1115"/>
      <c r="BVR15" s="1115"/>
      <c r="BVS15" s="1115"/>
      <c r="BVT15" s="1115"/>
      <c r="BVU15" s="1115"/>
      <c r="BVV15" s="1115"/>
      <c r="BVW15" s="1115"/>
      <c r="BVX15" s="1115"/>
      <c r="BVY15" s="1115"/>
      <c r="BVZ15" s="1115"/>
      <c r="BWA15" s="1115"/>
      <c r="BWB15" s="1115"/>
      <c r="BWC15" s="1115"/>
      <c r="BWD15" s="1115"/>
      <c r="BWE15" s="1115"/>
      <c r="BWF15" s="1115"/>
      <c r="BWG15" s="1115"/>
      <c r="BWH15" s="1115"/>
      <c r="BWI15" s="1115"/>
      <c r="BWJ15" s="1115"/>
      <c r="BWK15" s="1115"/>
      <c r="BWL15" s="1115"/>
      <c r="BWM15" s="1115"/>
      <c r="BWN15" s="1115"/>
      <c r="BWO15" s="1115"/>
      <c r="BWP15" s="1115"/>
      <c r="BWQ15" s="1115"/>
      <c r="BWR15" s="1115"/>
      <c r="BWS15" s="1115"/>
      <c r="BWT15" s="1115"/>
      <c r="BWU15" s="1115"/>
      <c r="BWV15" s="1115"/>
      <c r="BWW15" s="1115"/>
      <c r="BWX15" s="1115"/>
      <c r="BWY15" s="1115"/>
      <c r="BWZ15" s="1115"/>
      <c r="BXA15" s="1115"/>
      <c r="BXB15" s="1115"/>
      <c r="BXC15" s="1115"/>
      <c r="BXD15" s="1115"/>
      <c r="BXE15" s="1115"/>
      <c r="BXF15" s="1115"/>
      <c r="BXG15" s="1115"/>
      <c r="BXH15" s="1115"/>
      <c r="BXI15" s="1115"/>
      <c r="BXJ15" s="1115"/>
      <c r="BXK15" s="1115"/>
      <c r="BXL15" s="1115"/>
      <c r="BXM15" s="1115"/>
      <c r="BXN15" s="1115"/>
      <c r="BXO15" s="1115"/>
      <c r="BXP15" s="1115"/>
      <c r="BXQ15" s="1115"/>
      <c r="BXR15" s="1115"/>
      <c r="BXS15" s="1115"/>
      <c r="BXT15" s="1115"/>
      <c r="BXU15" s="1115"/>
      <c r="BXV15" s="1115"/>
      <c r="BXW15" s="1115"/>
      <c r="BXX15" s="1115"/>
      <c r="BXY15" s="1115"/>
      <c r="BXZ15" s="1115"/>
      <c r="BYA15" s="1115"/>
      <c r="BYB15" s="1115"/>
      <c r="BYC15" s="1115"/>
      <c r="BYD15" s="1115"/>
      <c r="BYE15" s="1115"/>
      <c r="BYF15" s="1115"/>
      <c r="BYG15" s="1115"/>
      <c r="BYH15" s="1115"/>
      <c r="BYI15" s="1115"/>
      <c r="BYJ15" s="1115"/>
      <c r="BYK15" s="1115"/>
      <c r="BYL15" s="1115"/>
      <c r="BYM15" s="1115"/>
      <c r="BYN15" s="1115"/>
      <c r="BYO15" s="1115"/>
      <c r="BYP15" s="1115"/>
      <c r="BYQ15" s="1115"/>
      <c r="BYR15" s="1115"/>
      <c r="BYS15" s="1115"/>
      <c r="BYT15" s="1115"/>
      <c r="BYU15" s="1115"/>
      <c r="BYV15" s="1115"/>
      <c r="BYW15" s="1115"/>
      <c r="BYX15" s="1115"/>
      <c r="BYY15" s="1115"/>
      <c r="BYZ15" s="1115"/>
      <c r="BZA15" s="1115"/>
      <c r="BZB15" s="1115"/>
      <c r="BZC15" s="1115"/>
      <c r="BZD15" s="1115"/>
      <c r="BZE15" s="1115"/>
      <c r="BZF15" s="1115"/>
      <c r="BZG15" s="1115"/>
      <c r="BZH15" s="1115"/>
      <c r="BZI15" s="1115"/>
      <c r="BZJ15" s="1115"/>
      <c r="BZK15" s="1115"/>
      <c r="BZL15" s="1115"/>
      <c r="BZM15" s="1115"/>
      <c r="BZN15" s="1115"/>
      <c r="BZO15" s="1115"/>
      <c r="BZP15" s="1115"/>
      <c r="BZQ15" s="1115"/>
      <c r="BZR15" s="1115"/>
      <c r="BZS15" s="1115"/>
      <c r="BZT15" s="1115"/>
      <c r="BZU15" s="1115"/>
      <c r="BZV15" s="1115"/>
      <c r="BZW15" s="1115"/>
      <c r="BZX15" s="1115"/>
      <c r="BZY15" s="1115"/>
      <c r="BZZ15" s="1115"/>
      <c r="CAA15" s="1115"/>
      <c r="CAB15" s="1115"/>
      <c r="CAC15" s="1115"/>
      <c r="CAD15" s="1115"/>
      <c r="CAE15" s="1115"/>
      <c r="CAF15" s="1115"/>
      <c r="CAG15" s="1115"/>
      <c r="CAH15" s="1115"/>
      <c r="CAI15" s="1115"/>
      <c r="CAJ15" s="1115"/>
      <c r="CAK15" s="1115"/>
      <c r="CAL15" s="1115"/>
      <c r="CAM15" s="1115"/>
      <c r="CAN15" s="1115"/>
      <c r="CAO15" s="1115"/>
      <c r="CAP15" s="1115"/>
      <c r="CAQ15" s="1115"/>
      <c r="CAR15" s="1115"/>
      <c r="CAS15" s="1115"/>
      <c r="CAT15" s="1115"/>
      <c r="CAU15" s="1115"/>
      <c r="CAV15" s="1115"/>
      <c r="CAW15" s="1115"/>
      <c r="CAX15" s="1115"/>
      <c r="CAY15" s="1115"/>
      <c r="CAZ15" s="1115"/>
      <c r="CBA15" s="1115"/>
      <c r="CBB15" s="1115"/>
      <c r="CBC15" s="1115"/>
      <c r="CBD15" s="1115"/>
      <c r="CBE15" s="1115"/>
      <c r="CBF15" s="1115"/>
      <c r="CBG15" s="1115"/>
      <c r="CBH15" s="1115"/>
      <c r="CBI15" s="1115"/>
      <c r="CBJ15" s="1115"/>
      <c r="CBK15" s="1115"/>
      <c r="CBL15" s="1115"/>
      <c r="CBM15" s="1115"/>
      <c r="CBN15" s="1115"/>
      <c r="CBO15" s="1115"/>
      <c r="CBP15" s="1115"/>
      <c r="CBQ15" s="1115"/>
      <c r="CBR15" s="1115"/>
      <c r="CBS15" s="1115"/>
      <c r="CBT15" s="1115"/>
      <c r="CBU15" s="1115"/>
      <c r="CBV15" s="1115"/>
      <c r="CBW15" s="1115"/>
      <c r="CBX15" s="1115"/>
      <c r="CBY15" s="1115"/>
      <c r="CBZ15" s="1115"/>
      <c r="CCA15" s="1115"/>
      <c r="CCB15" s="1115"/>
      <c r="CCC15" s="1115"/>
      <c r="CCD15" s="1115"/>
      <c r="CCE15" s="1115"/>
      <c r="CCF15" s="1115"/>
      <c r="CCG15" s="1115"/>
      <c r="CCH15" s="1115"/>
      <c r="CCI15" s="1115"/>
      <c r="CCJ15" s="1115"/>
      <c r="CCK15" s="1115"/>
      <c r="CCL15" s="1115"/>
      <c r="CCM15" s="1115"/>
      <c r="CCN15" s="1115"/>
      <c r="CCO15" s="1115"/>
      <c r="CCP15" s="1115"/>
      <c r="CCQ15" s="1115"/>
      <c r="CCR15" s="1115"/>
      <c r="CCS15" s="1115"/>
      <c r="CCT15" s="1115"/>
      <c r="CCU15" s="1115"/>
      <c r="CCV15" s="1115"/>
      <c r="CCW15" s="1115"/>
      <c r="CCX15" s="1115"/>
      <c r="CCY15" s="1115"/>
      <c r="CCZ15" s="1115"/>
      <c r="CDA15" s="1115"/>
      <c r="CDB15" s="1115"/>
      <c r="CDC15" s="1115"/>
      <c r="CDD15" s="1115"/>
      <c r="CDE15" s="1115"/>
      <c r="CDF15" s="1115"/>
      <c r="CDG15" s="1115"/>
      <c r="CDH15" s="1115"/>
      <c r="CDI15" s="1115"/>
      <c r="CDJ15" s="1115"/>
      <c r="CDK15" s="1115"/>
      <c r="CDL15" s="1115"/>
      <c r="CDM15" s="1115"/>
      <c r="CDN15" s="1115"/>
      <c r="CDO15" s="1115"/>
      <c r="CDP15" s="1115"/>
      <c r="CDQ15" s="1115"/>
      <c r="CDR15" s="1115"/>
      <c r="CDS15" s="1115"/>
      <c r="CDT15" s="1115"/>
      <c r="CDU15" s="1115"/>
      <c r="CDV15" s="1115"/>
      <c r="CDW15" s="1115"/>
      <c r="CDX15" s="1115"/>
      <c r="CDY15" s="1115"/>
      <c r="CDZ15" s="1115"/>
      <c r="CEA15" s="1115"/>
      <c r="CEB15" s="1115"/>
      <c r="CEC15" s="1115"/>
      <c r="CED15" s="1115"/>
      <c r="CEE15" s="1115"/>
      <c r="CEF15" s="1115"/>
      <c r="CEG15" s="1115"/>
      <c r="CEH15" s="1115"/>
      <c r="CEI15" s="1115"/>
      <c r="CEJ15" s="1115"/>
      <c r="CEK15" s="1115"/>
      <c r="CEL15" s="1115"/>
      <c r="CEM15" s="1115"/>
      <c r="CEN15" s="1115"/>
      <c r="CEO15" s="1115"/>
      <c r="CEP15" s="1115"/>
      <c r="CEQ15" s="1115"/>
      <c r="CER15" s="1115"/>
      <c r="CES15" s="1115"/>
      <c r="CET15" s="1115"/>
      <c r="CEU15" s="1115"/>
      <c r="CEV15" s="1115"/>
      <c r="CEW15" s="1115"/>
      <c r="CEX15" s="1115"/>
      <c r="CEY15" s="1115"/>
      <c r="CEZ15" s="1115"/>
      <c r="CFA15" s="1115"/>
      <c r="CFB15" s="1115"/>
      <c r="CFC15" s="1115"/>
      <c r="CFD15" s="1115"/>
      <c r="CFE15" s="1115"/>
      <c r="CFF15" s="1115"/>
      <c r="CFG15" s="1115"/>
      <c r="CFH15" s="1115"/>
      <c r="CFI15" s="1115"/>
      <c r="CFJ15" s="1115"/>
      <c r="CFK15" s="1115"/>
      <c r="CFL15" s="1115"/>
      <c r="CFM15" s="1115"/>
      <c r="CFN15" s="1115"/>
      <c r="CFO15" s="1115"/>
      <c r="CFP15" s="1115"/>
      <c r="CFQ15" s="1115"/>
      <c r="CFR15" s="1115"/>
      <c r="CFS15" s="1115"/>
      <c r="CFT15" s="1115"/>
      <c r="CFU15" s="1115"/>
      <c r="CFV15" s="1115"/>
      <c r="CFW15" s="1115"/>
      <c r="CFX15" s="1115"/>
      <c r="CFY15" s="1115"/>
      <c r="CFZ15" s="1115"/>
      <c r="CGA15" s="1115"/>
      <c r="CGB15" s="1115"/>
      <c r="CGC15" s="1115"/>
      <c r="CGD15" s="1115"/>
      <c r="CGE15" s="1115"/>
      <c r="CGF15" s="1115"/>
      <c r="CGG15" s="1115"/>
      <c r="CGH15" s="1115"/>
      <c r="CGI15" s="1115"/>
      <c r="CGJ15" s="1115"/>
      <c r="CGK15" s="1115"/>
      <c r="CGL15" s="1115"/>
      <c r="CGM15" s="1115"/>
      <c r="CGN15" s="1115"/>
      <c r="CGO15" s="1115"/>
      <c r="CGP15" s="1115"/>
      <c r="CGQ15" s="1115"/>
      <c r="CGR15" s="1115"/>
      <c r="CGS15" s="1115"/>
      <c r="CGT15" s="1115"/>
      <c r="CGU15" s="1115"/>
      <c r="CGV15" s="1115"/>
      <c r="CGW15" s="1115"/>
      <c r="CGX15" s="1115"/>
      <c r="CGY15" s="1115"/>
      <c r="CGZ15" s="1115"/>
      <c r="CHA15" s="1115"/>
      <c r="CHB15" s="1115"/>
      <c r="CHC15" s="1115"/>
      <c r="CHD15" s="1115"/>
      <c r="CHE15" s="1115"/>
      <c r="CHF15" s="1115"/>
      <c r="CHG15" s="1115"/>
      <c r="CHH15" s="1115"/>
      <c r="CHI15" s="1115"/>
      <c r="CHJ15" s="1115"/>
      <c r="CHK15" s="1115"/>
      <c r="CHL15" s="1115"/>
      <c r="CHM15" s="1115"/>
      <c r="CHN15" s="1115"/>
      <c r="CHO15" s="1115"/>
      <c r="CHP15" s="1115"/>
      <c r="CHQ15" s="1115"/>
      <c r="CHR15" s="1115"/>
      <c r="CHS15" s="1115"/>
      <c r="CHT15" s="1115"/>
      <c r="CHU15" s="1115"/>
      <c r="CHV15" s="1115"/>
      <c r="CHW15" s="1115"/>
      <c r="CHX15" s="1115"/>
      <c r="CHY15" s="1115"/>
      <c r="CHZ15" s="1115"/>
      <c r="CIA15" s="1115"/>
      <c r="CIB15" s="1115"/>
      <c r="CIC15" s="1115"/>
      <c r="CID15" s="1115"/>
      <c r="CIE15" s="1115"/>
      <c r="CIF15" s="1115"/>
      <c r="CIG15" s="1115"/>
      <c r="CIH15" s="1115"/>
      <c r="CII15" s="1115"/>
      <c r="CIJ15" s="1115"/>
      <c r="CIK15" s="1115"/>
      <c r="CIL15" s="1115"/>
      <c r="CIM15" s="1115"/>
      <c r="CIN15" s="1115"/>
      <c r="CIO15" s="1115"/>
      <c r="CIP15" s="1115"/>
      <c r="CIQ15" s="1115"/>
      <c r="CIR15" s="1115"/>
      <c r="CIS15" s="1115"/>
      <c r="CIT15" s="1115"/>
      <c r="CIU15" s="1115"/>
      <c r="CIV15" s="1115"/>
      <c r="CIW15" s="1115"/>
      <c r="CIX15" s="1115"/>
      <c r="CIY15" s="1115"/>
      <c r="CIZ15" s="1115"/>
      <c r="CJA15" s="1115"/>
      <c r="CJB15" s="1115"/>
      <c r="CJC15" s="1115"/>
      <c r="CJD15" s="1115"/>
      <c r="CJE15" s="1115"/>
      <c r="CJF15" s="1115"/>
      <c r="CJG15" s="1115"/>
      <c r="CJH15" s="1115"/>
      <c r="CJI15" s="1115"/>
      <c r="CJJ15" s="1115"/>
      <c r="CJK15" s="1115"/>
      <c r="CJL15" s="1115"/>
      <c r="CJM15" s="1115"/>
      <c r="CJN15" s="1115"/>
      <c r="CJO15" s="1115"/>
      <c r="CJP15" s="1115"/>
      <c r="CJQ15" s="1115"/>
      <c r="CJR15" s="1115"/>
      <c r="CJS15" s="1115"/>
      <c r="CJT15" s="1115"/>
      <c r="CJU15" s="1115"/>
      <c r="CJV15" s="1115"/>
      <c r="CJW15" s="1115"/>
      <c r="CJX15" s="1115"/>
      <c r="CJY15" s="1115"/>
      <c r="CJZ15" s="1115"/>
      <c r="CKA15" s="1115"/>
      <c r="CKB15" s="1115"/>
      <c r="CKC15" s="1115"/>
      <c r="CKD15" s="1115"/>
      <c r="CKE15" s="1115"/>
      <c r="CKF15" s="1115"/>
      <c r="CKG15" s="1115"/>
      <c r="CKH15" s="1115"/>
      <c r="CKI15" s="1115"/>
      <c r="CKJ15" s="1115"/>
      <c r="CKK15" s="1115"/>
      <c r="CKL15" s="1115"/>
      <c r="CKM15" s="1115"/>
      <c r="CKN15" s="1115"/>
      <c r="CKO15" s="1115"/>
      <c r="CKP15" s="1115"/>
      <c r="CKQ15" s="1115"/>
      <c r="CKR15" s="1115"/>
      <c r="CKS15" s="1115"/>
      <c r="CKT15" s="1115"/>
      <c r="CKU15" s="1115"/>
      <c r="CKV15" s="1115"/>
      <c r="CKW15" s="1115"/>
      <c r="CKX15" s="1115"/>
      <c r="CKY15" s="1115"/>
      <c r="CKZ15" s="1115"/>
      <c r="CLA15" s="1115"/>
      <c r="CLB15" s="1115"/>
      <c r="CLC15" s="1115"/>
      <c r="CLD15" s="1115"/>
      <c r="CLE15" s="1115"/>
      <c r="CLF15" s="1115"/>
      <c r="CLG15" s="1115"/>
      <c r="CLH15" s="1115"/>
      <c r="CLI15" s="1115"/>
      <c r="CLJ15" s="1115"/>
      <c r="CLK15" s="1115"/>
      <c r="CLL15" s="1115"/>
      <c r="CLM15" s="1115"/>
      <c r="CLN15" s="1115"/>
      <c r="CLO15" s="1115"/>
      <c r="CLP15" s="1115"/>
      <c r="CLQ15" s="1115"/>
      <c r="CLR15" s="1115"/>
      <c r="CLS15" s="1115"/>
      <c r="CLT15" s="1115"/>
      <c r="CLU15" s="1115"/>
      <c r="CLV15" s="1115"/>
      <c r="CLW15" s="1115"/>
      <c r="CLX15" s="1115"/>
      <c r="CLY15" s="1115"/>
      <c r="CLZ15" s="1115"/>
      <c r="CMA15" s="1115"/>
      <c r="CMB15" s="1115"/>
      <c r="CMC15" s="1115"/>
      <c r="CMD15" s="1115"/>
      <c r="CME15" s="1115"/>
      <c r="CMF15" s="1115"/>
      <c r="CMG15" s="1115"/>
      <c r="CMH15" s="1115"/>
      <c r="CMI15" s="1115"/>
      <c r="CMJ15" s="1115"/>
      <c r="CMK15" s="1115"/>
      <c r="CML15" s="1115"/>
      <c r="CMM15" s="1115"/>
      <c r="CMN15" s="1115"/>
      <c r="CMO15" s="1115"/>
      <c r="CMP15" s="1115"/>
      <c r="CMQ15" s="1115"/>
      <c r="CMR15" s="1115"/>
      <c r="CMS15" s="1115"/>
      <c r="CMT15" s="1115"/>
      <c r="CMU15" s="1115"/>
      <c r="CMV15" s="1115"/>
      <c r="CMW15" s="1115"/>
      <c r="CMX15" s="1115"/>
      <c r="CMY15" s="1115"/>
      <c r="CMZ15" s="1115"/>
      <c r="CNA15" s="1115"/>
      <c r="CNB15" s="1115"/>
      <c r="CNC15" s="1115"/>
      <c r="CND15" s="1115"/>
      <c r="CNE15" s="1115"/>
      <c r="CNF15" s="1115"/>
      <c r="CNG15" s="1115"/>
      <c r="CNH15" s="1115"/>
      <c r="CNI15" s="1115"/>
      <c r="CNJ15" s="1115"/>
      <c r="CNK15" s="1115"/>
      <c r="CNL15" s="1115"/>
      <c r="CNM15" s="1115"/>
      <c r="CNN15" s="1115"/>
      <c r="CNO15" s="1115"/>
      <c r="CNP15" s="1115"/>
      <c r="CNQ15" s="1115"/>
      <c r="CNR15" s="1115"/>
      <c r="CNS15" s="1115"/>
      <c r="CNT15" s="1115"/>
      <c r="CNU15" s="1115"/>
      <c r="CNV15" s="1115"/>
      <c r="CNW15" s="1115"/>
      <c r="CNX15" s="1115"/>
      <c r="CNY15" s="1115"/>
      <c r="CNZ15" s="1115"/>
      <c r="COA15" s="1115"/>
      <c r="COB15" s="1115"/>
      <c r="COC15" s="1115"/>
      <c r="COD15" s="1115"/>
      <c r="COE15" s="1115"/>
      <c r="COF15" s="1115"/>
      <c r="COG15" s="1115"/>
      <c r="COH15" s="1115"/>
      <c r="COI15" s="1115"/>
      <c r="COJ15" s="1115"/>
      <c r="COK15" s="1115"/>
      <c r="COL15" s="1115"/>
      <c r="COM15" s="1115"/>
      <c r="CON15" s="1115"/>
      <c r="COO15" s="1115"/>
      <c r="COP15" s="1115"/>
      <c r="COQ15" s="1115"/>
      <c r="COR15" s="1115"/>
      <c r="COS15" s="1115"/>
      <c r="COT15" s="1115"/>
      <c r="COU15" s="1115"/>
      <c r="COV15" s="1115"/>
      <c r="COW15" s="1115"/>
      <c r="COX15" s="1115"/>
      <c r="COY15" s="1115"/>
      <c r="COZ15" s="1115"/>
      <c r="CPA15" s="1115"/>
      <c r="CPB15" s="1115"/>
      <c r="CPC15" s="1115"/>
      <c r="CPD15" s="1115"/>
      <c r="CPE15" s="1115"/>
      <c r="CPF15" s="1115"/>
      <c r="CPG15" s="1115"/>
      <c r="CPH15" s="1115"/>
      <c r="CPI15" s="1115"/>
      <c r="CPJ15" s="1115"/>
      <c r="CPK15" s="1115"/>
      <c r="CPL15" s="1115"/>
      <c r="CPM15" s="1115"/>
      <c r="CPN15" s="1115"/>
      <c r="CPO15" s="1115"/>
      <c r="CPP15" s="1115"/>
      <c r="CPQ15" s="1115"/>
      <c r="CPR15" s="1115"/>
      <c r="CPS15" s="1115"/>
      <c r="CPT15" s="1115"/>
      <c r="CPU15" s="1115"/>
      <c r="CPV15" s="1115"/>
      <c r="CPW15" s="1115"/>
      <c r="CPX15" s="1115"/>
      <c r="CPY15" s="1115"/>
      <c r="CPZ15" s="1115"/>
      <c r="CQA15" s="1115"/>
      <c r="CQB15" s="1115"/>
      <c r="CQC15" s="1115"/>
      <c r="CQD15" s="1115"/>
      <c r="CQE15" s="1115"/>
      <c r="CQF15" s="1115"/>
      <c r="CQG15" s="1115"/>
      <c r="CQH15" s="1115"/>
      <c r="CQI15" s="1115"/>
      <c r="CQJ15" s="1115"/>
      <c r="CQK15" s="1115"/>
      <c r="CQL15" s="1115"/>
      <c r="CQM15" s="1115"/>
      <c r="CQN15" s="1115"/>
      <c r="CQO15" s="1115"/>
      <c r="CQP15" s="1115"/>
      <c r="CQQ15" s="1115"/>
      <c r="CQR15" s="1115"/>
      <c r="CQS15" s="1115"/>
      <c r="CQT15" s="1115"/>
      <c r="CQU15" s="1115"/>
      <c r="CQV15" s="1115"/>
      <c r="CQW15" s="1115"/>
      <c r="CQX15" s="1115"/>
      <c r="CQY15" s="1115"/>
      <c r="CQZ15" s="1115"/>
      <c r="CRA15" s="1115"/>
      <c r="CRB15" s="1115"/>
      <c r="CRC15" s="1115"/>
      <c r="CRD15" s="1115"/>
      <c r="CRE15" s="1115"/>
      <c r="CRF15" s="1115"/>
      <c r="CRG15" s="1115"/>
      <c r="CRH15" s="1115"/>
      <c r="CRI15" s="1115"/>
      <c r="CRJ15" s="1115"/>
      <c r="CRK15" s="1115"/>
      <c r="CRL15" s="1115"/>
      <c r="CRM15" s="1115"/>
      <c r="CRN15" s="1115"/>
      <c r="CRO15" s="1115"/>
      <c r="CRP15" s="1115"/>
      <c r="CRQ15" s="1115"/>
      <c r="CRR15" s="1115"/>
      <c r="CRS15" s="1115"/>
      <c r="CRT15" s="1115"/>
      <c r="CRU15" s="1115"/>
      <c r="CRV15" s="1115"/>
      <c r="CRW15" s="1115"/>
      <c r="CRX15" s="1115"/>
      <c r="CRY15" s="1115"/>
      <c r="CRZ15" s="1115"/>
      <c r="CSA15" s="1115"/>
      <c r="CSB15" s="1115"/>
      <c r="CSC15" s="1115"/>
      <c r="CSD15" s="1115"/>
      <c r="CSE15" s="1115"/>
      <c r="CSF15" s="1115"/>
      <c r="CSG15" s="1115"/>
      <c r="CSH15" s="1115"/>
      <c r="CSI15" s="1115"/>
      <c r="CSJ15" s="1115"/>
      <c r="CSK15" s="1115"/>
      <c r="CSL15" s="1115"/>
      <c r="CSM15" s="1115"/>
      <c r="CSN15" s="1115"/>
      <c r="CSO15" s="1115"/>
      <c r="CSP15" s="1115"/>
      <c r="CSQ15" s="1115"/>
      <c r="CSR15" s="1115"/>
      <c r="CSS15" s="1115"/>
      <c r="CST15" s="1115"/>
      <c r="CSU15" s="1115"/>
      <c r="CSV15" s="1115"/>
      <c r="CSW15" s="1115"/>
      <c r="CSX15" s="1115"/>
      <c r="CSY15" s="1115"/>
      <c r="CSZ15" s="1115"/>
      <c r="CTA15" s="1115"/>
      <c r="CTB15" s="1115"/>
      <c r="CTC15" s="1115"/>
      <c r="CTD15" s="1115"/>
      <c r="CTE15" s="1115"/>
      <c r="CTF15" s="1115"/>
      <c r="CTG15" s="1115"/>
      <c r="CTH15" s="1115"/>
      <c r="CTI15" s="1115"/>
      <c r="CTJ15" s="1115"/>
      <c r="CTK15" s="1115"/>
      <c r="CTL15" s="1115"/>
      <c r="CTM15" s="1115"/>
      <c r="CTN15" s="1115"/>
      <c r="CTO15" s="1115"/>
      <c r="CTP15" s="1115"/>
      <c r="CTQ15" s="1115"/>
      <c r="CTR15" s="1115"/>
      <c r="CTS15" s="1115"/>
      <c r="CTT15" s="1115"/>
      <c r="CTU15" s="1115"/>
      <c r="CTV15" s="1115"/>
      <c r="CTW15" s="1115"/>
      <c r="CTX15" s="1115"/>
      <c r="CTY15" s="1115"/>
      <c r="CTZ15" s="1115"/>
      <c r="CUA15" s="1115"/>
      <c r="CUB15" s="1115"/>
      <c r="CUC15" s="1115"/>
      <c r="CUD15" s="1115"/>
      <c r="CUE15" s="1115"/>
      <c r="CUF15" s="1115"/>
      <c r="CUG15" s="1115"/>
      <c r="CUH15" s="1115"/>
      <c r="CUI15" s="1115"/>
      <c r="CUJ15" s="1115"/>
      <c r="CUK15" s="1115"/>
      <c r="CUL15" s="1115"/>
      <c r="CUM15" s="1115"/>
      <c r="CUN15" s="1115"/>
      <c r="CUO15" s="1115"/>
      <c r="CUP15" s="1115"/>
      <c r="CUQ15" s="1115"/>
      <c r="CUR15" s="1115"/>
      <c r="CUS15" s="1115"/>
      <c r="CUT15" s="1115"/>
      <c r="CUU15" s="1115"/>
      <c r="CUV15" s="1115"/>
      <c r="CUW15" s="1115"/>
      <c r="CUX15" s="1115"/>
      <c r="CUY15" s="1115"/>
      <c r="CUZ15" s="1115"/>
      <c r="CVA15" s="1115"/>
      <c r="CVB15" s="1115"/>
      <c r="CVC15" s="1115"/>
      <c r="CVD15" s="1115"/>
      <c r="CVE15" s="1115"/>
      <c r="CVF15" s="1115"/>
      <c r="CVG15" s="1115"/>
      <c r="CVH15" s="1115"/>
      <c r="CVI15" s="1115"/>
      <c r="CVJ15" s="1115"/>
      <c r="CVK15" s="1115"/>
      <c r="CVL15" s="1115"/>
      <c r="CVM15" s="1115"/>
      <c r="CVN15" s="1115"/>
      <c r="CVO15" s="1115"/>
      <c r="CVP15" s="1115"/>
      <c r="CVQ15" s="1115"/>
      <c r="CVR15" s="1115"/>
      <c r="CVS15" s="1115"/>
      <c r="CVT15" s="1115"/>
      <c r="CVU15" s="1115"/>
      <c r="CVV15" s="1115"/>
      <c r="CVW15" s="1115"/>
      <c r="CVX15" s="1115"/>
      <c r="CVY15" s="1115"/>
      <c r="CVZ15" s="1115"/>
      <c r="CWA15" s="1115"/>
      <c r="CWB15" s="1115"/>
      <c r="CWC15" s="1115"/>
      <c r="CWD15" s="1115"/>
      <c r="CWE15" s="1115"/>
      <c r="CWF15" s="1115"/>
      <c r="CWG15" s="1115"/>
      <c r="CWH15" s="1115"/>
      <c r="CWI15" s="1115"/>
      <c r="CWJ15" s="1115"/>
      <c r="CWK15" s="1115"/>
      <c r="CWL15" s="1115"/>
      <c r="CWM15" s="1115"/>
      <c r="CWN15" s="1115"/>
      <c r="CWO15" s="1115"/>
      <c r="CWP15" s="1115"/>
      <c r="CWQ15" s="1115"/>
      <c r="CWR15" s="1115"/>
      <c r="CWS15" s="1115"/>
      <c r="CWT15" s="1115"/>
      <c r="CWU15" s="1115"/>
      <c r="CWV15" s="1115"/>
      <c r="CWW15" s="1115"/>
      <c r="CWX15" s="1115"/>
      <c r="CWY15" s="1115"/>
      <c r="CWZ15" s="1115"/>
      <c r="CXA15" s="1115"/>
      <c r="CXB15" s="1115"/>
      <c r="CXC15" s="1115"/>
      <c r="CXD15" s="1115"/>
      <c r="CXE15" s="1115"/>
      <c r="CXF15" s="1115"/>
      <c r="CXG15" s="1115"/>
      <c r="CXH15" s="1115"/>
      <c r="CXI15" s="1115"/>
      <c r="CXJ15" s="1115"/>
      <c r="CXK15" s="1115"/>
      <c r="CXL15" s="1115"/>
      <c r="CXM15" s="1115"/>
      <c r="CXN15" s="1115"/>
      <c r="CXO15" s="1115"/>
      <c r="CXP15" s="1115"/>
      <c r="CXQ15" s="1115"/>
      <c r="CXR15" s="1115"/>
      <c r="CXS15" s="1115"/>
      <c r="CXT15" s="1115"/>
      <c r="CXU15" s="1115"/>
      <c r="CXV15" s="1115"/>
      <c r="CXW15" s="1115"/>
      <c r="CXX15" s="1115"/>
      <c r="CXY15" s="1115"/>
      <c r="CXZ15" s="1115"/>
      <c r="CYA15" s="1115"/>
      <c r="CYB15" s="1115"/>
      <c r="CYC15" s="1115"/>
      <c r="CYD15" s="1115"/>
      <c r="CYE15" s="1115"/>
      <c r="CYF15" s="1115"/>
      <c r="CYG15" s="1115"/>
      <c r="CYH15" s="1115"/>
      <c r="CYI15" s="1115"/>
      <c r="CYJ15" s="1115"/>
      <c r="CYK15" s="1115"/>
      <c r="CYL15" s="1115"/>
      <c r="CYM15" s="1115"/>
      <c r="CYN15" s="1115"/>
      <c r="CYO15" s="1115"/>
      <c r="CYP15" s="1115"/>
      <c r="CYQ15" s="1115"/>
      <c r="CYR15" s="1115"/>
      <c r="CYS15" s="1115"/>
      <c r="CYT15" s="1115"/>
      <c r="CYU15" s="1115"/>
      <c r="CYV15" s="1115"/>
      <c r="CYW15" s="1115"/>
      <c r="CYX15" s="1115"/>
      <c r="CYY15" s="1115"/>
      <c r="CYZ15" s="1115"/>
      <c r="CZA15" s="1115"/>
      <c r="CZB15" s="1115"/>
      <c r="CZC15" s="1115"/>
      <c r="CZD15" s="1115"/>
      <c r="CZE15" s="1115"/>
      <c r="CZF15" s="1115"/>
      <c r="CZG15" s="1115"/>
      <c r="CZH15" s="1115"/>
      <c r="CZI15" s="1115"/>
      <c r="CZJ15" s="1115"/>
      <c r="CZK15" s="1115"/>
      <c r="CZL15" s="1115"/>
      <c r="CZM15" s="1115"/>
      <c r="CZN15" s="1115"/>
      <c r="CZO15" s="1115"/>
      <c r="CZP15" s="1115"/>
      <c r="CZQ15" s="1115"/>
      <c r="CZR15" s="1115"/>
      <c r="CZS15" s="1115"/>
      <c r="CZT15" s="1115"/>
      <c r="CZU15" s="1115"/>
      <c r="CZV15" s="1115"/>
      <c r="CZW15" s="1115"/>
      <c r="CZX15" s="1115"/>
      <c r="CZY15" s="1115"/>
      <c r="CZZ15" s="1115"/>
      <c r="DAA15" s="1115"/>
      <c r="DAB15" s="1115"/>
      <c r="DAC15" s="1115"/>
      <c r="DAD15" s="1115"/>
      <c r="DAE15" s="1115"/>
      <c r="DAF15" s="1115"/>
      <c r="DAG15" s="1115"/>
      <c r="DAH15" s="1115"/>
      <c r="DAI15" s="1115"/>
      <c r="DAJ15" s="1115"/>
      <c r="DAK15" s="1115"/>
      <c r="DAL15" s="1115"/>
      <c r="DAM15" s="1115"/>
      <c r="DAN15" s="1115"/>
      <c r="DAO15" s="1115"/>
      <c r="DAP15" s="1115"/>
      <c r="DAQ15" s="1115"/>
      <c r="DAR15" s="1115"/>
      <c r="DAS15" s="1115"/>
      <c r="DAT15" s="1115"/>
      <c r="DAU15" s="1115"/>
      <c r="DAV15" s="1115"/>
      <c r="DAW15" s="1115"/>
      <c r="DAX15" s="1115"/>
      <c r="DAY15" s="1115"/>
      <c r="DAZ15" s="1115"/>
      <c r="DBA15" s="1115"/>
      <c r="DBB15" s="1115"/>
      <c r="DBC15" s="1115"/>
      <c r="DBD15" s="1115"/>
      <c r="DBE15" s="1115"/>
      <c r="DBF15" s="1115"/>
      <c r="DBG15" s="1115"/>
      <c r="DBH15" s="1115"/>
      <c r="DBI15" s="1115"/>
      <c r="DBJ15" s="1115"/>
      <c r="DBK15" s="1115"/>
      <c r="DBL15" s="1115"/>
      <c r="DBM15" s="1115"/>
      <c r="DBN15" s="1115"/>
      <c r="DBO15" s="1115"/>
      <c r="DBP15" s="1115"/>
      <c r="DBQ15" s="1115"/>
      <c r="DBR15" s="1115"/>
      <c r="DBS15" s="1115"/>
      <c r="DBT15" s="1115"/>
      <c r="DBU15" s="1115"/>
      <c r="DBV15" s="1115"/>
      <c r="DBW15" s="1115"/>
      <c r="DBX15" s="1115"/>
      <c r="DBY15" s="1115"/>
      <c r="DBZ15" s="1115"/>
      <c r="DCA15" s="1115"/>
      <c r="DCB15" s="1115"/>
      <c r="DCC15" s="1115"/>
      <c r="DCD15" s="1115"/>
      <c r="DCE15" s="1115"/>
      <c r="DCF15" s="1115"/>
      <c r="DCG15" s="1115"/>
      <c r="DCH15" s="1115"/>
      <c r="DCI15" s="1115"/>
      <c r="DCJ15" s="1115"/>
      <c r="DCK15" s="1115"/>
      <c r="DCL15" s="1115"/>
      <c r="DCM15" s="1115"/>
      <c r="DCN15" s="1115"/>
      <c r="DCO15" s="1115"/>
      <c r="DCP15" s="1115"/>
      <c r="DCQ15" s="1115"/>
      <c r="DCR15" s="1115"/>
      <c r="DCS15" s="1115"/>
      <c r="DCT15" s="1115"/>
      <c r="DCU15" s="1115"/>
      <c r="DCV15" s="1115"/>
      <c r="DCW15" s="1115"/>
      <c r="DCX15" s="1115"/>
      <c r="DCY15" s="1115"/>
      <c r="DCZ15" s="1115"/>
      <c r="DDA15" s="1115"/>
      <c r="DDB15" s="1115"/>
      <c r="DDC15" s="1115"/>
      <c r="DDD15" s="1115"/>
      <c r="DDE15" s="1115"/>
      <c r="DDF15" s="1115"/>
      <c r="DDG15" s="1115"/>
      <c r="DDH15" s="1115"/>
      <c r="DDI15" s="1115"/>
      <c r="DDJ15" s="1115"/>
      <c r="DDK15" s="1115"/>
      <c r="DDL15" s="1115"/>
      <c r="DDM15" s="1115"/>
      <c r="DDN15" s="1115"/>
      <c r="DDO15" s="1115"/>
      <c r="DDP15" s="1115"/>
      <c r="DDQ15" s="1115"/>
      <c r="DDR15" s="1115"/>
      <c r="DDS15" s="1115"/>
      <c r="DDT15" s="1115"/>
      <c r="DDU15" s="1115"/>
      <c r="DDV15" s="1115"/>
      <c r="DDW15" s="1115"/>
      <c r="DDX15" s="1115"/>
      <c r="DDY15" s="1115"/>
      <c r="DDZ15" s="1115"/>
      <c r="DEA15" s="1115"/>
      <c r="DEB15" s="1115"/>
      <c r="DEC15" s="1115"/>
      <c r="DED15" s="1115"/>
      <c r="DEE15" s="1115"/>
      <c r="DEF15" s="1115"/>
      <c r="DEG15" s="1115"/>
      <c r="DEH15" s="1115"/>
      <c r="DEI15" s="1115"/>
      <c r="DEJ15" s="1115"/>
      <c r="DEK15" s="1115"/>
      <c r="DEL15" s="1115"/>
      <c r="DEM15" s="1115"/>
      <c r="DEN15" s="1115"/>
      <c r="DEO15" s="1115"/>
      <c r="DEP15" s="1115"/>
      <c r="DEQ15" s="1115"/>
      <c r="DER15" s="1115"/>
      <c r="DES15" s="1115"/>
      <c r="DET15" s="1115"/>
      <c r="DEU15" s="1115"/>
      <c r="DEV15" s="1115"/>
      <c r="DEW15" s="1115"/>
      <c r="DEX15" s="1115"/>
      <c r="DEY15" s="1115"/>
      <c r="DEZ15" s="1115"/>
      <c r="DFA15" s="1115"/>
      <c r="DFB15" s="1115"/>
      <c r="DFC15" s="1115"/>
      <c r="DFD15" s="1115"/>
      <c r="DFE15" s="1115"/>
      <c r="DFF15" s="1115"/>
      <c r="DFG15" s="1115"/>
      <c r="DFH15" s="1115"/>
      <c r="DFI15" s="1115"/>
      <c r="DFJ15" s="1115"/>
      <c r="DFK15" s="1115"/>
      <c r="DFL15" s="1115"/>
      <c r="DFM15" s="1115"/>
      <c r="DFN15" s="1115"/>
      <c r="DFO15" s="1115"/>
      <c r="DFP15" s="1115"/>
      <c r="DFQ15" s="1115"/>
      <c r="DFR15" s="1115"/>
      <c r="DFS15" s="1115"/>
      <c r="DFT15" s="1115"/>
      <c r="DFU15" s="1115"/>
      <c r="DFV15" s="1115"/>
      <c r="DFW15" s="1115"/>
      <c r="DFX15" s="1115"/>
      <c r="DFY15" s="1115"/>
      <c r="DFZ15" s="1115"/>
      <c r="DGA15" s="1115"/>
      <c r="DGB15" s="1115"/>
      <c r="DGC15" s="1115"/>
      <c r="DGD15" s="1115"/>
      <c r="DGE15" s="1115"/>
      <c r="DGF15" s="1115"/>
      <c r="DGG15" s="1115"/>
      <c r="DGH15" s="1115"/>
      <c r="DGI15" s="1115"/>
      <c r="DGJ15" s="1115"/>
      <c r="DGK15" s="1115"/>
      <c r="DGL15" s="1115"/>
      <c r="DGM15" s="1115"/>
      <c r="DGN15" s="1115"/>
      <c r="DGO15" s="1115"/>
      <c r="DGP15" s="1115"/>
      <c r="DGQ15" s="1115"/>
      <c r="DGR15" s="1115"/>
      <c r="DGS15" s="1115"/>
      <c r="DGT15" s="1115"/>
      <c r="DGU15" s="1115"/>
      <c r="DGV15" s="1115"/>
      <c r="DGW15" s="1115"/>
      <c r="DGX15" s="1115"/>
      <c r="DGY15" s="1115"/>
      <c r="DGZ15" s="1115"/>
      <c r="DHA15" s="1115"/>
      <c r="DHB15" s="1115"/>
      <c r="DHC15" s="1115"/>
      <c r="DHD15" s="1115"/>
      <c r="DHE15" s="1115"/>
      <c r="DHF15" s="1115"/>
      <c r="DHG15" s="1115"/>
      <c r="DHH15" s="1115"/>
      <c r="DHI15" s="1115"/>
      <c r="DHJ15" s="1115"/>
      <c r="DHK15" s="1115"/>
      <c r="DHL15" s="1115"/>
      <c r="DHM15" s="1115"/>
      <c r="DHN15" s="1115"/>
      <c r="DHO15" s="1115"/>
      <c r="DHP15" s="1115"/>
      <c r="DHQ15" s="1115"/>
      <c r="DHR15" s="1115"/>
      <c r="DHS15" s="1115"/>
      <c r="DHT15" s="1115"/>
      <c r="DHU15" s="1115"/>
      <c r="DHV15" s="1115"/>
      <c r="DHW15" s="1115"/>
      <c r="DHX15" s="1115"/>
      <c r="DHY15" s="1115"/>
      <c r="DHZ15" s="1115"/>
      <c r="DIA15" s="1115"/>
      <c r="DIB15" s="1115"/>
      <c r="DIC15" s="1115"/>
      <c r="DID15" s="1115"/>
      <c r="DIE15" s="1115"/>
      <c r="DIF15" s="1115"/>
      <c r="DIG15" s="1115"/>
      <c r="DIH15" s="1115"/>
      <c r="DII15" s="1115"/>
      <c r="DIJ15" s="1115"/>
      <c r="DIK15" s="1115"/>
      <c r="DIL15" s="1115"/>
      <c r="DIM15" s="1115"/>
      <c r="DIN15" s="1115"/>
      <c r="DIO15" s="1115"/>
      <c r="DIP15" s="1115"/>
      <c r="DIQ15" s="1115"/>
      <c r="DIR15" s="1115"/>
      <c r="DIS15" s="1115"/>
      <c r="DIT15" s="1115"/>
      <c r="DIU15" s="1115"/>
      <c r="DIV15" s="1115"/>
      <c r="DIW15" s="1115"/>
      <c r="DIX15" s="1115"/>
      <c r="DIY15" s="1115"/>
      <c r="DIZ15" s="1115"/>
      <c r="DJA15" s="1115"/>
      <c r="DJB15" s="1115"/>
      <c r="DJC15" s="1115"/>
      <c r="DJD15" s="1115"/>
      <c r="DJE15" s="1115"/>
      <c r="DJF15" s="1115"/>
      <c r="DJG15" s="1115"/>
      <c r="DJH15" s="1115"/>
      <c r="DJI15" s="1115"/>
      <c r="DJJ15" s="1115"/>
      <c r="DJK15" s="1115"/>
      <c r="DJL15" s="1115"/>
      <c r="DJM15" s="1115"/>
      <c r="DJN15" s="1115"/>
      <c r="DJO15" s="1115"/>
      <c r="DJP15" s="1115"/>
      <c r="DJQ15" s="1115"/>
      <c r="DJR15" s="1115"/>
      <c r="DJS15" s="1115"/>
      <c r="DJT15" s="1115"/>
      <c r="DJU15" s="1115"/>
      <c r="DJV15" s="1115"/>
      <c r="DJW15" s="1115"/>
      <c r="DJX15" s="1115"/>
      <c r="DJY15" s="1115"/>
      <c r="DJZ15" s="1115"/>
      <c r="DKA15" s="1115"/>
      <c r="DKB15" s="1115"/>
      <c r="DKC15" s="1115"/>
      <c r="DKD15" s="1115"/>
      <c r="DKE15" s="1115"/>
      <c r="DKF15" s="1115"/>
      <c r="DKG15" s="1115"/>
      <c r="DKH15" s="1115"/>
      <c r="DKI15" s="1115"/>
      <c r="DKJ15" s="1115"/>
      <c r="DKK15" s="1115"/>
      <c r="DKL15" s="1115"/>
      <c r="DKM15" s="1115"/>
      <c r="DKN15" s="1115"/>
      <c r="DKO15" s="1115"/>
      <c r="DKP15" s="1115"/>
      <c r="DKQ15" s="1115"/>
      <c r="DKR15" s="1115"/>
      <c r="DKS15" s="1115"/>
      <c r="DKT15" s="1115"/>
      <c r="DKU15" s="1115"/>
      <c r="DKV15" s="1115"/>
      <c r="DKW15" s="1115"/>
      <c r="DKX15" s="1115"/>
      <c r="DKY15" s="1115"/>
      <c r="DKZ15" s="1115"/>
      <c r="DLA15" s="1115"/>
      <c r="DLB15" s="1115"/>
      <c r="DLC15" s="1115"/>
      <c r="DLD15" s="1115"/>
      <c r="DLE15" s="1115"/>
      <c r="DLF15" s="1115"/>
      <c r="DLG15" s="1115"/>
      <c r="DLH15" s="1115"/>
      <c r="DLI15" s="1115"/>
      <c r="DLJ15" s="1115"/>
      <c r="DLK15" s="1115"/>
      <c r="DLL15" s="1115"/>
      <c r="DLM15" s="1115"/>
      <c r="DLN15" s="1115"/>
      <c r="DLO15" s="1115"/>
      <c r="DLP15" s="1115"/>
      <c r="DLQ15" s="1115"/>
      <c r="DLR15" s="1115"/>
      <c r="DLS15" s="1115"/>
      <c r="DLT15" s="1115"/>
      <c r="DLU15" s="1115"/>
      <c r="DLV15" s="1115"/>
      <c r="DLW15" s="1115"/>
      <c r="DLX15" s="1115"/>
      <c r="DLY15" s="1115"/>
      <c r="DLZ15" s="1115"/>
      <c r="DMA15" s="1115"/>
      <c r="DMB15" s="1115"/>
      <c r="DMC15" s="1115"/>
      <c r="DMD15" s="1115"/>
      <c r="DME15" s="1115"/>
      <c r="DMF15" s="1115"/>
      <c r="DMG15" s="1115"/>
      <c r="DMH15" s="1115"/>
      <c r="DMI15" s="1115"/>
      <c r="DMJ15" s="1115"/>
      <c r="DMK15" s="1115"/>
      <c r="DML15" s="1115"/>
      <c r="DMM15" s="1115"/>
      <c r="DMN15" s="1115"/>
      <c r="DMO15" s="1115"/>
      <c r="DMP15" s="1115"/>
      <c r="DMQ15" s="1115"/>
      <c r="DMR15" s="1115"/>
      <c r="DMS15" s="1115"/>
      <c r="DMT15" s="1115"/>
      <c r="DMU15" s="1115"/>
      <c r="DMV15" s="1115"/>
      <c r="DMW15" s="1115"/>
      <c r="DMX15" s="1115"/>
      <c r="DMY15" s="1115"/>
      <c r="DMZ15" s="1115"/>
      <c r="DNA15" s="1115"/>
      <c r="DNB15" s="1115"/>
      <c r="DNC15" s="1115"/>
      <c r="DND15" s="1115"/>
      <c r="DNE15" s="1115"/>
      <c r="DNF15" s="1115"/>
      <c r="DNG15" s="1115"/>
      <c r="DNH15" s="1115"/>
      <c r="DNI15" s="1115"/>
      <c r="DNJ15" s="1115"/>
      <c r="DNK15" s="1115"/>
      <c r="DNL15" s="1115"/>
      <c r="DNM15" s="1115"/>
      <c r="DNN15" s="1115"/>
      <c r="DNO15" s="1115"/>
      <c r="DNP15" s="1115"/>
      <c r="DNQ15" s="1115"/>
      <c r="DNR15" s="1115"/>
      <c r="DNS15" s="1115"/>
      <c r="DNT15" s="1115"/>
      <c r="DNU15" s="1115"/>
      <c r="DNV15" s="1115"/>
      <c r="DNW15" s="1115"/>
      <c r="DNX15" s="1115"/>
      <c r="DNY15" s="1115"/>
      <c r="DNZ15" s="1115"/>
      <c r="DOA15" s="1115"/>
      <c r="DOB15" s="1115"/>
      <c r="DOC15" s="1115"/>
      <c r="DOD15" s="1115"/>
      <c r="DOE15" s="1115"/>
      <c r="DOF15" s="1115"/>
      <c r="DOG15" s="1115"/>
      <c r="DOH15" s="1115"/>
      <c r="DOI15" s="1115"/>
      <c r="DOJ15" s="1115"/>
      <c r="DOK15" s="1115"/>
      <c r="DOL15" s="1115"/>
      <c r="DOM15" s="1115"/>
      <c r="DON15" s="1115"/>
      <c r="DOO15" s="1115"/>
      <c r="DOP15" s="1115"/>
      <c r="DOQ15" s="1115"/>
      <c r="DOR15" s="1115"/>
      <c r="DOS15" s="1115"/>
      <c r="DOT15" s="1115"/>
      <c r="DOU15" s="1115"/>
      <c r="DOV15" s="1115"/>
      <c r="DOW15" s="1115"/>
      <c r="DOX15" s="1115"/>
      <c r="DOY15" s="1115"/>
      <c r="DOZ15" s="1115"/>
      <c r="DPA15" s="1115"/>
      <c r="DPB15" s="1115"/>
      <c r="DPC15" s="1115"/>
      <c r="DPD15" s="1115"/>
      <c r="DPE15" s="1115"/>
      <c r="DPF15" s="1115"/>
      <c r="DPG15" s="1115"/>
      <c r="DPH15" s="1115"/>
      <c r="DPI15" s="1115"/>
      <c r="DPJ15" s="1115"/>
      <c r="DPK15" s="1115"/>
      <c r="DPL15" s="1115"/>
      <c r="DPM15" s="1115"/>
      <c r="DPN15" s="1115"/>
      <c r="DPO15" s="1115"/>
      <c r="DPP15" s="1115"/>
      <c r="DPQ15" s="1115"/>
      <c r="DPR15" s="1115"/>
      <c r="DPS15" s="1115"/>
      <c r="DPT15" s="1115"/>
      <c r="DPU15" s="1115"/>
      <c r="DPV15" s="1115"/>
      <c r="DPW15" s="1115"/>
      <c r="DPX15" s="1115"/>
      <c r="DPY15" s="1115"/>
      <c r="DPZ15" s="1115"/>
      <c r="DQA15" s="1115"/>
      <c r="DQB15" s="1115"/>
      <c r="DQC15" s="1115"/>
      <c r="DQD15" s="1115"/>
      <c r="DQE15" s="1115"/>
      <c r="DQF15" s="1115"/>
      <c r="DQG15" s="1115"/>
      <c r="DQH15" s="1115"/>
      <c r="DQI15" s="1115"/>
      <c r="DQJ15" s="1115"/>
      <c r="DQK15" s="1115"/>
      <c r="DQL15" s="1115"/>
      <c r="DQM15" s="1115"/>
      <c r="DQN15" s="1115"/>
      <c r="DQO15" s="1115"/>
      <c r="DQP15" s="1115"/>
      <c r="DQQ15" s="1115"/>
      <c r="DQR15" s="1115"/>
      <c r="DQS15" s="1115"/>
      <c r="DQT15" s="1115"/>
      <c r="DQU15" s="1115"/>
      <c r="DQV15" s="1115"/>
      <c r="DQW15" s="1115"/>
      <c r="DQX15" s="1115"/>
      <c r="DQY15" s="1115"/>
      <c r="DQZ15" s="1115"/>
      <c r="DRA15" s="1115"/>
      <c r="DRB15" s="1115"/>
      <c r="DRC15" s="1115"/>
      <c r="DRD15" s="1115"/>
      <c r="DRE15" s="1115"/>
      <c r="DRF15" s="1115"/>
      <c r="DRG15" s="1115"/>
      <c r="DRH15" s="1115"/>
      <c r="DRI15" s="1115"/>
      <c r="DRJ15" s="1115"/>
      <c r="DRK15" s="1115"/>
      <c r="DRL15" s="1115"/>
      <c r="DRM15" s="1115"/>
      <c r="DRN15" s="1115"/>
      <c r="DRO15" s="1115"/>
      <c r="DRP15" s="1115"/>
      <c r="DRQ15" s="1115"/>
      <c r="DRR15" s="1115"/>
      <c r="DRS15" s="1115"/>
      <c r="DRT15" s="1115"/>
      <c r="DRU15" s="1115"/>
      <c r="DRV15" s="1115"/>
      <c r="DRW15" s="1115"/>
      <c r="DRX15" s="1115"/>
      <c r="DRY15" s="1115"/>
      <c r="DRZ15" s="1115"/>
      <c r="DSA15" s="1115"/>
      <c r="DSB15" s="1115"/>
      <c r="DSC15" s="1115"/>
      <c r="DSD15" s="1115"/>
      <c r="DSE15" s="1115"/>
      <c r="DSF15" s="1115"/>
      <c r="DSG15" s="1115"/>
      <c r="DSH15" s="1115"/>
      <c r="DSI15" s="1115"/>
      <c r="DSJ15" s="1115"/>
      <c r="DSK15" s="1115"/>
      <c r="DSL15" s="1115"/>
      <c r="DSM15" s="1115"/>
      <c r="DSN15" s="1115"/>
      <c r="DSO15" s="1115"/>
      <c r="DSP15" s="1115"/>
      <c r="DSQ15" s="1115"/>
      <c r="DSR15" s="1115"/>
      <c r="DSS15" s="1115"/>
      <c r="DST15" s="1115"/>
      <c r="DSU15" s="1115"/>
      <c r="DSV15" s="1115"/>
      <c r="DSW15" s="1115"/>
      <c r="DSX15" s="1115"/>
      <c r="DSY15" s="1115"/>
      <c r="DSZ15" s="1115"/>
      <c r="DTA15" s="1115"/>
      <c r="DTB15" s="1115"/>
      <c r="DTC15" s="1115"/>
      <c r="DTD15" s="1115"/>
      <c r="DTE15" s="1115"/>
      <c r="DTF15" s="1115"/>
      <c r="DTG15" s="1115"/>
      <c r="DTH15" s="1115"/>
      <c r="DTI15" s="1115"/>
      <c r="DTJ15" s="1115"/>
      <c r="DTK15" s="1115"/>
      <c r="DTL15" s="1115"/>
      <c r="DTM15" s="1115"/>
      <c r="DTN15" s="1115"/>
      <c r="DTO15" s="1115"/>
      <c r="DTP15" s="1115"/>
      <c r="DTQ15" s="1115"/>
      <c r="DTR15" s="1115"/>
      <c r="DTS15" s="1115"/>
      <c r="DTT15" s="1115"/>
      <c r="DTU15" s="1115"/>
      <c r="DTV15" s="1115"/>
      <c r="DTW15" s="1115"/>
      <c r="DTX15" s="1115"/>
      <c r="DTY15" s="1115"/>
      <c r="DTZ15" s="1115"/>
      <c r="DUA15" s="1115"/>
      <c r="DUB15" s="1115"/>
      <c r="DUC15" s="1115"/>
      <c r="DUD15" s="1115"/>
      <c r="DUE15" s="1115"/>
      <c r="DUF15" s="1115"/>
      <c r="DUG15" s="1115"/>
      <c r="DUH15" s="1115"/>
      <c r="DUI15" s="1115"/>
      <c r="DUJ15" s="1115"/>
      <c r="DUK15" s="1115"/>
      <c r="DUL15" s="1115"/>
      <c r="DUM15" s="1115"/>
      <c r="DUN15" s="1115"/>
      <c r="DUO15" s="1115"/>
      <c r="DUP15" s="1115"/>
      <c r="DUQ15" s="1115"/>
      <c r="DUR15" s="1115"/>
      <c r="DUS15" s="1115"/>
      <c r="DUT15" s="1115"/>
      <c r="DUU15" s="1115"/>
      <c r="DUV15" s="1115"/>
      <c r="DUW15" s="1115"/>
      <c r="DUX15" s="1115"/>
      <c r="DUY15" s="1115"/>
      <c r="DUZ15" s="1115"/>
      <c r="DVA15" s="1115"/>
      <c r="DVB15" s="1115"/>
      <c r="DVC15" s="1115"/>
      <c r="DVD15" s="1115"/>
      <c r="DVE15" s="1115"/>
      <c r="DVF15" s="1115"/>
      <c r="DVG15" s="1115"/>
      <c r="DVH15" s="1115"/>
      <c r="DVI15" s="1115"/>
      <c r="DVJ15" s="1115"/>
      <c r="DVK15" s="1115"/>
      <c r="DVL15" s="1115"/>
      <c r="DVM15" s="1115"/>
      <c r="DVN15" s="1115"/>
      <c r="DVO15" s="1115"/>
      <c r="DVP15" s="1115"/>
      <c r="DVQ15" s="1115"/>
      <c r="DVR15" s="1115"/>
      <c r="DVS15" s="1115"/>
      <c r="DVT15" s="1115"/>
      <c r="DVU15" s="1115"/>
      <c r="DVV15" s="1115"/>
      <c r="DVW15" s="1115"/>
      <c r="DVX15" s="1115"/>
      <c r="DVY15" s="1115"/>
      <c r="DVZ15" s="1115"/>
      <c r="DWA15" s="1115"/>
      <c r="DWB15" s="1115"/>
      <c r="DWC15" s="1115"/>
      <c r="DWD15" s="1115"/>
      <c r="DWE15" s="1115"/>
      <c r="DWF15" s="1115"/>
      <c r="DWG15" s="1115"/>
      <c r="DWH15" s="1115"/>
      <c r="DWI15" s="1115"/>
      <c r="DWJ15" s="1115"/>
      <c r="DWK15" s="1115"/>
      <c r="DWL15" s="1115"/>
      <c r="DWM15" s="1115"/>
      <c r="DWN15" s="1115"/>
      <c r="DWO15" s="1115"/>
      <c r="DWP15" s="1115"/>
      <c r="DWQ15" s="1115"/>
      <c r="DWR15" s="1115"/>
      <c r="DWS15" s="1115"/>
      <c r="DWT15" s="1115"/>
      <c r="DWU15" s="1115"/>
      <c r="DWV15" s="1115"/>
      <c r="DWW15" s="1115"/>
      <c r="DWX15" s="1115"/>
      <c r="DWY15" s="1115"/>
      <c r="DWZ15" s="1115"/>
      <c r="DXA15" s="1115"/>
      <c r="DXB15" s="1115"/>
      <c r="DXC15" s="1115"/>
      <c r="DXD15" s="1115"/>
      <c r="DXE15" s="1115"/>
      <c r="DXF15" s="1115"/>
      <c r="DXG15" s="1115"/>
      <c r="DXH15" s="1115"/>
      <c r="DXI15" s="1115"/>
      <c r="DXJ15" s="1115"/>
      <c r="DXK15" s="1115"/>
      <c r="DXL15" s="1115"/>
      <c r="DXM15" s="1115"/>
      <c r="DXN15" s="1115"/>
      <c r="DXO15" s="1115"/>
      <c r="DXP15" s="1115"/>
      <c r="DXQ15" s="1115"/>
      <c r="DXR15" s="1115"/>
      <c r="DXS15" s="1115"/>
      <c r="DXT15" s="1115"/>
      <c r="DXU15" s="1115"/>
      <c r="DXV15" s="1115"/>
      <c r="DXW15" s="1115"/>
      <c r="DXX15" s="1115"/>
      <c r="DXY15" s="1115"/>
      <c r="DXZ15" s="1115"/>
      <c r="DYA15" s="1115"/>
      <c r="DYB15" s="1115"/>
      <c r="DYC15" s="1115"/>
      <c r="DYD15" s="1115"/>
      <c r="DYE15" s="1115"/>
      <c r="DYF15" s="1115"/>
      <c r="DYG15" s="1115"/>
      <c r="DYH15" s="1115"/>
      <c r="DYI15" s="1115"/>
      <c r="DYJ15" s="1115"/>
      <c r="DYK15" s="1115"/>
      <c r="DYL15" s="1115"/>
      <c r="DYM15" s="1115"/>
      <c r="DYN15" s="1115"/>
      <c r="DYO15" s="1115"/>
      <c r="DYP15" s="1115"/>
      <c r="DYQ15" s="1115"/>
      <c r="DYR15" s="1115"/>
      <c r="DYS15" s="1115"/>
      <c r="DYT15" s="1115"/>
      <c r="DYU15" s="1115"/>
      <c r="DYV15" s="1115"/>
      <c r="DYW15" s="1115"/>
      <c r="DYX15" s="1115"/>
      <c r="DYY15" s="1115"/>
      <c r="DYZ15" s="1115"/>
      <c r="DZA15" s="1115"/>
      <c r="DZB15" s="1115"/>
      <c r="DZC15" s="1115"/>
      <c r="DZD15" s="1115"/>
      <c r="DZE15" s="1115"/>
      <c r="DZF15" s="1115"/>
      <c r="DZG15" s="1115"/>
      <c r="DZH15" s="1115"/>
      <c r="DZI15" s="1115"/>
      <c r="DZJ15" s="1115"/>
      <c r="DZK15" s="1115"/>
      <c r="DZL15" s="1115"/>
      <c r="DZM15" s="1115"/>
      <c r="DZN15" s="1115"/>
      <c r="DZO15" s="1115"/>
      <c r="DZP15" s="1115"/>
      <c r="DZQ15" s="1115"/>
      <c r="DZR15" s="1115"/>
      <c r="DZS15" s="1115"/>
      <c r="DZT15" s="1115"/>
      <c r="DZU15" s="1115"/>
      <c r="DZV15" s="1115"/>
      <c r="DZW15" s="1115"/>
      <c r="DZX15" s="1115"/>
      <c r="DZY15" s="1115"/>
      <c r="DZZ15" s="1115"/>
      <c r="EAA15" s="1115"/>
      <c r="EAB15" s="1115"/>
      <c r="EAC15" s="1115"/>
      <c r="EAD15" s="1115"/>
      <c r="EAE15" s="1115"/>
      <c r="EAF15" s="1115"/>
      <c r="EAG15" s="1115"/>
      <c r="EAH15" s="1115"/>
      <c r="EAI15" s="1115"/>
      <c r="EAJ15" s="1115"/>
      <c r="EAK15" s="1115"/>
      <c r="EAL15" s="1115"/>
      <c r="EAM15" s="1115"/>
      <c r="EAN15" s="1115"/>
      <c r="EAO15" s="1115"/>
      <c r="EAP15" s="1115"/>
      <c r="EAQ15" s="1115"/>
      <c r="EAR15" s="1115"/>
      <c r="EAS15" s="1115"/>
      <c r="EAT15" s="1115"/>
      <c r="EAU15" s="1115"/>
      <c r="EAV15" s="1115"/>
      <c r="EAW15" s="1115"/>
      <c r="EAX15" s="1115"/>
      <c r="EAY15" s="1115"/>
      <c r="EAZ15" s="1115"/>
      <c r="EBA15" s="1115"/>
      <c r="EBB15" s="1115"/>
      <c r="EBC15" s="1115"/>
      <c r="EBD15" s="1115"/>
      <c r="EBE15" s="1115"/>
      <c r="EBF15" s="1115"/>
      <c r="EBG15" s="1115"/>
      <c r="EBH15" s="1115"/>
      <c r="EBI15" s="1115"/>
      <c r="EBJ15" s="1115"/>
      <c r="EBK15" s="1115"/>
      <c r="EBL15" s="1115"/>
      <c r="EBM15" s="1115"/>
      <c r="EBN15" s="1115"/>
      <c r="EBO15" s="1115"/>
      <c r="EBP15" s="1115"/>
      <c r="EBQ15" s="1115"/>
      <c r="EBR15" s="1115"/>
      <c r="EBS15" s="1115"/>
      <c r="EBT15" s="1115"/>
      <c r="EBU15" s="1115"/>
      <c r="EBV15" s="1115"/>
      <c r="EBW15" s="1115"/>
      <c r="EBX15" s="1115"/>
      <c r="EBY15" s="1115"/>
      <c r="EBZ15" s="1115"/>
      <c r="ECA15" s="1115"/>
      <c r="ECB15" s="1115"/>
      <c r="ECC15" s="1115"/>
      <c r="ECD15" s="1115"/>
      <c r="ECE15" s="1115"/>
      <c r="ECF15" s="1115"/>
      <c r="ECG15" s="1115"/>
      <c r="ECH15" s="1115"/>
      <c r="ECI15" s="1115"/>
      <c r="ECJ15" s="1115"/>
      <c r="ECK15" s="1115"/>
      <c r="ECL15" s="1115"/>
      <c r="ECM15" s="1115"/>
      <c r="ECN15" s="1115"/>
      <c r="ECO15" s="1115"/>
      <c r="ECP15" s="1115"/>
      <c r="ECQ15" s="1115"/>
      <c r="ECR15" s="1115"/>
      <c r="ECS15" s="1115"/>
      <c r="ECT15" s="1115"/>
      <c r="ECU15" s="1115"/>
      <c r="ECV15" s="1115"/>
      <c r="ECW15" s="1115"/>
      <c r="ECX15" s="1115"/>
      <c r="ECY15" s="1115"/>
      <c r="ECZ15" s="1115"/>
      <c r="EDA15" s="1115"/>
      <c r="EDB15" s="1115"/>
      <c r="EDC15" s="1115"/>
      <c r="EDD15" s="1115"/>
      <c r="EDE15" s="1115"/>
      <c r="EDF15" s="1115"/>
      <c r="EDG15" s="1115"/>
      <c r="EDH15" s="1115"/>
      <c r="EDI15" s="1115"/>
      <c r="EDJ15" s="1115"/>
      <c r="EDK15" s="1115"/>
      <c r="EDL15" s="1115"/>
      <c r="EDM15" s="1115"/>
      <c r="EDN15" s="1115"/>
      <c r="EDO15" s="1115"/>
      <c r="EDP15" s="1115"/>
      <c r="EDQ15" s="1115"/>
      <c r="EDR15" s="1115"/>
      <c r="EDS15" s="1115"/>
      <c r="EDT15" s="1115"/>
      <c r="EDU15" s="1115"/>
      <c r="EDV15" s="1115"/>
      <c r="EDW15" s="1115"/>
      <c r="EDX15" s="1115"/>
      <c r="EDY15" s="1115"/>
      <c r="EDZ15" s="1115"/>
      <c r="EEA15" s="1115"/>
      <c r="EEB15" s="1115"/>
      <c r="EEC15" s="1115"/>
      <c r="EED15" s="1115"/>
      <c r="EEE15" s="1115"/>
      <c r="EEF15" s="1115"/>
      <c r="EEG15" s="1115"/>
      <c r="EEH15" s="1115"/>
      <c r="EEI15" s="1115"/>
      <c r="EEJ15" s="1115"/>
      <c r="EEK15" s="1115"/>
      <c r="EEL15" s="1115"/>
      <c r="EEM15" s="1115"/>
      <c r="EEN15" s="1115"/>
      <c r="EEO15" s="1115"/>
      <c r="EEP15" s="1115"/>
      <c r="EEQ15" s="1115"/>
      <c r="EER15" s="1115"/>
      <c r="EES15" s="1115"/>
      <c r="EET15" s="1115"/>
      <c r="EEU15" s="1115"/>
      <c r="EEV15" s="1115"/>
      <c r="EEW15" s="1115"/>
      <c r="EEX15" s="1115"/>
      <c r="EEY15" s="1115"/>
      <c r="EEZ15" s="1115"/>
      <c r="EFA15" s="1115"/>
      <c r="EFB15" s="1115"/>
      <c r="EFC15" s="1115"/>
      <c r="EFD15" s="1115"/>
      <c r="EFE15" s="1115"/>
      <c r="EFF15" s="1115"/>
      <c r="EFG15" s="1115"/>
      <c r="EFH15" s="1115"/>
      <c r="EFI15" s="1115"/>
      <c r="EFJ15" s="1115"/>
      <c r="EFK15" s="1115"/>
      <c r="EFL15" s="1115"/>
      <c r="EFM15" s="1115"/>
      <c r="EFN15" s="1115"/>
      <c r="EFO15" s="1115"/>
      <c r="EFP15" s="1115"/>
      <c r="EFQ15" s="1115"/>
      <c r="EFR15" s="1115"/>
      <c r="EFS15" s="1115"/>
      <c r="EFT15" s="1115"/>
      <c r="EFU15" s="1115"/>
      <c r="EFV15" s="1115"/>
      <c r="EFW15" s="1115"/>
      <c r="EFX15" s="1115"/>
      <c r="EFY15" s="1115"/>
      <c r="EFZ15" s="1115"/>
      <c r="EGA15" s="1115"/>
      <c r="EGB15" s="1115"/>
      <c r="EGC15" s="1115"/>
      <c r="EGD15" s="1115"/>
      <c r="EGE15" s="1115"/>
      <c r="EGF15" s="1115"/>
      <c r="EGG15" s="1115"/>
      <c r="EGH15" s="1115"/>
      <c r="EGI15" s="1115"/>
      <c r="EGJ15" s="1115"/>
      <c r="EGK15" s="1115"/>
      <c r="EGL15" s="1115"/>
      <c r="EGM15" s="1115"/>
      <c r="EGN15" s="1115"/>
      <c r="EGO15" s="1115"/>
      <c r="EGP15" s="1115"/>
      <c r="EGQ15" s="1115"/>
      <c r="EGR15" s="1115"/>
      <c r="EGS15" s="1115"/>
      <c r="EGT15" s="1115"/>
      <c r="EGU15" s="1115"/>
      <c r="EGV15" s="1115"/>
      <c r="EGW15" s="1115"/>
      <c r="EGX15" s="1115"/>
      <c r="EGY15" s="1115"/>
      <c r="EGZ15" s="1115"/>
      <c r="EHA15" s="1115"/>
      <c r="EHB15" s="1115"/>
      <c r="EHC15" s="1115"/>
      <c r="EHD15" s="1115"/>
      <c r="EHE15" s="1115"/>
      <c r="EHF15" s="1115"/>
      <c r="EHG15" s="1115"/>
      <c r="EHH15" s="1115"/>
      <c r="EHI15" s="1115"/>
      <c r="EHJ15" s="1115"/>
      <c r="EHK15" s="1115"/>
      <c r="EHL15" s="1115"/>
      <c r="EHM15" s="1115"/>
      <c r="EHN15" s="1115"/>
      <c r="EHO15" s="1115"/>
      <c r="EHP15" s="1115"/>
      <c r="EHQ15" s="1115"/>
      <c r="EHR15" s="1115"/>
      <c r="EHS15" s="1115"/>
      <c r="EHT15" s="1115"/>
      <c r="EHU15" s="1115"/>
      <c r="EHV15" s="1115"/>
      <c r="EHW15" s="1115"/>
      <c r="EHX15" s="1115"/>
      <c r="EHY15" s="1115"/>
      <c r="EHZ15" s="1115"/>
      <c r="EIA15" s="1115"/>
      <c r="EIB15" s="1115"/>
      <c r="EIC15" s="1115"/>
      <c r="EID15" s="1115"/>
      <c r="EIE15" s="1115"/>
      <c r="EIF15" s="1115"/>
      <c r="EIG15" s="1115"/>
      <c r="EIH15" s="1115"/>
      <c r="EII15" s="1115"/>
      <c r="EIJ15" s="1115"/>
      <c r="EIK15" s="1115"/>
      <c r="EIL15" s="1115"/>
      <c r="EIM15" s="1115"/>
      <c r="EIN15" s="1115"/>
      <c r="EIO15" s="1115"/>
      <c r="EIP15" s="1115"/>
      <c r="EIQ15" s="1115"/>
      <c r="EIR15" s="1115"/>
      <c r="EIS15" s="1115"/>
      <c r="EIT15" s="1115"/>
      <c r="EIU15" s="1115"/>
      <c r="EIV15" s="1115"/>
      <c r="EIW15" s="1115"/>
      <c r="EIX15" s="1115"/>
      <c r="EIY15" s="1115"/>
      <c r="EIZ15" s="1115"/>
      <c r="EJA15" s="1115"/>
      <c r="EJB15" s="1115"/>
      <c r="EJC15" s="1115"/>
      <c r="EJD15" s="1115"/>
      <c r="EJE15" s="1115"/>
      <c r="EJF15" s="1115"/>
      <c r="EJG15" s="1115"/>
      <c r="EJH15" s="1115"/>
      <c r="EJI15" s="1115"/>
      <c r="EJJ15" s="1115"/>
      <c r="EJK15" s="1115"/>
      <c r="EJL15" s="1115"/>
      <c r="EJM15" s="1115"/>
      <c r="EJN15" s="1115"/>
      <c r="EJO15" s="1115"/>
      <c r="EJP15" s="1115"/>
      <c r="EJQ15" s="1115"/>
      <c r="EJR15" s="1115"/>
      <c r="EJS15" s="1115"/>
      <c r="EJT15" s="1115"/>
      <c r="EJU15" s="1115"/>
      <c r="EJV15" s="1115"/>
      <c r="EJW15" s="1115"/>
      <c r="EJX15" s="1115"/>
      <c r="EJY15" s="1115"/>
      <c r="EJZ15" s="1115"/>
      <c r="EKA15" s="1115"/>
      <c r="EKB15" s="1115"/>
      <c r="EKC15" s="1115"/>
      <c r="EKD15" s="1115"/>
      <c r="EKE15" s="1115"/>
      <c r="EKF15" s="1115"/>
      <c r="EKG15" s="1115"/>
      <c r="EKH15" s="1115"/>
      <c r="EKI15" s="1115"/>
      <c r="EKJ15" s="1115"/>
      <c r="EKK15" s="1115"/>
      <c r="EKL15" s="1115"/>
      <c r="EKM15" s="1115"/>
      <c r="EKN15" s="1115"/>
      <c r="EKO15" s="1115"/>
      <c r="EKP15" s="1115"/>
      <c r="EKQ15" s="1115"/>
      <c r="EKR15" s="1115"/>
      <c r="EKS15" s="1115"/>
      <c r="EKT15" s="1115"/>
      <c r="EKU15" s="1115"/>
      <c r="EKV15" s="1115"/>
      <c r="EKW15" s="1115"/>
      <c r="EKX15" s="1115"/>
      <c r="EKY15" s="1115"/>
      <c r="EKZ15" s="1115"/>
      <c r="ELA15" s="1115"/>
      <c r="ELB15" s="1115"/>
      <c r="ELC15" s="1115"/>
      <c r="ELD15" s="1115"/>
      <c r="ELE15" s="1115"/>
      <c r="ELF15" s="1115"/>
      <c r="ELG15" s="1115"/>
      <c r="ELH15" s="1115"/>
      <c r="ELI15" s="1115"/>
      <c r="ELJ15" s="1115"/>
      <c r="ELK15" s="1115"/>
      <c r="ELL15" s="1115"/>
      <c r="ELM15" s="1115"/>
      <c r="ELN15" s="1115"/>
      <c r="ELO15" s="1115"/>
      <c r="ELP15" s="1115"/>
      <c r="ELQ15" s="1115"/>
      <c r="ELR15" s="1115"/>
      <c r="ELS15" s="1115"/>
      <c r="ELT15" s="1115"/>
      <c r="ELU15" s="1115"/>
      <c r="ELV15" s="1115"/>
      <c r="ELW15" s="1115"/>
      <c r="ELX15" s="1115"/>
      <c r="ELY15" s="1115"/>
      <c r="ELZ15" s="1115"/>
      <c r="EMA15" s="1115"/>
      <c r="EMB15" s="1115"/>
      <c r="EMC15" s="1115"/>
      <c r="EMD15" s="1115"/>
      <c r="EME15" s="1115"/>
      <c r="EMF15" s="1115"/>
      <c r="EMG15" s="1115"/>
      <c r="EMH15" s="1115"/>
      <c r="EMI15" s="1115"/>
      <c r="EMJ15" s="1115"/>
      <c r="EMK15" s="1115"/>
      <c r="EML15" s="1115"/>
      <c r="EMM15" s="1115"/>
      <c r="EMN15" s="1115"/>
      <c r="EMO15" s="1115"/>
      <c r="EMP15" s="1115"/>
      <c r="EMQ15" s="1115"/>
      <c r="EMR15" s="1115"/>
      <c r="EMS15" s="1115"/>
      <c r="EMT15" s="1115"/>
      <c r="EMU15" s="1115"/>
      <c r="EMV15" s="1115"/>
      <c r="EMW15" s="1115"/>
      <c r="EMX15" s="1115"/>
      <c r="EMY15" s="1115"/>
      <c r="EMZ15" s="1115"/>
      <c r="ENA15" s="1115"/>
      <c r="ENB15" s="1115"/>
      <c r="ENC15" s="1115"/>
      <c r="END15" s="1115"/>
      <c r="ENE15" s="1115"/>
      <c r="ENF15" s="1115"/>
      <c r="ENG15" s="1115"/>
      <c r="ENH15" s="1115"/>
      <c r="ENI15" s="1115"/>
      <c r="ENJ15" s="1115"/>
      <c r="ENK15" s="1115"/>
      <c r="ENL15" s="1115"/>
      <c r="ENM15" s="1115"/>
      <c r="ENN15" s="1115"/>
      <c r="ENO15" s="1115"/>
      <c r="ENP15" s="1115"/>
      <c r="ENQ15" s="1115"/>
      <c r="ENR15" s="1115"/>
      <c r="ENS15" s="1115"/>
      <c r="ENT15" s="1115"/>
      <c r="ENU15" s="1115"/>
      <c r="ENV15" s="1115"/>
      <c r="ENW15" s="1115"/>
      <c r="ENX15" s="1115"/>
      <c r="ENY15" s="1115"/>
      <c r="ENZ15" s="1115"/>
      <c r="EOA15" s="1115"/>
      <c r="EOB15" s="1115"/>
      <c r="EOC15" s="1115"/>
      <c r="EOD15" s="1115"/>
      <c r="EOE15" s="1115"/>
      <c r="EOF15" s="1115"/>
      <c r="EOG15" s="1115"/>
      <c r="EOH15" s="1115"/>
      <c r="EOI15" s="1115"/>
      <c r="EOJ15" s="1115"/>
      <c r="EOK15" s="1115"/>
      <c r="EOL15" s="1115"/>
      <c r="EOM15" s="1115"/>
      <c r="EON15" s="1115"/>
      <c r="EOO15" s="1115"/>
      <c r="EOP15" s="1115"/>
      <c r="EOQ15" s="1115"/>
      <c r="EOR15" s="1115"/>
      <c r="EOS15" s="1115"/>
      <c r="EOT15" s="1115"/>
      <c r="EOU15" s="1115"/>
      <c r="EOV15" s="1115"/>
      <c r="EOW15" s="1115"/>
      <c r="EOX15" s="1115"/>
      <c r="EOY15" s="1115"/>
      <c r="EOZ15" s="1115"/>
      <c r="EPA15" s="1115"/>
      <c r="EPB15" s="1115"/>
      <c r="EPC15" s="1115"/>
      <c r="EPD15" s="1115"/>
      <c r="EPE15" s="1115"/>
      <c r="EPF15" s="1115"/>
      <c r="EPG15" s="1115"/>
      <c r="EPH15" s="1115"/>
      <c r="EPI15" s="1115"/>
      <c r="EPJ15" s="1115"/>
      <c r="EPK15" s="1115"/>
      <c r="EPL15" s="1115"/>
      <c r="EPM15" s="1115"/>
      <c r="EPN15" s="1115"/>
      <c r="EPO15" s="1115"/>
      <c r="EPP15" s="1115"/>
      <c r="EPQ15" s="1115"/>
      <c r="EPR15" s="1115"/>
      <c r="EPS15" s="1115"/>
      <c r="EPT15" s="1115"/>
      <c r="EPU15" s="1115"/>
      <c r="EPV15" s="1115"/>
      <c r="EPW15" s="1115"/>
      <c r="EPX15" s="1115"/>
      <c r="EPY15" s="1115"/>
      <c r="EPZ15" s="1115"/>
      <c r="EQA15" s="1115"/>
      <c r="EQB15" s="1115"/>
      <c r="EQC15" s="1115"/>
      <c r="EQD15" s="1115"/>
      <c r="EQE15" s="1115"/>
      <c r="EQF15" s="1115"/>
      <c r="EQG15" s="1115"/>
      <c r="EQH15" s="1115"/>
      <c r="EQI15" s="1115"/>
      <c r="EQJ15" s="1115"/>
      <c r="EQK15" s="1115"/>
      <c r="EQL15" s="1115"/>
      <c r="EQM15" s="1115"/>
      <c r="EQN15" s="1115"/>
      <c r="EQO15" s="1115"/>
      <c r="EQP15" s="1115"/>
      <c r="EQQ15" s="1115"/>
      <c r="EQR15" s="1115"/>
      <c r="EQS15" s="1115"/>
      <c r="EQT15" s="1115"/>
      <c r="EQU15" s="1115"/>
      <c r="EQV15" s="1115"/>
      <c r="EQW15" s="1115"/>
      <c r="EQX15" s="1115"/>
      <c r="EQY15" s="1115"/>
      <c r="EQZ15" s="1115"/>
      <c r="ERA15" s="1115"/>
      <c r="ERB15" s="1115"/>
      <c r="ERC15" s="1115"/>
      <c r="ERD15" s="1115"/>
      <c r="ERE15" s="1115"/>
      <c r="ERF15" s="1115"/>
      <c r="ERG15" s="1115"/>
      <c r="ERH15" s="1115"/>
      <c r="ERI15" s="1115"/>
      <c r="ERJ15" s="1115"/>
      <c r="ERK15" s="1115"/>
      <c r="ERL15" s="1115"/>
      <c r="ERM15" s="1115"/>
      <c r="ERN15" s="1115"/>
      <c r="ERO15" s="1115"/>
      <c r="ERP15" s="1115"/>
      <c r="ERQ15" s="1115"/>
      <c r="ERR15" s="1115"/>
      <c r="ERS15" s="1115"/>
      <c r="ERT15" s="1115"/>
      <c r="ERU15" s="1115"/>
      <c r="ERV15" s="1115"/>
      <c r="ERW15" s="1115"/>
      <c r="ERX15" s="1115"/>
      <c r="ERY15" s="1115"/>
      <c r="ERZ15" s="1115"/>
      <c r="ESA15" s="1115"/>
      <c r="ESB15" s="1115"/>
      <c r="ESC15" s="1115"/>
      <c r="ESD15" s="1115"/>
      <c r="ESE15" s="1115"/>
      <c r="ESF15" s="1115"/>
      <c r="ESG15" s="1115"/>
      <c r="ESH15" s="1115"/>
      <c r="ESI15" s="1115"/>
      <c r="ESJ15" s="1115"/>
      <c r="ESK15" s="1115"/>
      <c r="ESL15" s="1115"/>
      <c r="ESM15" s="1115"/>
      <c r="ESN15" s="1115"/>
      <c r="ESO15" s="1115"/>
      <c r="ESP15" s="1115"/>
      <c r="ESQ15" s="1115"/>
      <c r="ESR15" s="1115"/>
      <c r="ESS15" s="1115"/>
      <c r="EST15" s="1115"/>
      <c r="ESU15" s="1115"/>
      <c r="ESV15" s="1115"/>
      <c r="ESW15" s="1115"/>
      <c r="ESX15" s="1115"/>
      <c r="ESY15" s="1115"/>
      <c r="ESZ15" s="1115"/>
      <c r="ETA15" s="1115"/>
      <c r="ETB15" s="1115"/>
      <c r="ETC15" s="1115"/>
      <c r="ETD15" s="1115"/>
      <c r="ETE15" s="1115"/>
      <c r="ETF15" s="1115"/>
      <c r="ETG15" s="1115"/>
      <c r="ETH15" s="1115"/>
      <c r="ETI15" s="1115"/>
      <c r="ETJ15" s="1115"/>
      <c r="ETK15" s="1115"/>
      <c r="ETL15" s="1115"/>
      <c r="ETM15" s="1115"/>
      <c r="ETN15" s="1115"/>
      <c r="ETO15" s="1115"/>
      <c r="ETP15" s="1115"/>
      <c r="ETQ15" s="1115"/>
      <c r="ETR15" s="1115"/>
      <c r="ETS15" s="1115"/>
      <c r="ETT15" s="1115"/>
      <c r="ETU15" s="1115"/>
      <c r="ETV15" s="1115"/>
      <c r="ETW15" s="1115"/>
      <c r="ETX15" s="1115"/>
      <c r="ETY15" s="1115"/>
      <c r="ETZ15" s="1115"/>
      <c r="EUA15" s="1115"/>
      <c r="EUB15" s="1115"/>
      <c r="EUC15" s="1115"/>
      <c r="EUD15" s="1115"/>
      <c r="EUE15" s="1115"/>
      <c r="EUF15" s="1115"/>
      <c r="EUG15" s="1115"/>
      <c r="EUH15" s="1115"/>
      <c r="EUI15" s="1115"/>
      <c r="EUJ15" s="1115"/>
      <c r="EUK15" s="1115"/>
      <c r="EUL15" s="1115"/>
      <c r="EUM15" s="1115"/>
      <c r="EUN15" s="1115"/>
      <c r="EUO15" s="1115"/>
      <c r="EUP15" s="1115"/>
      <c r="EUQ15" s="1115"/>
      <c r="EUR15" s="1115"/>
      <c r="EUS15" s="1115"/>
      <c r="EUT15" s="1115"/>
      <c r="EUU15" s="1115"/>
      <c r="EUV15" s="1115"/>
      <c r="EUW15" s="1115"/>
      <c r="EUX15" s="1115"/>
      <c r="EUY15" s="1115"/>
      <c r="EUZ15" s="1115"/>
      <c r="EVA15" s="1115"/>
      <c r="EVB15" s="1115"/>
      <c r="EVC15" s="1115"/>
      <c r="EVD15" s="1115"/>
      <c r="EVE15" s="1115"/>
      <c r="EVF15" s="1115"/>
      <c r="EVG15" s="1115"/>
      <c r="EVH15" s="1115"/>
      <c r="EVI15" s="1115"/>
      <c r="EVJ15" s="1115"/>
      <c r="EVK15" s="1115"/>
      <c r="EVL15" s="1115"/>
      <c r="EVM15" s="1115"/>
      <c r="EVN15" s="1115"/>
      <c r="EVO15" s="1115"/>
      <c r="EVP15" s="1115"/>
      <c r="EVQ15" s="1115"/>
      <c r="EVR15" s="1115"/>
      <c r="EVS15" s="1115"/>
      <c r="EVT15" s="1115"/>
      <c r="EVU15" s="1115"/>
      <c r="EVV15" s="1115"/>
      <c r="EVW15" s="1115"/>
      <c r="EVX15" s="1115"/>
      <c r="EVY15" s="1115"/>
      <c r="EVZ15" s="1115"/>
      <c r="EWA15" s="1115"/>
      <c r="EWB15" s="1115"/>
      <c r="EWC15" s="1115"/>
      <c r="EWD15" s="1115"/>
      <c r="EWE15" s="1115"/>
      <c r="EWF15" s="1115"/>
      <c r="EWG15" s="1115"/>
      <c r="EWH15" s="1115"/>
      <c r="EWI15" s="1115"/>
      <c r="EWJ15" s="1115"/>
      <c r="EWK15" s="1115"/>
      <c r="EWL15" s="1115"/>
      <c r="EWM15" s="1115"/>
      <c r="EWN15" s="1115"/>
      <c r="EWO15" s="1115"/>
      <c r="EWP15" s="1115"/>
      <c r="EWQ15" s="1115"/>
      <c r="EWR15" s="1115"/>
      <c r="EWS15" s="1115"/>
      <c r="EWT15" s="1115"/>
      <c r="EWU15" s="1115"/>
      <c r="EWV15" s="1115"/>
      <c r="EWW15" s="1115"/>
      <c r="EWX15" s="1115"/>
      <c r="EWY15" s="1115"/>
      <c r="EWZ15" s="1115"/>
      <c r="EXA15" s="1115"/>
      <c r="EXB15" s="1115"/>
      <c r="EXC15" s="1115"/>
      <c r="EXD15" s="1115"/>
      <c r="EXE15" s="1115"/>
      <c r="EXF15" s="1115"/>
      <c r="EXG15" s="1115"/>
      <c r="EXH15" s="1115"/>
      <c r="EXI15" s="1115"/>
      <c r="EXJ15" s="1115"/>
      <c r="EXK15" s="1115"/>
      <c r="EXL15" s="1115"/>
      <c r="EXM15" s="1115"/>
      <c r="EXN15" s="1115"/>
      <c r="EXO15" s="1115"/>
      <c r="EXP15" s="1115"/>
      <c r="EXQ15" s="1115"/>
      <c r="EXR15" s="1115"/>
      <c r="EXS15" s="1115"/>
      <c r="EXT15" s="1115"/>
      <c r="EXU15" s="1115"/>
      <c r="EXV15" s="1115"/>
      <c r="EXW15" s="1115"/>
      <c r="EXX15" s="1115"/>
      <c r="EXY15" s="1115"/>
      <c r="EXZ15" s="1115"/>
      <c r="EYA15" s="1115"/>
      <c r="EYB15" s="1115"/>
      <c r="EYC15" s="1115"/>
      <c r="EYD15" s="1115"/>
      <c r="EYE15" s="1115"/>
      <c r="EYF15" s="1115"/>
      <c r="EYG15" s="1115"/>
      <c r="EYH15" s="1115"/>
      <c r="EYI15" s="1115"/>
      <c r="EYJ15" s="1115"/>
      <c r="EYK15" s="1115"/>
      <c r="EYL15" s="1115"/>
      <c r="EYM15" s="1115"/>
      <c r="EYN15" s="1115"/>
      <c r="EYO15" s="1115"/>
      <c r="EYP15" s="1115"/>
      <c r="EYQ15" s="1115"/>
      <c r="EYR15" s="1115"/>
      <c r="EYS15" s="1115"/>
      <c r="EYT15" s="1115"/>
      <c r="EYU15" s="1115"/>
      <c r="EYV15" s="1115"/>
      <c r="EYW15" s="1115"/>
      <c r="EYX15" s="1115"/>
      <c r="EYY15" s="1115"/>
      <c r="EYZ15" s="1115"/>
      <c r="EZA15" s="1115"/>
      <c r="EZB15" s="1115"/>
      <c r="EZC15" s="1115"/>
      <c r="EZD15" s="1115"/>
      <c r="EZE15" s="1115"/>
      <c r="EZF15" s="1115"/>
      <c r="EZG15" s="1115"/>
      <c r="EZH15" s="1115"/>
      <c r="EZI15" s="1115"/>
      <c r="EZJ15" s="1115"/>
      <c r="EZK15" s="1115"/>
      <c r="EZL15" s="1115"/>
      <c r="EZM15" s="1115"/>
      <c r="EZN15" s="1115"/>
      <c r="EZO15" s="1115"/>
      <c r="EZP15" s="1115"/>
      <c r="EZQ15" s="1115"/>
      <c r="EZR15" s="1115"/>
      <c r="EZS15" s="1115"/>
      <c r="EZT15" s="1115"/>
      <c r="EZU15" s="1115"/>
      <c r="EZV15" s="1115"/>
      <c r="EZW15" s="1115"/>
      <c r="EZX15" s="1115"/>
      <c r="EZY15" s="1115"/>
      <c r="EZZ15" s="1115"/>
      <c r="FAA15" s="1115"/>
      <c r="FAB15" s="1115"/>
      <c r="FAC15" s="1115"/>
      <c r="FAD15" s="1115"/>
      <c r="FAE15" s="1115"/>
      <c r="FAF15" s="1115"/>
      <c r="FAG15" s="1115"/>
      <c r="FAH15" s="1115"/>
      <c r="FAI15" s="1115"/>
      <c r="FAJ15" s="1115"/>
      <c r="FAK15" s="1115"/>
      <c r="FAL15" s="1115"/>
      <c r="FAM15" s="1115"/>
      <c r="FAN15" s="1115"/>
      <c r="FAO15" s="1115"/>
      <c r="FAP15" s="1115"/>
      <c r="FAQ15" s="1115"/>
      <c r="FAR15" s="1115"/>
      <c r="FAS15" s="1115"/>
      <c r="FAT15" s="1115"/>
      <c r="FAU15" s="1115"/>
      <c r="FAV15" s="1115"/>
      <c r="FAW15" s="1115"/>
      <c r="FAX15" s="1115"/>
      <c r="FAY15" s="1115"/>
      <c r="FAZ15" s="1115"/>
      <c r="FBA15" s="1115"/>
      <c r="FBB15" s="1115"/>
      <c r="FBC15" s="1115"/>
      <c r="FBD15" s="1115"/>
      <c r="FBE15" s="1115"/>
      <c r="FBF15" s="1115"/>
      <c r="FBG15" s="1115"/>
      <c r="FBH15" s="1115"/>
      <c r="FBI15" s="1115"/>
      <c r="FBJ15" s="1115"/>
      <c r="FBK15" s="1115"/>
      <c r="FBL15" s="1115"/>
      <c r="FBM15" s="1115"/>
      <c r="FBN15" s="1115"/>
      <c r="FBO15" s="1115"/>
      <c r="FBP15" s="1115"/>
      <c r="FBQ15" s="1115"/>
      <c r="FBR15" s="1115"/>
      <c r="FBS15" s="1115"/>
      <c r="FBT15" s="1115"/>
      <c r="FBU15" s="1115"/>
      <c r="FBV15" s="1115"/>
      <c r="FBW15" s="1115"/>
      <c r="FBX15" s="1115"/>
      <c r="FBY15" s="1115"/>
      <c r="FBZ15" s="1115"/>
      <c r="FCA15" s="1115"/>
      <c r="FCB15" s="1115"/>
      <c r="FCC15" s="1115"/>
      <c r="FCD15" s="1115"/>
      <c r="FCE15" s="1115"/>
      <c r="FCF15" s="1115"/>
      <c r="FCG15" s="1115"/>
      <c r="FCH15" s="1115"/>
      <c r="FCI15" s="1115"/>
      <c r="FCJ15" s="1115"/>
      <c r="FCK15" s="1115"/>
      <c r="FCL15" s="1115"/>
      <c r="FCM15" s="1115"/>
      <c r="FCN15" s="1115"/>
      <c r="FCO15" s="1115"/>
      <c r="FCP15" s="1115"/>
      <c r="FCQ15" s="1115"/>
      <c r="FCR15" s="1115"/>
      <c r="FCS15" s="1115"/>
      <c r="FCT15" s="1115"/>
      <c r="FCU15" s="1115"/>
      <c r="FCV15" s="1115"/>
      <c r="FCW15" s="1115"/>
      <c r="FCX15" s="1115"/>
      <c r="FCY15" s="1115"/>
      <c r="FCZ15" s="1115"/>
      <c r="FDA15" s="1115"/>
      <c r="FDB15" s="1115"/>
      <c r="FDC15" s="1115"/>
      <c r="FDD15" s="1115"/>
      <c r="FDE15" s="1115"/>
      <c r="FDF15" s="1115"/>
      <c r="FDG15" s="1115"/>
      <c r="FDH15" s="1115"/>
      <c r="FDI15" s="1115"/>
      <c r="FDJ15" s="1115"/>
      <c r="FDK15" s="1115"/>
      <c r="FDL15" s="1115"/>
      <c r="FDM15" s="1115"/>
      <c r="FDN15" s="1115"/>
      <c r="FDO15" s="1115"/>
      <c r="FDP15" s="1115"/>
      <c r="FDQ15" s="1115"/>
      <c r="FDR15" s="1115"/>
      <c r="FDS15" s="1115"/>
      <c r="FDT15" s="1115"/>
      <c r="FDU15" s="1115"/>
      <c r="FDV15" s="1115"/>
      <c r="FDW15" s="1115"/>
      <c r="FDX15" s="1115"/>
      <c r="FDY15" s="1115"/>
      <c r="FDZ15" s="1115"/>
      <c r="FEA15" s="1115"/>
      <c r="FEB15" s="1115"/>
      <c r="FEC15" s="1115"/>
      <c r="FED15" s="1115"/>
      <c r="FEE15" s="1115"/>
      <c r="FEF15" s="1115"/>
      <c r="FEG15" s="1115"/>
      <c r="FEH15" s="1115"/>
      <c r="FEI15" s="1115"/>
      <c r="FEJ15" s="1115"/>
      <c r="FEK15" s="1115"/>
      <c r="FEL15" s="1115"/>
      <c r="FEM15" s="1115"/>
      <c r="FEN15" s="1115"/>
      <c r="FEO15" s="1115"/>
      <c r="FEP15" s="1115"/>
      <c r="FEQ15" s="1115"/>
      <c r="FER15" s="1115"/>
      <c r="FES15" s="1115"/>
      <c r="FET15" s="1115"/>
      <c r="FEU15" s="1115"/>
      <c r="FEV15" s="1115"/>
      <c r="FEW15" s="1115"/>
      <c r="FEX15" s="1115"/>
      <c r="FEY15" s="1115"/>
      <c r="FEZ15" s="1115"/>
      <c r="FFA15" s="1115"/>
      <c r="FFB15" s="1115"/>
      <c r="FFC15" s="1115"/>
      <c r="FFD15" s="1115"/>
      <c r="FFE15" s="1115"/>
      <c r="FFF15" s="1115"/>
      <c r="FFG15" s="1115"/>
      <c r="FFH15" s="1115"/>
      <c r="FFI15" s="1115"/>
      <c r="FFJ15" s="1115"/>
      <c r="FFK15" s="1115"/>
      <c r="FFL15" s="1115"/>
      <c r="FFM15" s="1115"/>
      <c r="FFN15" s="1115"/>
      <c r="FFO15" s="1115"/>
      <c r="FFP15" s="1115"/>
      <c r="FFQ15" s="1115"/>
      <c r="FFR15" s="1115"/>
      <c r="FFS15" s="1115"/>
      <c r="FFT15" s="1115"/>
      <c r="FFU15" s="1115"/>
      <c r="FFV15" s="1115"/>
      <c r="FFW15" s="1115"/>
      <c r="FFX15" s="1115"/>
      <c r="FFY15" s="1115"/>
      <c r="FFZ15" s="1115"/>
      <c r="FGA15" s="1115"/>
      <c r="FGB15" s="1115"/>
      <c r="FGC15" s="1115"/>
      <c r="FGD15" s="1115"/>
      <c r="FGE15" s="1115"/>
      <c r="FGF15" s="1115"/>
      <c r="FGG15" s="1115"/>
      <c r="FGH15" s="1115"/>
      <c r="FGI15" s="1115"/>
      <c r="FGJ15" s="1115"/>
      <c r="FGK15" s="1115"/>
      <c r="FGL15" s="1115"/>
      <c r="FGM15" s="1115"/>
      <c r="FGN15" s="1115"/>
      <c r="FGO15" s="1115"/>
      <c r="FGP15" s="1115"/>
      <c r="FGQ15" s="1115"/>
      <c r="FGR15" s="1115"/>
      <c r="FGS15" s="1115"/>
      <c r="FGT15" s="1115"/>
      <c r="FGU15" s="1115"/>
      <c r="FGV15" s="1115"/>
      <c r="FGW15" s="1115"/>
      <c r="FGX15" s="1115"/>
      <c r="FGY15" s="1115"/>
      <c r="FGZ15" s="1115"/>
      <c r="FHA15" s="1115"/>
      <c r="FHB15" s="1115"/>
      <c r="FHC15" s="1115"/>
      <c r="FHD15" s="1115"/>
      <c r="FHE15" s="1115"/>
      <c r="FHF15" s="1115"/>
      <c r="FHG15" s="1115"/>
      <c r="FHH15" s="1115"/>
      <c r="FHI15" s="1115"/>
      <c r="FHJ15" s="1115"/>
      <c r="FHK15" s="1115"/>
      <c r="FHL15" s="1115"/>
      <c r="FHM15" s="1115"/>
      <c r="FHN15" s="1115"/>
      <c r="FHO15" s="1115"/>
      <c r="FHP15" s="1115"/>
      <c r="FHQ15" s="1115"/>
      <c r="FHR15" s="1115"/>
      <c r="FHS15" s="1115"/>
      <c r="FHT15" s="1115"/>
      <c r="FHU15" s="1115"/>
      <c r="FHV15" s="1115"/>
      <c r="FHW15" s="1115"/>
      <c r="FHX15" s="1115"/>
      <c r="FHY15" s="1115"/>
      <c r="FHZ15" s="1115"/>
      <c r="FIA15" s="1115"/>
      <c r="FIB15" s="1115"/>
      <c r="FIC15" s="1115"/>
      <c r="FID15" s="1115"/>
      <c r="FIE15" s="1115"/>
      <c r="FIF15" s="1115"/>
      <c r="FIG15" s="1115"/>
      <c r="FIH15" s="1115"/>
      <c r="FII15" s="1115"/>
      <c r="FIJ15" s="1115"/>
      <c r="FIK15" s="1115"/>
      <c r="FIL15" s="1115"/>
      <c r="FIM15" s="1115"/>
      <c r="FIN15" s="1115"/>
      <c r="FIO15" s="1115"/>
      <c r="FIP15" s="1115"/>
      <c r="FIQ15" s="1115"/>
      <c r="FIR15" s="1115"/>
      <c r="FIS15" s="1115"/>
      <c r="FIT15" s="1115"/>
      <c r="FIU15" s="1115"/>
      <c r="FIV15" s="1115"/>
      <c r="FIW15" s="1115"/>
      <c r="FIX15" s="1115"/>
      <c r="FIY15" s="1115"/>
      <c r="FIZ15" s="1115"/>
      <c r="FJA15" s="1115"/>
      <c r="FJB15" s="1115"/>
      <c r="FJC15" s="1115"/>
      <c r="FJD15" s="1115"/>
      <c r="FJE15" s="1115"/>
      <c r="FJF15" s="1115"/>
      <c r="FJG15" s="1115"/>
      <c r="FJH15" s="1115"/>
      <c r="FJI15" s="1115"/>
      <c r="FJJ15" s="1115"/>
      <c r="FJK15" s="1115"/>
      <c r="FJL15" s="1115"/>
      <c r="FJM15" s="1115"/>
      <c r="FJN15" s="1115"/>
      <c r="FJO15" s="1115"/>
      <c r="FJP15" s="1115"/>
      <c r="FJQ15" s="1115"/>
      <c r="FJR15" s="1115"/>
      <c r="FJS15" s="1115"/>
      <c r="FJT15" s="1115"/>
      <c r="FJU15" s="1115"/>
      <c r="FJV15" s="1115"/>
      <c r="FJW15" s="1115"/>
      <c r="FJX15" s="1115"/>
      <c r="FJY15" s="1115"/>
      <c r="FJZ15" s="1115"/>
      <c r="FKA15" s="1115"/>
      <c r="FKB15" s="1115"/>
      <c r="FKC15" s="1115"/>
      <c r="FKD15" s="1115"/>
      <c r="FKE15" s="1115"/>
      <c r="FKF15" s="1115"/>
      <c r="FKG15" s="1115"/>
      <c r="FKH15" s="1115"/>
      <c r="FKI15" s="1115"/>
      <c r="FKJ15" s="1115"/>
      <c r="FKK15" s="1115"/>
      <c r="FKL15" s="1115"/>
      <c r="FKM15" s="1115"/>
      <c r="FKN15" s="1115"/>
      <c r="FKO15" s="1115"/>
      <c r="FKP15" s="1115"/>
      <c r="FKQ15" s="1115"/>
      <c r="FKR15" s="1115"/>
      <c r="FKS15" s="1115"/>
      <c r="FKT15" s="1115"/>
      <c r="FKU15" s="1115"/>
      <c r="FKV15" s="1115"/>
      <c r="FKW15" s="1115"/>
      <c r="FKX15" s="1115"/>
      <c r="FKY15" s="1115"/>
      <c r="FKZ15" s="1115"/>
      <c r="FLA15" s="1115"/>
      <c r="FLB15" s="1115"/>
      <c r="FLC15" s="1115"/>
      <c r="FLD15" s="1115"/>
      <c r="FLE15" s="1115"/>
      <c r="FLF15" s="1115"/>
      <c r="FLG15" s="1115"/>
      <c r="FLH15" s="1115"/>
      <c r="FLI15" s="1115"/>
      <c r="FLJ15" s="1115"/>
      <c r="FLK15" s="1115"/>
      <c r="FLL15" s="1115"/>
      <c r="FLM15" s="1115"/>
      <c r="FLN15" s="1115"/>
      <c r="FLO15" s="1115"/>
      <c r="FLP15" s="1115"/>
      <c r="FLQ15" s="1115"/>
      <c r="FLR15" s="1115"/>
      <c r="FLS15" s="1115"/>
      <c r="FLT15" s="1115"/>
      <c r="FLU15" s="1115"/>
      <c r="FLV15" s="1115"/>
      <c r="FLW15" s="1115"/>
      <c r="FLX15" s="1115"/>
      <c r="FLY15" s="1115"/>
      <c r="FLZ15" s="1115"/>
      <c r="FMA15" s="1115"/>
      <c r="FMB15" s="1115"/>
      <c r="FMC15" s="1115"/>
      <c r="FMD15" s="1115"/>
      <c r="FME15" s="1115"/>
      <c r="FMF15" s="1115"/>
      <c r="FMG15" s="1115"/>
      <c r="FMH15" s="1115"/>
      <c r="FMI15" s="1115"/>
      <c r="FMJ15" s="1115"/>
      <c r="FMK15" s="1115"/>
      <c r="FML15" s="1115"/>
      <c r="FMM15" s="1115"/>
      <c r="FMN15" s="1115"/>
      <c r="FMO15" s="1115"/>
      <c r="FMP15" s="1115"/>
      <c r="FMQ15" s="1115"/>
      <c r="FMR15" s="1115"/>
      <c r="FMS15" s="1115"/>
      <c r="FMT15" s="1115"/>
      <c r="FMU15" s="1115"/>
      <c r="FMV15" s="1115"/>
      <c r="FMW15" s="1115"/>
      <c r="FMX15" s="1115"/>
      <c r="FMY15" s="1115"/>
      <c r="FMZ15" s="1115"/>
      <c r="FNA15" s="1115"/>
      <c r="FNB15" s="1115"/>
      <c r="FNC15" s="1115"/>
      <c r="FND15" s="1115"/>
      <c r="FNE15" s="1115"/>
      <c r="FNF15" s="1115"/>
      <c r="FNG15" s="1115"/>
      <c r="FNH15" s="1115"/>
      <c r="FNI15" s="1115"/>
      <c r="FNJ15" s="1115"/>
      <c r="FNK15" s="1115"/>
      <c r="FNL15" s="1115"/>
      <c r="FNM15" s="1115"/>
      <c r="FNN15" s="1115"/>
      <c r="FNO15" s="1115"/>
      <c r="FNP15" s="1115"/>
      <c r="FNQ15" s="1115"/>
      <c r="FNR15" s="1115"/>
      <c r="FNS15" s="1115"/>
      <c r="FNT15" s="1115"/>
      <c r="FNU15" s="1115"/>
      <c r="FNV15" s="1115"/>
      <c r="FNW15" s="1115"/>
      <c r="FNX15" s="1115"/>
      <c r="FNY15" s="1115"/>
      <c r="FNZ15" s="1115"/>
      <c r="FOA15" s="1115"/>
      <c r="FOB15" s="1115"/>
      <c r="FOC15" s="1115"/>
      <c r="FOD15" s="1115"/>
      <c r="FOE15" s="1115"/>
      <c r="FOF15" s="1115"/>
      <c r="FOG15" s="1115"/>
      <c r="FOH15" s="1115"/>
      <c r="FOI15" s="1115"/>
      <c r="FOJ15" s="1115"/>
      <c r="FOK15" s="1115"/>
      <c r="FOL15" s="1115"/>
      <c r="FOM15" s="1115"/>
      <c r="FON15" s="1115"/>
      <c r="FOO15" s="1115"/>
      <c r="FOP15" s="1115"/>
      <c r="FOQ15" s="1115"/>
      <c r="FOR15" s="1115"/>
      <c r="FOS15" s="1115"/>
      <c r="FOT15" s="1115"/>
      <c r="FOU15" s="1115"/>
      <c r="FOV15" s="1115"/>
      <c r="FOW15" s="1115"/>
      <c r="FOX15" s="1115"/>
      <c r="FOY15" s="1115"/>
      <c r="FOZ15" s="1115"/>
      <c r="FPA15" s="1115"/>
      <c r="FPB15" s="1115"/>
      <c r="FPC15" s="1115"/>
      <c r="FPD15" s="1115"/>
      <c r="FPE15" s="1115"/>
      <c r="FPF15" s="1115"/>
      <c r="FPG15" s="1115"/>
      <c r="FPH15" s="1115"/>
      <c r="FPI15" s="1115"/>
      <c r="FPJ15" s="1115"/>
      <c r="FPK15" s="1115"/>
      <c r="FPL15" s="1115"/>
      <c r="FPM15" s="1115"/>
      <c r="FPN15" s="1115"/>
      <c r="FPO15" s="1115"/>
      <c r="FPP15" s="1115"/>
      <c r="FPQ15" s="1115"/>
      <c r="FPR15" s="1115"/>
      <c r="FPS15" s="1115"/>
      <c r="FPT15" s="1115"/>
      <c r="FPU15" s="1115"/>
      <c r="FPV15" s="1115"/>
      <c r="FPW15" s="1115"/>
      <c r="FPX15" s="1115"/>
      <c r="FPY15" s="1115"/>
      <c r="FPZ15" s="1115"/>
      <c r="FQA15" s="1115"/>
      <c r="FQB15" s="1115"/>
      <c r="FQC15" s="1115"/>
      <c r="FQD15" s="1115"/>
      <c r="FQE15" s="1115"/>
      <c r="FQF15" s="1115"/>
      <c r="FQG15" s="1115"/>
      <c r="FQH15" s="1115"/>
      <c r="FQI15" s="1115"/>
      <c r="FQJ15" s="1115"/>
      <c r="FQK15" s="1115"/>
      <c r="FQL15" s="1115"/>
      <c r="FQM15" s="1115"/>
      <c r="FQN15" s="1115"/>
      <c r="FQO15" s="1115"/>
      <c r="FQP15" s="1115"/>
      <c r="FQQ15" s="1115"/>
      <c r="FQR15" s="1115"/>
      <c r="FQS15" s="1115"/>
      <c r="FQT15" s="1115"/>
      <c r="FQU15" s="1115"/>
      <c r="FQV15" s="1115"/>
      <c r="FQW15" s="1115"/>
      <c r="FQX15" s="1115"/>
      <c r="FQY15" s="1115"/>
      <c r="FQZ15" s="1115"/>
      <c r="FRA15" s="1115"/>
      <c r="FRB15" s="1115"/>
      <c r="FRC15" s="1115"/>
      <c r="FRD15" s="1115"/>
      <c r="FRE15" s="1115"/>
      <c r="FRF15" s="1115"/>
      <c r="FRG15" s="1115"/>
      <c r="FRH15" s="1115"/>
      <c r="FRI15" s="1115"/>
      <c r="FRJ15" s="1115"/>
      <c r="FRK15" s="1115"/>
      <c r="FRL15" s="1115"/>
      <c r="FRM15" s="1115"/>
      <c r="FRN15" s="1115"/>
      <c r="FRO15" s="1115"/>
      <c r="FRP15" s="1115"/>
      <c r="FRQ15" s="1115"/>
      <c r="FRR15" s="1115"/>
      <c r="FRS15" s="1115"/>
      <c r="FRT15" s="1115"/>
      <c r="FRU15" s="1115"/>
      <c r="FRV15" s="1115"/>
      <c r="FRW15" s="1115"/>
      <c r="FRX15" s="1115"/>
      <c r="FRY15" s="1115"/>
      <c r="FRZ15" s="1115"/>
      <c r="FSA15" s="1115"/>
      <c r="FSB15" s="1115"/>
      <c r="FSC15" s="1115"/>
      <c r="FSD15" s="1115"/>
      <c r="FSE15" s="1115"/>
      <c r="FSF15" s="1115"/>
      <c r="FSG15" s="1115"/>
      <c r="FSH15" s="1115"/>
      <c r="FSI15" s="1115"/>
      <c r="FSJ15" s="1115"/>
      <c r="FSK15" s="1115"/>
      <c r="FSL15" s="1115"/>
      <c r="FSM15" s="1115"/>
      <c r="FSN15" s="1115"/>
      <c r="FSO15" s="1115"/>
      <c r="FSP15" s="1115"/>
      <c r="FSQ15" s="1115"/>
      <c r="FSR15" s="1115"/>
      <c r="FSS15" s="1115"/>
      <c r="FST15" s="1115"/>
      <c r="FSU15" s="1115"/>
      <c r="FSV15" s="1115"/>
      <c r="FSW15" s="1115"/>
      <c r="FSX15" s="1115"/>
      <c r="FSY15" s="1115"/>
      <c r="FSZ15" s="1115"/>
      <c r="FTA15" s="1115"/>
      <c r="FTB15" s="1115"/>
      <c r="FTC15" s="1115"/>
      <c r="FTD15" s="1115"/>
      <c r="FTE15" s="1115"/>
      <c r="FTF15" s="1115"/>
      <c r="FTG15" s="1115"/>
      <c r="FTH15" s="1115"/>
      <c r="FTI15" s="1115"/>
      <c r="FTJ15" s="1115"/>
      <c r="FTK15" s="1115"/>
      <c r="FTL15" s="1115"/>
      <c r="FTM15" s="1115"/>
      <c r="FTN15" s="1115"/>
      <c r="FTO15" s="1115"/>
      <c r="FTP15" s="1115"/>
      <c r="FTQ15" s="1115"/>
      <c r="FTR15" s="1115"/>
      <c r="FTS15" s="1115"/>
      <c r="FTT15" s="1115"/>
      <c r="FTU15" s="1115"/>
      <c r="FTV15" s="1115"/>
      <c r="FTW15" s="1115"/>
      <c r="FTX15" s="1115"/>
      <c r="FTY15" s="1115"/>
      <c r="FTZ15" s="1115"/>
      <c r="FUA15" s="1115"/>
      <c r="FUB15" s="1115"/>
      <c r="FUC15" s="1115"/>
      <c r="FUD15" s="1115"/>
      <c r="FUE15" s="1115"/>
      <c r="FUF15" s="1115"/>
      <c r="FUG15" s="1115"/>
      <c r="FUH15" s="1115"/>
      <c r="FUI15" s="1115"/>
      <c r="FUJ15" s="1115"/>
      <c r="FUK15" s="1115"/>
      <c r="FUL15" s="1115"/>
      <c r="FUM15" s="1115"/>
      <c r="FUN15" s="1115"/>
      <c r="FUO15" s="1115"/>
      <c r="FUP15" s="1115"/>
      <c r="FUQ15" s="1115"/>
      <c r="FUR15" s="1115"/>
      <c r="FUS15" s="1115"/>
      <c r="FUT15" s="1115"/>
      <c r="FUU15" s="1115"/>
      <c r="FUV15" s="1115"/>
      <c r="FUW15" s="1115"/>
      <c r="FUX15" s="1115"/>
      <c r="FUY15" s="1115"/>
      <c r="FUZ15" s="1115"/>
      <c r="FVA15" s="1115"/>
      <c r="FVB15" s="1115"/>
      <c r="FVC15" s="1115"/>
      <c r="FVD15" s="1115"/>
      <c r="FVE15" s="1115"/>
      <c r="FVF15" s="1115"/>
      <c r="FVG15" s="1115"/>
      <c r="FVH15" s="1115"/>
      <c r="FVI15" s="1115"/>
      <c r="FVJ15" s="1115"/>
      <c r="FVK15" s="1115"/>
      <c r="FVL15" s="1115"/>
      <c r="FVM15" s="1115"/>
      <c r="FVN15" s="1115"/>
      <c r="FVO15" s="1115"/>
      <c r="FVP15" s="1115"/>
      <c r="FVQ15" s="1115"/>
      <c r="FVR15" s="1115"/>
      <c r="FVS15" s="1115"/>
      <c r="FVT15" s="1115"/>
      <c r="FVU15" s="1115"/>
      <c r="FVV15" s="1115"/>
      <c r="FVW15" s="1115"/>
      <c r="FVX15" s="1115"/>
      <c r="FVY15" s="1115"/>
      <c r="FVZ15" s="1115"/>
      <c r="FWA15" s="1115"/>
      <c r="FWB15" s="1115"/>
      <c r="FWC15" s="1115"/>
      <c r="FWD15" s="1115"/>
      <c r="FWE15" s="1115"/>
      <c r="FWF15" s="1115"/>
      <c r="FWG15" s="1115"/>
      <c r="FWH15" s="1115"/>
      <c r="FWI15" s="1115"/>
      <c r="FWJ15" s="1115"/>
      <c r="FWK15" s="1115"/>
      <c r="FWL15" s="1115"/>
      <c r="FWM15" s="1115"/>
      <c r="FWN15" s="1115"/>
      <c r="FWO15" s="1115"/>
      <c r="FWP15" s="1115"/>
      <c r="FWQ15" s="1115"/>
      <c r="FWR15" s="1115"/>
      <c r="FWS15" s="1115"/>
      <c r="FWT15" s="1115"/>
      <c r="FWU15" s="1115"/>
      <c r="FWV15" s="1115"/>
      <c r="FWW15" s="1115"/>
      <c r="FWX15" s="1115"/>
      <c r="FWY15" s="1115"/>
      <c r="FWZ15" s="1115"/>
      <c r="FXA15" s="1115"/>
      <c r="FXB15" s="1115"/>
      <c r="FXC15" s="1115"/>
      <c r="FXD15" s="1115"/>
      <c r="FXE15" s="1115"/>
      <c r="FXF15" s="1115"/>
      <c r="FXG15" s="1115"/>
      <c r="FXH15" s="1115"/>
      <c r="FXI15" s="1115"/>
      <c r="FXJ15" s="1115"/>
      <c r="FXK15" s="1115"/>
      <c r="FXL15" s="1115"/>
      <c r="FXM15" s="1115"/>
      <c r="FXN15" s="1115"/>
      <c r="FXO15" s="1115"/>
      <c r="FXP15" s="1115"/>
      <c r="FXQ15" s="1115"/>
      <c r="FXR15" s="1115"/>
      <c r="FXS15" s="1115"/>
      <c r="FXT15" s="1115"/>
      <c r="FXU15" s="1115"/>
      <c r="FXV15" s="1115"/>
      <c r="FXW15" s="1115"/>
      <c r="FXX15" s="1115"/>
      <c r="FXY15" s="1115"/>
      <c r="FXZ15" s="1115"/>
      <c r="FYA15" s="1115"/>
      <c r="FYB15" s="1115"/>
      <c r="FYC15" s="1115"/>
      <c r="FYD15" s="1115"/>
      <c r="FYE15" s="1115"/>
      <c r="FYF15" s="1115"/>
      <c r="FYG15" s="1115"/>
      <c r="FYH15" s="1115"/>
      <c r="FYI15" s="1115"/>
      <c r="FYJ15" s="1115"/>
      <c r="FYK15" s="1115"/>
      <c r="FYL15" s="1115"/>
      <c r="FYM15" s="1115"/>
      <c r="FYN15" s="1115"/>
      <c r="FYO15" s="1115"/>
      <c r="FYP15" s="1115"/>
      <c r="FYQ15" s="1115"/>
      <c r="FYR15" s="1115"/>
      <c r="FYS15" s="1115"/>
      <c r="FYT15" s="1115"/>
      <c r="FYU15" s="1115"/>
      <c r="FYV15" s="1115"/>
      <c r="FYW15" s="1115"/>
      <c r="FYX15" s="1115"/>
      <c r="FYY15" s="1115"/>
      <c r="FYZ15" s="1115"/>
      <c r="FZA15" s="1115"/>
      <c r="FZB15" s="1115"/>
      <c r="FZC15" s="1115"/>
      <c r="FZD15" s="1115"/>
      <c r="FZE15" s="1115"/>
      <c r="FZF15" s="1115"/>
      <c r="FZG15" s="1115"/>
      <c r="FZH15" s="1115"/>
      <c r="FZI15" s="1115"/>
      <c r="FZJ15" s="1115"/>
      <c r="FZK15" s="1115"/>
      <c r="FZL15" s="1115"/>
      <c r="FZM15" s="1115"/>
      <c r="FZN15" s="1115"/>
      <c r="FZO15" s="1115"/>
      <c r="FZP15" s="1115"/>
      <c r="FZQ15" s="1115"/>
      <c r="FZR15" s="1115"/>
      <c r="FZS15" s="1115"/>
      <c r="FZT15" s="1115"/>
      <c r="FZU15" s="1115"/>
      <c r="FZV15" s="1115"/>
      <c r="FZW15" s="1115"/>
      <c r="FZX15" s="1115"/>
      <c r="FZY15" s="1115"/>
      <c r="FZZ15" s="1115"/>
      <c r="GAA15" s="1115"/>
      <c r="GAB15" s="1115"/>
      <c r="GAC15" s="1115"/>
      <c r="GAD15" s="1115"/>
      <c r="GAE15" s="1115"/>
      <c r="GAF15" s="1115"/>
      <c r="GAG15" s="1115"/>
      <c r="GAH15" s="1115"/>
      <c r="GAI15" s="1115"/>
      <c r="GAJ15" s="1115"/>
      <c r="GAK15" s="1115"/>
      <c r="GAL15" s="1115"/>
      <c r="GAM15" s="1115"/>
      <c r="GAN15" s="1115"/>
      <c r="GAO15" s="1115"/>
      <c r="GAP15" s="1115"/>
      <c r="GAQ15" s="1115"/>
      <c r="GAR15" s="1115"/>
      <c r="GAS15" s="1115"/>
      <c r="GAT15" s="1115"/>
      <c r="GAU15" s="1115"/>
      <c r="GAV15" s="1115"/>
      <c r="GAW15" s="1115"/>
      <c r="GAX15" s="1115"/>
      <c r="GAY15" s="1115"/>
      <c r="GAZ15" s="1115"/>
      <c r="GBA15" s="1115"/>
      <c r="GBB15" s="1115"/>
      <c r="GBC15" s="1115"/>
      <c r="GBD15" s="1115"/>
      <c r="GBE15" s="1115"/>
      <c r="GBF15" s="1115"/>
      <c r="GBG15" s="1115"/>
      <c r="GBH15" s="1115"/>
      <c r="GBI15" s="1115"/>
      <c r="GBJ15" s="1115"/>
      <c r="GBK15" s="1115"/>
      <c r="GBL15" s="1115"/>
      <c r="GBM15" s="1115"/>
      <c r="GBN15" s="1115"/>
      <c r="GBO15" s="1115"/>
      <c r="GBP15" s="1115"/>
      <c r="GBQ15" s="1115"/>
      <c r="GBR15" s="1115"/>
      <c r="GBS15" s="1115"/>
      <c r="GBT15" s="1115"/>
      <c r="GBU15" s="1115"/>
      <c r="GBV15" s="1115"/>
      <c r="GBW15" s="1115"/>
      <c r="GBX15" s="1115"/>
      <c r="GBY15" s="1115"/>
      <c r="GBZ15" s="1115"/>
      <c r="GCA15" s="1115"/>
      <c r="GCB15" s="1115"/>
      <c r="GCC15" s="1115"/>
      <c r="GCD15" s="1115"/>
      <c r="GCE15" s="1115"/>
      <c r="GCF15" s="1115"/>
      <c r="GCG15" s="1115"/>
      <c r="GCH15" s="1115"/>
      <c r="GCI15" s="1115"/>
      <c r="GCJ15" s="1115"/>
      <c r="GCK15" s="1115"/>
      <c r="GCL15" s="1115"/>
      <c r="GCM15" s="1115"/>
      <c r="GCN15" s="1115"/>
      <c r="GCO15" s="1115"/>
      <c r="GCP15" s="1115"/>
      <c r="GCQ15" s="1115"/>
      <c r="GCR15" s="1115"/>
      <c r="GCS15" s="1115"/>
      <c r="GCT15" s="1115"/>
      <c r="GCU15" s="1115"/>
      <c r="GCV15" s="1115"/>
      <c r="GCW15" s="1115"/>
      <c r="GCX15" s="1115"/>
      <c r="GCY15" s="1115"/>
      <c r="GCZ15" s="1115"/>
      <c r="GDA15" s="1115"/>
      <c r="GDB15" s="1115"/>
      <c r="GDC15" s="1115"/>
      <c r="GDD15" s="1115"/>
      <c r="GDE15" s="1115"/>
      <c r="GDF15" s="1115"/>
      <c r="GDG15" s="1115"/>
      <c r="GDH15" s="1115"/>
      <c r="GDI15" s="1115"/>
      <c r="GDJ15" s="1115"/>
      <c r="GDK15" s="1115"/>
      <c r="GDL15" s="1115"/>
      <c r="GDM15" s="1115"/>
      <c r="GDN15" s="1115"/>
      <c r="GDO15" s="1115"/>
      <c r="GDP15" s="1115"/>
      <c r="GDQ15" s="1115"/>
      <c r="GDR15" s="1115"/>
      <c r="GDS15" s="1115"/>
      <c r="GDT15" s="1115"/>
      <c r="GDU15" s="1115"/>
      <c r="GDV15" s="1115"/>
      <c r="GDW15" s="1115"/>
      <c r="GDX15" s="1115"/>
      <c r="GDY15" s="1115"/>
      <c r="GDZ15" s="1115"/>
      <c r="GEA15" s="1115"/>
      <c r="GEB15" s="1115"/>
      <c r="GEC15" s="1115"/>
      <c r="GED15" s="1115"/>
      <c r="GEE15" s="1115"/>
      <c r="GEF15" s="1115"/>
      <c r="GEG15" s="1115"/>
      <c r="GEH15" s="1115"/>
      <c r="GEI15" s="1115"/>
      <c r="GEJ15" s="1115"/>
      <c r="GEK15" s="1115"/>
      <c r="GEL15" s="1115"/>
      <c r="GEM15" s="1115"/>
      <c r="GEN15" s="1115"/>
      <c r="GEO15" s="1115"/>
      <c r="GEP15" s="1115"/>
      <c r="GEQ15" s="1115"/>
      <c r="GER15" s="1115"/>
      <c r="GES15" s="1115"/>
      <c r="GET15" s="1115"/>
      <c r="GEU15" s="1115"/>
      <c r="GEV15" s="1115"/>
      <c r="GEW15" s="1115"/>
      <c r="GEX15" s="1115"/>
      <c r="GEY15" s="1115"/>
      <c r="GEZ15" s="1115"/>
      <c r="GFA15" s="1115"/>
      <c r="GFB15" s="1115"/>
      <c r="GFC15" s="1115"/>
      <c r="GFD15" s="1115"/>
      <c r="GFE15" s="1115"/>
      <c r="GFF15" s="1115"/>
      <c r="GFG15" s="1115"/>
      <c r="GFH15" s="1115"/>
      <c r="GFI15" s="1115"/>
      <c r="GFJ15" s="1115"/>
      <c r="GFK15" s="1115"/>
      <c r="GFL15" s="1115"/>
      <c r="GFM15" s="1115"/>
      <c r="GFN15" s="1115"/>
      <c r="GFO15" s="1115"/>
      <c r="GFP15" s="1115"/>
      <c r="GFQ15" s="1115"/>
      <c r="GFR15" s="1115"/>
      <c r="GFS15" s="1115"/>
      <c r="GFT15" s="1115"/>
      <c r="GFU15" s="1115"/>
      <c r="GFV15" s="1115"/>
      <c r="GFW15" s="1115"/>
      <c r="GFX15" s="1115"/>
      <c r="GFY15" s="1115"/>
      <c r="GFZ15" s="1115"/>
      <c r="GGA15" s="1115"/>
      <c r="GGB15" s="1115"/>
      <c r="GGC15" s="1115"/>
      <c r="GGD15" s="1115"/>
      <c r="GGE15" s="1115"/>
      <c r="GGF15" s="1115"/>
      <c r="GGG15" s="1115"/>
      <c r="GGH15" s="1115"/>
      <c r="GGI15" s="1115"/>
      <c r="GGJ15" s="1115"/>
      <c r="GGK15" s="1115"/>
      <c r="GGL15" s="1115"/>
      <c r="GGM15" s="1115"/>
      <c r="GGN15" s="1115"/>
      <c r="GGO15" s="1115"/>
      <c r="GGP15" s="1115"/>
      <c r="GGQ15" s="1115"/>
      <c r="GGR15" s="1115"/>
      <c r="GGS15" s="1115"/>
      <c r="GGT15" s="1115"/>
      <c r="GGU15" s="1115"/>
      <c r="GGV15" s="1115"/>
      <c r="GGW15" s="1115"/>
      <c r="GGX15" s="1115"/>
      <c r="GGY15" s="1115"/>
      <c r="GGZ15" s="1115"/>
      <c r="GHA15" s="1115"/>
      <c r="GHB15" s="1115"/>
      <c r="GHC15" s="1115"/>
      <c r="GHD15" s="1115"/>
      <c r="GHE15" s="1115"/>
      <c r="GHF15" s="1115"/>
      <c r="GHG15" s="1115"/>
      <c r="GHH15" s="1115"/>
      <c r="GHI15" s="1115"/>
      <c r="GHJ15" s="1115"/>
      <c r="GHK15" s="1115"/>
      <c r="GHL15" s="1115"/>
      <c r="GHM15" s="1115"/>
      <c r="GHN15" s="1115"/>
      <c r="GHO15" s="1115"/>
      <c r="GHP15" s="1115"/>
      <c r="GHQ15" s="1115"/>
      <c r="GHR15" s="1115"/>
      <c r="GHS15" s="1115"/>
      <c r="GHT15" s="1115"/>
      <c r="GHU15" s="1115"/>
      <c r="GHV15" s="1115"/>
      <c r="GHW15" s="1115"/>
      <c r="GHX15" s="1115"/>
      <c r="GHY15" s="1115"/>
      <c r="GHZ15" s="1115"/>
      <c r="GIA15" s="1115"/>
      <c r="GIB15" s="1115"/>
      <c r="GIC15" s="1115"/>
      <c r="GID15" s="1115"/>
      <c r="GIE15" s="1115"/>
      <c r="GIF15" s="1115"/>
      <c r="GIG15" s="1115"/>
      <c r="GIH15" s="1115"/>
      <c r="GII15" s="1115"/>
      <c r="GIJ15" s="1115"/>
      <c r="GIK15" s="1115"/>
      <c r="GIL15" s="1115"/>
      <c r="GIM15" s="1115"/>
      <c r="GIN15" s="1115"/>
      <c r="GIO15" s="1115"/>
      <c r="GIP15" s="1115"/>
      <c r="GIQ15" s="1115"/>
      <c r="GIR15" s="1115"/>
      <c r="GIS15" s="1115"/>
      <c r="GIT15" s="1115"/>
      <c r="GIU15" s="1115"/>
      <c r="GIV15" s="1115"/>
      <c r="GIW15" s="1115"/>
      <c r="GIX15" s="1115"/>
      <c r="GIY15" s="1115"/>
      <c r="GIZ15" s="1115"/>
      <c r="GJA15" s="1115"/>
      <c r="GJB15" s="1115"/>
      <c r="GJC15" s="1115"/>
      <c r="GJD15" s="1115"/>
      <c r="GJE15" s="1115"/>
      <c r="GJF15" s="1115"/>
      <c r="GJG15" s="1115"/>
      <c r="GJH15" s="1115"/>
      <c r="GJI15" s="1115"/>
      <c r="GJJ15" s="1115"/>
      <c r="GJK15" s="1115"/>
      <c r="GJL15" s="1115"/>
      <c r="GJM15" s="1115"/>
      <c r="GJN15" s="1115"/>
      <c r="GJO15" s="1115"/>
      <c r="GJP15" s="1115"/>
      <c r="GJQ15" s="1115"/>
      <c r="GJR15" s="1115"/>
      <c r="GJS15" s="1115"/>
      <c r="GJT15" s="1115"/>
      <c r="GJU15" s="1115"/>
      <c r="GJV15" s="1115"/>
      <c r="GJW15" s="1115"/>
      <c r="GJX15" s="1115"/>
      <c r="GJY15" s="1115"/>
      <c r="GJZ15" s="1115"/>
      <c r="GKA15" s="1115"/>
      <c r="GKB15" s="1115"/>
      <c r="GKC15" s="1115"/>
      <c r="GKD15" s="1115"/>
      <c r="GKE15" s="1115"/>
      <c r="GKF15" s="1115"/>
      <c r="GKG15" s="1115"/>
      <c r="GKH15" s="1115"/>
      <c r="GKI15" s="1115"/>
      <c r="GKJ15" s="1115"/>
      <c r="GKK15" s="1115"/>
      <c r="GKL15" s="1115"/>
      <c r="GKM15" s="1115"/>
      <c r="GKN15" s="1115"/>
      <c r="GKO15" s="1115"/>
      <c r="GKP15" s="1115"/>
      <c r="GKQ15" s="1115"/>
      <c r="GKR15" s="1115"/>
      <c r="GKS15" s="1115"/>
      <c r="GKT15" s="1115"/>
      <c r="GKU15" s="1115"/>
      <c r="GKV15" s="1115"/>
      <c r="GKW15" s="1115"/>
      <c r="GKX15" s="1115"/>
      <c r="GKY15" s="1115"/>
      <c r="GKZ15" s="1115"/>
      <c r="GLA15" s="1115"/>
      <c r="GLB15" s="1115"/>
      <c r="GLC15" s="1115"/>
      <c r="GLD15" s="1115"/>
      <c r="GLE15" s="1115"/>
      <c r="GLF15" s="1115"/>
      <c r="GLG15" s="1115"/>
      <c r="GLH15" s="1115"/>
      <c r="GLI15" s="1115"/>
      <c r="GLJ15" s="1115"/>
      <c r="GLK15" s="1115"/>
      <c r="GLL15" s="1115"/>
      <c r="GLM15" s="1115"/>
      <c r="GLN15" s="1115"/>
      <c r="GLO15" s="1115"/>
      <c r="GLP15" s="1115"/>
      <c r="GLQ15" s="1115"/>
      <c r="GLR15" s="1115"/>
      <c r="GLS15" s="1115"/>
      <c r="GLT15" s="1115"/>
      <c r="GLU15" s="1115"/>
      <c r="GLV15" s="1115"/>
      <c r="GLW15" s="1115"/>
      <c r="GLX15" s="1115"/>
      <c r="GLY15" s="1115"/>
      <c r="GLZ15" s="1115"/>
      <c r="GMA15" s="1115"/>
      <c r="GMB15" s="1115"/>
      <c r="GMC15" s="1115"/>
      <c r="GMD15" s="1115"/>
      <c r="GME15" s="1115"/>
      <c r="GMF15" s="1115"/>
      <c r="GMG15" s="1115"/>
      <c r="GMH15" s="1115"/>
      <c r="GMI15" s="1115"/>
      <c r="GMJ15" s="1115"/>
      <c r="GMK15" s="1115"/>
      <c r="GML15" s="1115"/>
      <c r="GMM15" s="1115"/>
      <c r="GMN15" s="1115"/>
      <c r="GMO15" s="1115"/>
      <c r="GMP15" s="1115"/>
      <c r="GMQ15" s="1115"/>
      <c r="GMR15" s="1115"/>
      <c r="GMS15" s="1115"/>
      <c r="GMT15" s="1115"/>
      <c r="GMU15" s="1115"/>
      <c r="GMV15" s="1115"/>
      <c r="GMW15" s="1115"/>
      <c r="GMX15" s="1115"/>
      <c r="GMY15" s="1115"/>
      <c r="GMZ15" s="1115"/>
      <c r="GNA15" s="1115"/>
      <c r="GNB15" s="1115"/>
      <c r="GNC15" s="1115"/>
      <c r="GND15" s="1115"/>
      <c r="GNE15" s="1115"/>
      <c r="GNF15" s="1115"/>
      <c r="GNG15" s="1115"/>
      <c r="GNH15" s="1115"/>
      <c r="GNI15" s="1115"/>
      <c r="GNJ15" s="1115"/>
      <c r="GNK15" s="1115"/>
      <c r="GNL15" s="1115"/>
      <c r="GNM15" s="1115"/>
      <c r="GNN15" s="1115"/>
      <c r="GNO15" s="1115"/>
      <c r="GNP15" s="1115"/>
      <c r="GNQ15" s="1115"/>
      <c r="GNR15" s="1115"/>
      <c r="GNS15" s="1115"/>
      <c r="GNT15" s="1115"/>
      <c r="GNU15" s="1115"/>
      <c r="GNV15" s="1115"/>
      <c r="GNW15" s="1115"/>
      <c r="GNX15" s="1115"/>
      <c r="GNY15" s="1115"/>
      <c r="GNZ15" s="1115"/>
      <c r="GOA15" s="1115"/>
      <c r="GOB15" s="1115"/>
      <c r="GOC15" s="1115"/>
      <c r="GOD15" s="1115"/>
      <c r="GOE15" s="1115"/>
      <c r="GOF15" s="1115"/>
      <c r="GOG15" s="1115"/>
      <c r="GOH15" s="1115"/>
      <c r="GOI15" s="1115"/>
      <c r="GOJ15" s="1115"/>
      <c r="GOK15" s="1115"/>
      <c r="GOL15" s="1115"/>
      <c r="GOM15" s="1115"/>
      <c r="GON15" s="1115"/>
      <c r="GOO15" s="1115"/>
      <c r="GOP15" s="1115"/>
      <c r="GOQ15" s="1115"/>
      <c r="GOR15" s="1115"/>
      <c r="GOS15" s="1115"/>
      <c r="GOT15" s="1115"/>
      <c r="GOU15" s="1115"/>
      <c r="GOV15" s="1115"/>
      <c r="GOW15" s="1115"/>
      <c r="GOX15" s="1115"/>
      <c r="GOY15" s="1115"/>
      <c r="GOZ15" s="1115"/>
      <c r="GPA15" s="1115"/>
      <c r="GPB15" s="1115"/>
      <c r="GPC15" s="1115"/>
      <c r="GPD15" s="1115"/>
      <c r="GPE15" s="1115"/>
      <c r="GPF15" s="1115"/>
      <c r="GPG15" s="1115"/>
      <c r="GPH15" s="1115"/>
      <c r="GPI15" s="1115"/>
      <c r="GPJ15" s="1115"/>
      <c r="GPK15" s="1115"/>
      <c r="GPL15" s="1115"/>
      <c r="GPM15" s="1115"/>
      <c r="GPN15" s="1115"/>
      <c r="GPO15" s="1115"/>
      <c r="GPP15" s="1115"/>
      <c r="GPQ15" s="1115"/>
      <c r="GPR15" s="1115"/>
      <c r="GPS15" s="1115"/>
      <c r="GPT15" s="1115"/>
      <c r="GPU15" s="1115"/>
      <c r="GPV15" s="1115"/>
      <c r="GPW15" s="1115"/>
      <c r="GPX15" s="1115"/>
      <c r="GPY15" s="1115"/>
      <c r="GPZ15" s="1115"/>
      <c r="GQA15" s="1115"/>
      <c r="GQB15" s="1115"/>
      <c r="GQC15" s="1115"/>
      <c r="GQD15" s="1115"/>
      <c r="GQE15" s="1115"/>
      <c r="GQF15" s="1115"/>
      <c r="GQG15" s="1115"/>
      <c r="GQH15" s="1115"/>
      <c r="GQI15" s="1115"/>
      <c r="GQJ15" s="1115"/>
      <c r="GQK15" s="1115"/>
      <c r="GQL15" s="1115"/>
      <c r="GQM15" s="1115"/>
      <c r="GQN15" s="1115"/>
      <c r="GQO15" s="1115"/>
      <c r="GQP15" s="1115"/>
      <c r="GQQ15" s="1115"/>
      <c r="GQR15" s="1115"/>
      <c r="GQS15" s="1115"/>
      <c r="GQT15" s="1115"/>
      <c r="GQU15" s="1115"/>
      <c r="GQV15" s="1115"/>
      <c r="GQW15" s="1115"/>
      <c r="GQX15" s="1115"/>
      <c r="GQY15" s="1115"/>
      <c r="GQZ15" s="1115"/>
      <c r="GRA15" s="1115"/>
      <c r="GRB15" s="1115"/>
      <c r="GRC15" s="1115"/>
      <c r="GRD15" s="1115"/>
      <c r="GRE15" s="1115"/>
      <c r="GRF15" s="1115"/>
      <c r="GRG15" s="1115"/>
      <c r="GRH15" s="1115"/>
      <c r="GRI15" s="1115"/>
      <c r="GRJ15" s="1115"/>
      <c r="GRK15" s="1115"/>
      <c r="GRL15" s="1115"/>
      <c r="GRM15" s="1115"/>
      <c r="GRN15" s="1115"/>
      <c r="GRO15" s="1115"/>
      <c r="GRP15" s="1115"/>
      <c r="GRQ15" s="1115"/>
      <c r="GRR15" s="1115"/>
      <c r="GRS15" s="1115"/>
      <c r="GRT15" s="1115"/>
      <c r="GRU15" s="1115"/>
      <c r="GRV15" s="1115"/>
      <c r="GRW15" s="1115"/>
      <c r="GRX15" s="1115"/>
      <c r="GRY15" s="1115"/>
      <c r="GRZ15" s="1115"/>
      <c r="GSA15" s="1115"/>
      <c r="GSB15" s="1115"/>
      <c r="GSC15" s="1115"/>
      <c r="GSD15" s="1115"/>
      <c r="GSE15" s="1115"/>
      <c r="GSF15" s="1115"/>
      <c r="GSG15" s="1115"/>
      <c r="GSH15" s="1115"/>
      <c r="GSI15" s="1115"/>
      <c r="GSJ15" s="1115"/>
      <c r="GSK15" s="1115"/>
      <c r="GSL15" s="1115"/>
      <c r="GSM15" s="1115"/>
      <c r="GSN15" s="1115"/>
      <c r="GSO15" s="1115"/>
      <c r="GSP15" s="1115"/>
      <c r="GSQ15" s="1115"/>
      <c r="GSR15" s="1115"/>
      <c r="GSS15" s="1115"/>
      <c r="GST15" s="1115"/>
      <c r="GSU15" s="1115"/>
      <c r="GSV15" s="1115"/>
      <c r="GSW15" s="1115"/>
      <c r="GSX15" s="1115"/>
      <c r="GSY15" s="1115"/>
      <c r="GSZ15" s="1115"/>
      <c r="GTA15" s="1115"/>
      <c r="GTB15" s="1115"/>
      <c r="GTC15" s="1115"/>
      <c r="GTD15" s="1115"/>
      <c r="GTE15" s="1115"/>
      <c r="GTF15" s="1115"/>
      <c r="GTG15" s="1115"/>
      <c r="GTH15" s="1115"/>
      <c r="GTI15" s="1115"/>
      <c r="GTJ15" s="1115"/>
      <c r="GTK15" s="1115"/>
      <c r="GTL15" s="1115"/>
      <c r="GTM15" s="1115"/>
      <c r="GTN15" s="1115"/>
      <c r="GTO15" s="1115"/>
      <c r="GTP15" s="1115"/>
      <c r="GTQ15" s="1115"/>
      <c r="GTR15" s="1115"/>
      <c r="GTS15" s="1115"/>
      <c r="GTT15" s="1115"/>
      <c r="GTU15" s="1115"/>
      <c r="GTV15" s="1115"/>
      <c r="GTW15" s="1115"/>
      <c r="GTX15" s="1115"/>
      <c r="GTY15" s="1115"/>
      <c r="GTZ15" s="1115"/>
      <c r="GUA15" s="1115"/>
      <c r="GUB15" s="1115"/>
      <c r="GUC15" s="1115"/>
      <c r="GUD15" s="1115"/>
      <c r="GUE15" s="1115"/>
      <c r="GUF15" s="1115"/>
      <c r="GUG15" s="1115"/>
      <c r="GUH15" s="1115"/>
      <c r="GUI15" s="1115"/>
      <c r="GUJ15" s="1115"/>
      <c r="GUK15" s="1115"/>
      <c r="GUL15" s="1115"/>
      <c r="GUM15" s="1115"/>
      <c r="GUN15" s="1115"/>
      <c r="GUO15" s="1115"/>
      <c r="GUP15" s="1115"/>
      <c r="GUQ15" s="1115"/>
      <c r="GUR15" s="1115"/>
      <c r="GUS15" s="1115"/>
      <c r="GUT15" s="1115"/>
      <c r="GUU15" s="1115"/>
      <c r="GUV15" s="1115"/>
      <c r="GUW15" s="1115"/>
      <c r="GUX15" s="1115"/>
      <c r="GUY15" s="1115"/>
      <c r="GUZ15" s="1115"/>
      <c r="GVA15" s="1115"/>
      <c r="GVB15" s="1115"/>
      <c r="GVC15" s="1115"/>
      <c r="GVD15" s="1115"/>
      <c r="GVE15" s="1115"/>
      <c r="GVF15" s="1115"/>
      <c r="GVG15" s="1115"/>
      <c r="GVH15" s="1115"/>
      <c r="GVI15" s="1115"/>
      <c r="GVJ15" s="1115"/>
      <c r="GVK15" s="1115"/>
      <c r="GVL15" s="1115"/>
      <c r="GVM15" s="1115"/>
      <c r="GVN15" s="1115"/>
      <c r="GVO15" s="1115"/>
      <c r="GVP15" s="1115"/>
      <c r="GVQ15" s="1115"/>
      <c r="GVR15" s="1115"/>
      <c r="GVS15" s="1115"/>
      <c r="GVT15" s="1115"/>
      <c r="GVU15" s="1115"/>
      <c r="GVV15" s="1115"/>
      <c r="GVW15" s="1115"/>
      <c r="GVX15" s="1115"/>
      <c r="GVY15" s="1115"/>
      <c r="GVZ15" s="1115"/>
      <c r="GWA15" s="1115"/>
      <c r="GWB15" s="1115"/>
      <c r="GWC15" s="1115"/>
      <c r="GWD15" s="1115"/>
      <c r="GWE15" s="1115"/>
      <c r="GWF15" s="1115"/>
      <c r="GWG15" s="1115"/>
      <c r="GWH15" s="1115"/>
      <c r="GWI15" s="1115"/>
      <c r="GWJ15" s="1115"/>
      <c r="GWK15" s="1115"/>
      <c r="GWL15" s="1115"/>
      <c r="GWM15" s="1115"/>
      <c r="GWN15" s="1115"/>
      <c r="GWO15" s="1115"/>
      <c r="GWP15" s="1115"/>
      <c r="GWQ15" s="1115"/>
      <c r="GWR15" s="1115"/>
      <c r="GWS15" s="1115"/>
      <c r="GWT15" s="1115"/>
      <c r="GWU15" s="1115"/>
      <c r="GWV15" s="1115"/>
      <c r="GWW15" s="1115"/>
      <c r="GWX15" s="1115"/>
      <c r="GWY15" s="1115"/>
      <c r="GWZ15" s="1115"/>
      <c r="GXA15" s="1115"/>
      <c r="GXB15" s="1115"/>
      <c r="GXC15" s="1115"/>
      <c r="GXD15" s="1115"/>
      <c r="GXE15" s="1115"/>
      <c r="GXF15" s="1115"/>
      <c r="GXG15" s="1115"/>
      <c r="GXH15" s="1115"/>
      <c r="GXI15" s="1115"/>
      <c r="GXJ15" s="1115"/>
      <c r="GXK15" s="1115"/>
      <c r="GXL15" s="1115"/>
      <c r="GXM15" s="1115"/>
      <c r="GXN15" s="1115"/>
      <c r="GXO15" s="1115"/>
      <c r="GXP15" s="1115"/>
      <c r="GXQ15" s="1115"/>
      <c r="GXR15" s="1115"/>
      <c r="GXS15" s="1115"/>
      <c r="GXT15" s="1115"/>
      <c r="GXU15" s="1115"/>
      <c r="GXV15" s="1115"/>
      <c r="GXW15" s="1115"/>
      <c r="GXX15" s="1115"/>
      <c r="GXY15" s="1115"/>
      <c r="GXZ15" s="1115"/>
      <c r="GYA15" s="1115"/>
      <c r="GYB15" s="1115"/>
      <c r="GYC15" s="1115"/>
      <c r="GYD15" s="1115"/>
      <c r="GYE15" s="1115"/>
      <c r="GYF15" s="1115"/>
      <c r="GYG15" s="1115"/>
      <c r="GYH15" s="1115"/>
      <c r="GYI15" s="1115"/>
      <c r="GYJ15" s="1115"/>
      <c r="GYK15" s="1115"/>
      <c r="GYL15" s="1115"/>
      <c r="GYM15" s="1115"/>
      <c r="GYN15" s="1115"/>
      <c r="GYO15" s="1115"/>
      <c r="GYP15" s="1115"/>
      <c r="GYQ15" s="1115"/>
      <c r="GYR15" s="1115"/>
      <c r="GYS15" s="1115"/>
      <c r="GYT15" s="1115"/>
      <c r="GYU15" s="1115"/>
      <c r="GYV15" s="1115"/>
      <c r="GYW15" s="1115"/>
      <c r="GYX15" s="1115"/>
      <c r="GYY15" s="1115"/>
      <c r="GYZ15" s="1115"/>
      <c r="GZA15" s="1115"/>
      <c r="GZB15" s="1115"/>
      <c r="GZC15" s="1115"/>
      <c r="GZD15" s="1115"/>
      <c r="GZE15" s="1115"/>
      <c r="GZF15" s="1115"/>
      <c r="GZG15" s="1115"/>
      <c r="GZH15" s="1115"/>
      <c r="GZI15" s="1115"/>
      <c r="GZJ15" s="1115"/>
      <c r="GZK15" s="1115"/>
      <c r="GZL15" s="1115"/>
      <c r="GZM15" s="1115"/>
      <c r="GZN15" s="1115"/>
      <c r="GZO15" s="1115"/>
      <c r="GZP15" s="1115"/>
      <c r="GZQ15" s="1115"/>
      <c r="GZR15" s="1115"/>
      <c r="GZS15" s="1115"/>
      <c r="GZT15" s="1115"/>
      <c r="GZU15" s="1115"/>
      <c r="GZV15" s="1115"/>
      <c r="GZW15" s="1115"/>
      <c r="GZX15" s="1115"/>
      <c r="GZY15" s="1115"/>
      <c r="GZZ15" s="1115"/>
      <c r="HAA15" s="1115"/>
      <c r="HAB15" s="1115"/>
      <c r="HAC15" s="1115"/>
      <c r="HAD15" s="1115"/>
      <c r="HAE15" s="1115"/>
      <c r="HAF15" s="1115"/>
      <c r="HAG15" s="1115"/>
      <c r="HAH15" s="1115"/>
      <c r="HAI15" s="1115"/>
      <c r="HAJ15" s="1115"/>
      <c r="HAK15" s="1115"/>
      <c r="HAL15" s="1115"/>
      <c r="HAM15" s="1115"/>
      <c r="HAN15" s="1115"/>
      <c r="HAO15" s="1115"/>
      <c r="HAP15" s="1115"/>
      <c r="HAQ15" s="1115"/>
      <c r="HAR15" s="1115"/>
      <c r="HAS15" s="1115"/>
      <c r="HAT15" s="1115"/>
      <c r="HAU15" s="1115"/>
      <c r="HAV15" s="1115"/>
      <c r="HAW15" s="1115"/>
      <c r="HAX15" s="1115"/>
      <c r="HAY15" s="1115"/>
      <c r="HAZ15" s="1115"/>
      <c r="HBA15" s="1115"/>
      <c r="HBB15" s="1115"/>
      <c r="HBC15" s="1115"/>
      <c r="HBD15" s="1115"/>
      <c r="HBE15" s="1115"/>
      <c r="HBF15" s="1115"/>
      <c r="HBG15" s="1115"/>
      <c r="HBH15" s="1115"/>
      <c r="HBI15" s="1115"/>
      <c r="HBJ15" s="1115"/>
      <c r="HBK15" s="1115"/>
      <c r="HBL15" s="1115"/>
      <c r="HBM15" s="1115"/>
      <c r="HBN15" s="1115"/>
      <c r="HBO15" s="1115"/>
      <c r="HBP15" s="1115"/>
      <c r="HBQ15" s="1115"/>
      <c r="HBR15" s="1115"/>
      <c r="HBS15" s="1115"/>
      <c r="HBT15" s="1115"/>
      <c r="HBU15" s="1115"/>
      <c r="HBV15" s="1115"/>
      <c r="HBW15" s="1115"/>
      <c r="HBX15" s="1115"/>
      <c r="HBY15" s="1115"/>
      <c r="HBZ15" s="1115"/>
      <c r="HCA15" s="1115"/>
      <c r="HCB15" s="1115"/>
      <c r="HCC15" s="1115"/>
      <c r="HCD15" s="1115"/>
      <c r="HCE15" s="1115"/>
      <c r="HCF15" s="1115"/>
      <c r="HCG15" s="1115"/>
      <c r="HCH15" s="1115"/>
      <c r="HCI15" s="1115"/>
      <c r="HCJ15" s="1115"/>
      <c r="HCK15" s="1115"/>
      <c r="HCL15" s="1115"/>
      <c r="HCM15" s="1115"/>
      <c r="HCN15" s="1115"/>
      <c r="HCO15" s="1115"/>
      <c r="HCP15" s="1115"/>
      <c r="HCQ15" s="1115"/>
      <c r="HCR15" s="1115"/>
      <c r="HCS15" s="1115"/>
      <c r="HCT15" s="1115"/>
      <c r="HCU15" s="1115"/>
      <c r="HCV15" s="1115"/>
      <c r="HCW15" s="1115"/>
      <c r="HCX15" s="1115"/>
      <c r="HCY15" s="1115"/>
      <c r="HCZ15" s="1115"/>
      <c r="HDA15" s="1115"/>
      <c r="HDB15" s="1115"/>
      <c r="HDC15" s="1115"/>
      <c r="HDD15" s="1115"/>
      <c r="HDE15" s="1115"/>
      <c r="HDF15" s="1115"/>
      <c r="HDG15" s="1115"/>
      <c r="HDH15" s="1115"/>
      <c r="HDI15" s="1115"/>
      <c r="HDJ15" s="1115"/>
      <c r="HDK15" s="1115"/>
      <c r="HDL15" s="1115"/>
      <c r="HDM15" s="1115"/>
      <c r="HDN15" s="1115"/>
      <c r="HDO15" s="1115"/>
      <c r="HDP15" s="1115"/>
      <c r="HDQ15" s="1115"/>
      <c r="HDR15" s="1115"/>
      <c r="HDS15" s="1115"/>
      <c r="HDT15" s="1115"/>
      <c r="HDU15" s="1115"/>
      <c r="HDV15" s="1115"/>
      <c r="HDW15" s="1115"/>
      <c r="HDX15" s="1115"/>
      <c r="HDY15" s="1115"/>
      <c r="HDZ15" s="1115"/>
      <c r="HEA15" s="1115"/>
      <c r="HEB15" s="1115"/>
      <c r="HEC15" s="1115"/>
      <c r="HED15" s="1115"/>
      <c r="HEE15" s="1115"/>
      <c r="HEF15" s="1115"/>
      <c r="HEG15" s="1115"/>
      <c r="HEH15" s="1115"/>
      <c r="HEI15" s="1115"/>
      <c r="HEJ15" s="1115"/>
      <c r="HEK15" s="1115"/>
      <c r="HEL15" s="1115"/>
      <c r="HEM15" s="1115"/>
      <c r="HEN15" s="1115"/>
      <c r="HEO15" s="1115"/>
      <c r="HEP15" s="1115"/>
      <c r="HEQ15" s="1115"/>
      <c r="HER15" s="1115"/>
      <c r="HES15" s="1115"/>
      <c r="HET15" s="1115"/>
      <c r="HEU15" s="1115"/>
      <c r="HEV15" s="1115"/>
      <c r="HEW15" s="1115"/>
      <c r="HEX15" s="1115"/>
      <c r="HEY15" s="1115"/>
      <c r="HEZ15" s="1115"/>
      <c r="HFA15" s="1115"/>
      <c r="HFB15" s="1115"/>
      <c r="HFC15" s="1115"/>
      <c r="HFD15" s="1115"/>
      <c r="HFE15" s="1115"/>
      <c r="HFF15" s="1115"/>
      <c r="HFG15" s="1115"/>
      <c r="HFH15" s="1115"/>
      <c r="HFI15" s="1115"/>
      <c r="HFJ15" s="1115"/>
      <c r="HFK15" s="1115"/>
      <c r="HFL15" s="1115"/>
      <c r="HFM15" s="1115"/>
      <c r="HFN15" s="1115"/>
      <c r="HFO15" s="1115"/>
      <c r="HFP15" s="1115"/>
      <c r="HFQ15" s="1115"/>
      <c r="HFR15" s="1115"/>
      <c r="HFS15" s="1115"/>
      <c r="HFT15" s="1115"/>
      <c r="HFU15" s="1115"/>
      <c r="HFV15" s="1115"/>
      <c r="HFW15" s="1115"/>
      <c r="HFX15" s="1115"/>
      <c r="HFY15" s="1115"/>
      <c r="HFZ15" s="1115"/>
      <c r="HGA15" s="1115"/>
      <c r="HGB15" s="1115"/>
      <c r="HGC15" s="1115"/>
      <c r="HGD15" s="1115"/>
      <c r="HGE15" s="1115"/>
      <c r="HGF15" s="1115"/>
      <c r="HGG15" s="1115"/>
      <c r="HGH15" s="1115"/>
      <c r="HGI15" s="1115"/>
      <c r="HGJ15" s="1115"/>
      <c r="HGK15" s="1115"/>
      <c r="HGL15" s="1115"/>
      <c r="HGM15" s="1115"/>
      <c r="HGN15" s="1115"/>
      <c r="HGO15" s="1115"/>
      <c r="HGP15" s="1115"/>
      <c r="HGQ15" s="1115"/>
      <c r="HGR15" s="1115"/>
      <c r="HGS15" s="1115"/>
      <c r="HGT15" s="1115"/>
      <c r="HGU15" s="1115"/>
      <c r="HGV15" s="1115"/>
      <c r="HGW15" s="1115"/>
      <c r="HGX15" s="1115"/>
      <c r="HGY15" s="1115"/>
      <c r="HGZ15" s="1115"/>
      <c r="HHA15" s="1115"/>
      <c r="HHB15" s="1115"/>
      <c r="HHC15" s="1115"/>
      <c r="HHD15" s="1115"/>
      <c r="HHE15" s="1115"/>
      <c r="HHF15" s="1115"/>
      <c r="HHG15" s="1115"/>
      <c r="HHH15" s="1115"/>
      <c r="HHI15" s="1115"/>
      <c r="HHJ15" s="1115"/>
      <c r="HHK15" s="1115"/>
      <c r="HHL15" s="1115"/>
      <c r="HHM15" s="1115"/>
      <c r="HHN15" s="1115"/>
      <c r="HHO15" s="1115"/>
      <c r="HHP15" s="1115"/>
      <c r="HHQ15" s="1115"/>
      <c r="HHR15" s="1115"/>
      <c r="HHS15" s="1115"/>
      <c r="HHT15" s="1115"/>
      <c r="HHU15" s="1115"/>
      <c r="HHV15" s="1115"/>
      <c r="HHW15" s="1115"/>
      <c r="HHX15" s="1115"/>
      <c r="HHY15" s="1115"/>
      <c r="HHZ15" s="1115"/>
      <c r="HIA15" s="1115"/>
      <c r="HIB15" s="1115"/>
      <c r="HIC15" s="1115"/>
      <c r="HID15" s="1115"/>
      <c r="HIE15" s="1115"/>
      <c r="HIF15" s="1115"/>
      <c r="HIG15" s="1115"/>
      <c r="HIH15" s="1115"/>
      <c r="HII15" s="1115"/>
      <c r="HIJ15" s="1115"/>
      <c r="HIK15" s="1115"/>
      <c r="HIL15" s="1115"/>
      <c r="HIM15" s="1115"/>
      <c r="HIN15" s="1115"/>
      <c r="HIO15" s="1115"/>
      <c r="HIP15" s="1115"/>
      <c r="HIQ15" s="1115"/>
      <c r="HIR15" s="1115"/>
      <c r="HIS15" s="1115"/>
      <c r="HIT15" s="1115"/>
      <c r="HIU15" s="1115"/>
      <c r="HIV15" s="1115"/>
      <c r="HIW15" s="1115"/>
      <c r="HIX15" s="1115"/>
      <c r="HIY15" s="1115"/>
      <c r="HIZ15" s="1115"/>
      <c r="HJA15" s="1115"/>
      <c r="HJB15" s="1115"/>
      <c r="HJC15" s="1115"/>
      <c r="HJD15" s="1115"/>
      <c r="HJE15" s="1115"/>
      <c r="HJF15" s="1115"/>
      <c r="HJG15" s="1115"/>
      <c r="HJH15" s="1115"/>
      <c r="HJI15" s="1115"/>
      <c r="HJJ15" s="1115"/>
      <c r="HJK15" s="1115"/>
      <c r="HJL15" s="1115"/>
      <c r="HJM15" s="1115"/>
      <c r="HJN15" s="1115"/>
      <c r="HJO15" s="1115"/>
      <c r="HJP15" s="1115"/>
      <c r="HJQ15" s="1115"/>
      <c r="HJR15" s="1115"/>
      <c r="HJS15" s="1115"/>
      <c r="HJT15" s="1115"/>
      <c r="HJU15" s="1115"/>
      <c r="HJV15" s="1115"/>
      <c r="HJW15" s="1115"/>
      <c r="HJX15" s="1115"/>
      <c r="HJY15" s="1115"/>
      <c r="HJZ15" s="1115"/>
      <c r="HKA15" s="1115"/>
      <c r="HKB15" s="1115"/>
      <c r="HKC15" s="1115"/>
      <c r="HKD15" s="1115"/>
      <c r="HKE15" s="1115"/>
      <c r="HKF15" s="1115"/>
      <c r="HKG15" s="1115"/>
      <c r="HKH15" s="1115"/>
      <c r="HKI15" s="1115"/>
      <c r="HKJ15" s="1115"/>
      <c r="HKK15" s="1115"/>
      <c r="HKL15" s="1115"/>
      <c r="HKM15" s="1115"/>
      <c r="HKN15" s="1115"/>
      <c r="HKO15" s="1115"/>
      <c r="HKP15" s="1115"/>
      <c r="HKQ15" s="1115"/>
      <c r="HKR15" s="1115"/>
      <c r="HKS15" s="1115"/>
      <c r="HKT15" s="1115"/>
      <c r="HKU15" s="1115"/>
      <c r="HKV15" s="1115"/>
      <c r="HKW15" s="1115"/>
      <c r="HKX15" s="1115"/>
      <c r="HKY15" s="1115"/>
      <c r="HKZ15" s="1115"/>
      <c r="HLA15" s="1115"/>
      <c r="HLB15" s="1115"/>
      <c r="HLC15" s="1115"/>
      <c r="HLD15" s="1115"/>
      <c r="HLE15" s="1115"/>
      <c r="HLF15" s="1115"/>
      <c r="HLG15" s="1115"/>
      <c r="HLH15" s="1115"/>
      <c r="HLI15" s="1115"/>
      <c r="HLJ15" s="1115"/>
      <c r="HLK15" s="1115"/>
      <c r="HLL15" s="1115"/>
      <c r="HLM15" s="1115"/>
      <c r="HLN15" s="1115"/>
      <c r="HLO15" s="1115"/>
      <c r="HLP15" s="1115"/>
      <c r="HLQ15" s="1115"/>
      <c r="HLR15" s="1115"/>
      <c r="HLS15" s="1115"/>
      <c r="HLT15" s="1115"/>
      <c r="HLU15" s="1115"/>
      <c r="HLV15" s="1115"/>
      <c r="HLW15" s="1115"/>
      <c r="HLX15" s="1115"/>
      <c r="HLY15" s="1115"/>
      <c r="HLZ15" s="1115"/>
      <c r="HMA15" s="1115"/>
      <c r="HMB15" s="1115"/>
      <c r="HMC15" s="1115"/>
      <c r="HMD15" s="1115"/>
      <c r="HME15" s="1115"/>
      <c r="HMF15" s="1115"/>
      <c r="HMG15" s="1115"/>
      <c r="HMH15" s="1115"/>
      <c r="HMI15" s="1115"/>
      <c r="HMJ15" s="1115"/>
      <c r="HMK15" s="1115"/>
      <c r="HML15" s="1115"/>
      <c r="HMM15" s="1115"/>
      <c r="HMN15" s="1115"/>
      <c r="HMO15" s="1115"/>
      <c r="HMP15" s="1115"/>
      <c r="HMQ15" s="1115"/>
      <c r="HMR15" s="1115"/>
      <c r="HMS15" s="1115"/>
      <c r="HMT15" s="1115"/>
      <c r="HMU15" s="1115"/>
      <c r="HMV15" s="1115"/>
      <c r="HMW15" s="1115"/>
      <c r="HMX15" s="1115"/>
      <c r="HMY15" s="1115"/>
      <c r="HMZ15" s="1115"/>
      <c r="HNA15" s="1115"/>
      <c r="HNB15" s="1115"/>
      <c r="HNC15" s="1115"/>
      <c r="HND15" s="1115"/>
      <c r="HNE15" s="1115"/>
      <c r="HNF15" s="1115"/>
      <c r="HNG15" s="1115"/>
      <c r="HNH15" s="1115"/>
      <c r="HNI15" s="1115"/>
      <c r="HNJ15" s="1115"/>
      <c r="HNK15" s="1115"/>
      <c r="HNL15" s="1115"/>
      <c r="HNM15" s="1115"/>
      <c r="HNN15" s="1115"/>
      <c r="HNO15" s="1115"/>
      <c r="HNP15" s="1115"/>
      <c r="HNQ15" s="1115"/>
      <c r="HNR15" s="1115"/>
      <c r="HNS15" s="1115"/>
      <c r="HNT15" s="1115"/>
      <c r="HNU15" s="1115"/>
      <c r="HNV15" s="1115"/>
      <c r="HNW15" s="1115"/>
      <c r="HNX15" s="1115"/>
      <c r="HNY15" s="1115"/>
      <c r="HNZ15" s="1115"/>
      <c r="HOA15" s="1115"/>
      <c r="HOB15" s="1115"/>
      <c r="HOC15" s="1115"/>
      <c r="HOD15" s="1115"/>
      <c r="HOE15" s="1115"/>
      <c r="HOF15" s="1115"/>
      <c r="HOG15" s="1115"/>
      <c r="HOH15" s="1115"/>
      <c r="HOI15" s="1115"/>
      <c r="HOJ15" s="1115"/>
      <c r="HOK15" s="1115"/>
      <c r="HOL15" s="1115"/>
      <c r="HOM15" s="1115"/>
      <c r="HON15" s="1115"/>
      <c r="HOO15" s="1115"/>
      <c r="HOP15" s="1115"/>
      <c r="HOQ15" s="1115"/>
      <c r="HOR15" s="1115"/>
      <c r="HOS15" s="1115"/>
      <c r="HOT15" s="1115"/>
      <c r="HOU15" s="1115"/>
      <c r="HOV15" s="1115"/>
      <c r="HOW15" s="1115"/>
      <c r="HOX15" s="1115"/>
      <c r="HOY15" s="1115"/>
      <c r="HOZ15" s="1115"/>
      <c r="HPA15" s="1115"/>
      <c r="HPB15" s="1115"/>
      <c r="HPC15" s="1115"/>
      <c r="HPD15" s="1115"/>
      <c r="HPE15" s="1115"/>
      <c r="HPF15" s="1115"/>
      <c r="HPG15" s="1115"/>
      <c r="HPH15" s="1115"/>
      <c r="HPI15" s="1115"/>
      <c r="HPJ15" s="1115"/>
      <c r="HPK15" s="1115"/>
      <c r="HPL15" s="1115"/>
      <c r="HPM15" s="1115"/>
      <c r="HPN15" s="1115"/>
      <c r="HPO15" s="1115"/>
      <c r="HPP15" s="1115"/>
      <c r="HPQ15" s="1115"/>
      <c r="HPR15" s="1115"/>
      <c r="HPS15" s="1115"/>
      <c r="HPT15" s="1115"/>
      <c r="HPU15" s="1115"/>
      <c r="HPV15" s="1115"/>
      <c r="HPW15" s="1115"/>
      <c r="HPX15" s="1115"/>
      <c r="HPY15" s="1115"/>
      <c r="HPZ15" s="1115"/>
      <c r="HQA15" s="1115"/>
      <c r="HQB15" s="1115"/>
      <c r="HQC15" s="1115"/>
      <c r="HQD15" s="1115"/>
      <c r="HQE15" s="1115"/>
      <c r="HQF15" s="1115"/>
      <c r="HQG15" s="1115"/>
      <c r="HQH15" s="1115"/>
      <c r="HQI15" s="1115"/>
      <c r="HQJ15" s="1115"/>
      <c r="HQK15" s="1115"/>
      <c r="HQL15" s="1115"/>
      <c r="HQM15" s="1115"/>
      <c r="HQN15" s="1115"/>
      <c r="HQO15" s="1115"/>
      <c r="HQP15" s="1115"/>
      <c r="HQQ15" s="1115"/>
      <c r="HQR15" s="1115"/>
      <c r="HQS15" s="1115"/>
      <c r="HQT15" s="1115"/>
      <c r="HQU15" s="1115"/>
      <c r="HQV15" s="1115"/>
      <c r="HQW15" s="1115"/>
      <c r="HQX15" s="1115"/>
      <c r="HQY15" s="1115"/>
      <c r="HQZ15" s="1115"/>
      <c r="HRA15" s="1115"/>
      <c r="HRB15" s="1115"/>
      <c r="HRC15" s="1115"/>
      <c r="HRD15" s="1115"/>
      <c r="HRE15" s="1115"/>
      <c r="HRF15" s="1115"/>
      <c r="HRG15" s="1115"/>
      <c r="HRH15" s="1115"/>
      <c r="HRI15" s="1115"/>
      <c r="HRJ15" s="1115"/>
      <c r="HRK15" s="1115"/>
      <c r="HRL15" s="1115"/>
      <c r="HRM15" s="1115"/>
      <c r="HRN15" s="1115"/>
      <c r="HRO15" s="1115"/>
      <c r="HRP15" s="1115"/>
      <c r="HRQ15" s="1115"/>
      <c r="HRR15" s="1115"/>
      <c r="HRS15" s="1115"/>
      <c r="HRT15" s="1115"/>
      <c r="HRU15" s="1115"/>
      <c r="HRV15" s="1115"/>
      <c r="HRW15" s="1115"/>
      <c r="HRX15" s="1115"/>
      <c r="HRY15" s="1115"/>
      <c r="HRZ15" s="1115"/>
      <c r="HSA15" s="1115"/>
      <c r="HSB15" s="1115"/>
      <c r="HSC15" s="1115"/>
      <c r="HSD15" s="1115"/>
      <c r="HSE15" s="1115"/>
      <c r="HSF15" s="1115"/>
      <c r="HSG15" s="1115"/>
      <c r="HSH15" s="1115"/>
      <c r="HSI15" s="1115"/>
      <c r="HSJ15" s="1115"/>
      <c r="HSK15" s="1115"/>
      <c r="HSL15" s="1115"/>
      <c r="HSM15" s="1115"/>
      <c r="HSN15" s="1115"/>
      <c r="HSO15" s="1115"/>
      <c r="HSP15" s="1115"/>
      <c r="HSQ15" s="1115"/>
      <c r="HSR15" s="1115"/>
      <c r="HSS15" s="1115"/>
      <c r="HST15" s="1115"/>
      <c r="HSU15" s="1115"/>
      <c r="HSV15" s="1115"/>
      <c r="HSW15" s="1115"/>
      <c r="HSX15" s="1115"/>
      <c r="HSY15" s="1115"/>
      <c r="HSZ15" s="1115"/>
      <c r="HTA15" s="1115"/>
      <c r="HTB15" s="1115"/>
      <c r="HTC15" s="1115"/>
      <c r="HTD15" s="1115"/>
      <c r="HTE15" s="1115"/>
      <c r="HTF15" s="1115"/>
      <c r="HTG15" s="1115"/>
      <c r="HTH15" s="1115"/>
      <c r="HTI15" s="1115"/>
      <c r="HTJ15" s="1115"/>
      <c r="HTK15" s="1115"/>
      <c r="HTL15" s="1115"/>
      <c r="HTM15" s="1115"/>
      <c r="HTN15" s="1115"/>
      <c r="HTO15" s="1115"/>
      <c r="HTP15" s="1115"/>
      <c r="HTQ15" s="1115"/>
      <c r="HTR15" s="1115"/>
      <c r="HTS15" s="1115"/>
      <c r="HTT15" s="1115"/>
      <c r="HTU15" s="1115"/>
      <c r="HTV15" s="1115"/>
      <c r="HTW15" s="1115"/>
      <c r="HTX15" s="1115"/>
      <c r="HTY15" s="1115"/>
      <c r="HTZ15" s="1115"/>
      <c r="HUA15" s="1115"/>
      <c r="HUB15" s="1115"/>
      <c r="HUC15" s="1115"/>
      <c r="HUD15" s="1115"/>
      <c r="HUE15" s="1115"/>
      <c r="HUF15" s="1115"/>
      <c r="HUG15" s="1115"/>
      <c r="HUH15" s="1115"/>
      <c r="HUI15" s="1115"/>
      <c r="HUJ15" s="1115"/>
      <c r="HUK15" s="1115"/>
      <c r="HUL15" s="1115"/>
      <c r="HUM15" s="1115"/>
      <c r="HUN15" s="1115"/>
      <c r="HUO15" s="1115"/>
      <c r="HUP15" s="1115"/>
      <c r="HUQ15" s="1115"/>
      <c r="HUR15" s="1115"/>
      <c r="HUS15" s="1115"/>
      <c r="HUT15" s="1115"/>
      <c r="HUU15" s="1115"/>
      <c r="HUV15" s="1115"/>
      <c r="HUW15" s="1115"/>
      <c r="HUX15" s="1115"/>
      <c r="HUY15" s="1115"/>
      <c r="HUZ15" s="1115"/>
      <c r="HVA15" s="1115"/>
      <c r="HVB15" s="1115"/>
      <c r="HVC15" s="1115"/>
      <c r="HVD15" s="1115"/>
      <c r="HVE15" s="1115"/>
      <c r="HVF15" s="1115"/>
      <c r="HVG15" s="1115"/>
      <c r="HVH15" s="1115"/>
      <c r="HVI15" s="1115"/>
      <c r="HVJ15" s="1115"/>
      <c r="HVK15" s="1115"/>
      <c r="HVL15" s="1115"/>
      <c r="HVM15" s="1115"/>
      <c r="HVN15" s="1115"/>
      <c r="HVO15" s="1115"/>
      <c r="HVP15" s="1115"/>
      <c r="HVQ15" s="1115"/>
      <c r="HVR15" s="1115"/>
      <c r="HVS15" s="1115"/>
      <c r="HVT15" s="1115"/>
      <c r="HVU15" s="1115"/>
      <c r="HVV15" s="1115"/>
      <c r="HVW15" s="1115"/>
      <c r="HVX15" s="1115"/>
      <c r="HVY15" s="1115"/>
      <c r="HVZ15" s="1115"/>
      <c r="HWA15" s="1115"/>
      <c r="HWB15" s="1115"/>
      <c r="HWC15" s="1115"/>
      <c r="HWD15" s="1115"/>
      <c r="HWE15" s="1115"/>
      <c r="HWF15" s="1115"/>
      <c r="HWG15" s="1115"/>
      <c r="HWH15" s="1115"/>
      <c r="HWI15" s="1115"/>
      <c r="HWJ15" s="1115"/>
      <c r="HWK15" s="1115"/>
      <c r="HWL15" s="1115"/>
      <c r="HWM15" s="1115"/>
      <c r="HWN15" s="1115"/>
      <c r="HWO15" s="1115"/>
      <c r="HWP15" s="1115"/>
      <c r="HWQ15" s="1115"/>
      <c r="HWR15" s="1115"/>
      <c r="HWS15" s="1115"/>
      <c r="HWT15" s="1115"/>
      <c r="HWU15" s="1115"/>
      <c r="HWV15" s="1115"/>
      <c r="HWW15" s="1115"/>
      <c r="HWX15" s="1115"/>
      <c r="HWY15" s="1115"/>
      <c r="HWZ15" s="1115"/>
      <c r="HXA15" s="1115"/>
      <c r="HXB15" s="1115"/>
      <c r="HXC15" s="1115"/>
      <c r="HXD15" s="1115"/>
      <c r="HXE15" s="1115"/>
      <c r="HXF15" s="1115"/>
      <c r="HXG15" s="1115"/>
      <c r="HXH15" s="1115"/>
      <c r="HXI15" s="1115"/>
      <c r="HXJ15" s="1115"/>
      <c r="HXK15" s="1115"/>
      <c r="HXL15" s="1115"/>
      <c r="HXM15" s="1115"/>
      <c r="HXN15" s="1115"/>
      <c r="HXO15" s="1115"/>
      <c r="HXP15" s="1115"/>
      <c r="HXQ15" s="1115"/>
      <c r="HXR15" s="1115"/>
      <c r="HXS15" s="1115"/>
      <c r="HXT15" s="1115"/>
      <c r="HXU15" s="1115"/>
      <c r="HXV15" s="1115"/>
      <c r="HXW15" s="1115"/>
      <c r="HXX15" s="1115"/>
      <c r="HXY15" s="1115"/>
      <c r="HXZ15" s="1115"/>
      <c r="HYA15" s="1115"/>
      <c r="HYB15" s="1115"/>
      <c r="HYC15" s="1115"/>
      <c r="HYD15" s="1115"/>
      <c r="HYE15" s="1115"/>
      <c r="HYF15" s="1115"/>
      <c r="HYG15" s="1115"/>
      <c r="HYH15" s="1115"/>
      <c r="HYI15" s="1115"/>
      <c r="HYJ15" s="1115"/>
      <c r="HYK15" s="1115"/>
      <c r="HYL15" s="1115"/>
      <c r="HYM15" s="1115"/>
      <c r="HYN15" s="1115"/>
      <c r="HYO15" s="1115"/>
      <c r="HYP15" s="1115"/>
      <c r="HYQ15" s="1115"/>
      <c r="HYR15" s="1115"/>
      <c r="HYS15" s="1115"/>
      <c r="HYT15" s="1115"/>
      <c r="HYU15" s="1115"/>
      <c r="HYV15" s="1115"/>
      <c r="HYW15" s="1115"/>
      <c r="HYX15" s="1115"/>
      <c r="HYY15" s="1115"/>
      <c r="HYZ15" s="1115"/>
      <c r="HZA15" s="1115"/>
      <c r="HZB15" s="1115"/>
      <c r="HZC15" s="1115"/>
      <c r="HZD15" s="1115"/>
      <c r="HZE15" s="1115"/>
      <c r="HZF15" s="1115"/>
      <c r="HZG15" s="1115"/>
      <c r="HZH15" s="1115"/>
      <c r="HZI15" s="1115"/>
      <c r="HZJ15" s="1115"/>
      <c r="HZK15" s="1115"/>
      <c r="HZL15" s="1115"/>
      <c r="HZM15" s="1115"/>
      <c r="HZN15" s="1115"/>
      <c r="HZO15" s="1115"/>
      <c r="HZP15" s="1115"/>
      <c r="HZQ15" s="1115"/>
      <c r="HZR15" s="1115"/>
      <c r="HZS15" s="1115"/>
      <c r="HZT15" s="1115"/>
      <c r="HZU15" s="1115"/>
      <c r="HZV15" s="1115"/>
      <c r="HZW15" s="1115"/>
      <c r="HZX15" s="1115"/>
      <c r="HZY15" s="1115"/>
      <c r="HZZ15" s="1115"/>
      <c r="IAA15" s="1115"/>
      <c r="IAB15" s="1115"/>
      <c r="IAC15" s="1115"/>
      <c r="IAD15" s="1115"/>
      <c r="IAE15" s="1115"/>
      <c r="IAF15" s="1115"/>
      <c r="IAG15" s="1115"/>
      <c r="IAH15" s="1115"/>
      <c r="IAI15" s="1115"/>
      <c r="IAJ15" s="1115"/>
      <c r="IAK15" s="1115"/>
      <c r="IAL15" s="1115"/>
      <c r="IAM15" s="1115"/>
      <c r="IAN15" s="1115"/>
      <c r="IAO15" s="1115"/>
      <c r="IAP15" s="1115"/>
      <c r="IAQ15" s="1115"/>
      <c r="IAR15" s="1115"/>
      <c r="IAS15" s="1115"/>
      <c r="IAT15" s="1115"/>
      <c r="IAU15" s="1115"/>
      <c r="IAV15" s="1115"/>
      <c r="IAW15" s="1115"/>
      <c r="IAX15" s="1115"/>
      <c r="IAY15" s="1115"/>
      <c r="IAZ15" s="1115"/>
      <c r="IBA15" s="1115"/>
      <c r="IBB15" s="1115"/>
      <c r="IBC15" s="1115"/>
      <c r="IBD15" s="1115"/>
      <c r="IBE15" s="1115"/>
      <c r="IBF15" s="1115"/>
      <c r="IBG15" s="1115"/>
      <c r="IBH15" s="1115"/>
      <c r="IBI15" s="1115"/>
      <c r="IBJ15" s="1115"/>
      <c r="IBK15" s="1115"/>
      <c r="IBL15" s="1115"/>
      <c r="IBM15" s="1115"/>
      <c r="IBN15" s="1115"/>
      <c r="IBO15" s="1115"/>
      <c r="IBP15" s="1115"/>
      <c r="IBQ15" s="1115"/>
      <c r="IBR15" s="1115"/>
      <c r="IBS15" s="1115"/>
      <c r="IBT15" s="1115"/>
      <c r="IBU15" s="1115"/>
      <c r="IBV15" s="1115"/>
      <c r="IBW15" s="1115"/>
      <c r="IBX15" s="1115"/>
      <c r="IBY15" s="1115"/>
      <c r="IBZ15" s="1115"/>
      <c r="ICA15" s="1115"/>
      <c r="ICB15" s="1115"/>
      <c r="ICC15" s="1115"/>
      <c r="ICD15" s="1115"/>
      <c r="ICE15" s="1115"/>
      <c r="ICF15" s="1115"/>
      <c r="ICG15" s="1115"/>
      <c r="ICH15" s="1115"/>
      <c r="ICI15" s="1115"/>
      <c r="ICJ15" s="1115"/>
      <c r="ICK15" s="1115"/>
      <c r="ICL15" s="1115"/>
      <c r="ICM15" s="1115"/>
      <c r="ICN15" s="1115"/>
      <c r="ICO15" s="1115"/>
      <c r="ICP15" s="1115"/>
      <c r="ICQ15" s="1115"/>
      <c r="ICR15" s="1115"/>
      <c r="ICS15" s="1115"/>
      <c r="ICT15" s="1115"/>
      <c r="ICU15" s="1115"/>
      <c r="ICV15" s="1115"/>
      <c r="ICW15" s="1115"/>
      <c r="ICX15" s="1115"/>
      <c r="ICY15" s="1115"/>
      <c r="ICZ15" s="1115"/>
      <c r="IDA15" s="1115"/>
      <c r="IDB15" s="1115"/>
      <c r="IDC15" s="1115"/>
      <c r="IDD15" s="1115"/>
      <c r="IDE15" s="1115"/>
      <c r="IDF15" s="1115"/>
      <c r="IDG15" s="1115"/>
      <c r="IDH15" s="1115"/>
      <c r="IDI15" s="1115"/>
      <c r="IDJ15" s="1115"/>
      <c r="IDK15" s="1115"/>
      <c r="IDL15" s="1115"/>
      <c r="IDM15" s="1115"/>
      <c r="IDN15" s="1115"/>
      <c r="IDO15" s="1115"/>
      <c r="IDP15" s="1115"/>
      <c r="IDQ15" s="1115"/>
      <c r="IDR15" s="1115"/>
      <c r="IDS15" s="1115"/>
      <c r="IDT15" s="1115"/>
      <c r="IDU15" s="1115"/>
      <c r="IDV15" s="1115"/>
      <c r="IDW15" s="1115"/>
      <c r="IDX15" s="1115"/>
      <c r="IDY15" s="1115"/>
      <c r="IDZ15" s="1115"/>
      <c r="IEA15" s="1115"/>
      <c r="IEB15" s="1115"/>
      <c r="IEC15" s="1115"/>
      <c r="IED15" s="1115"/>
      <c r="IEE15" s="1115"/>
      <c r="IEF15" s="1115"/>
      <c r="IEG15" s="1115"/>
      <c r="IEH15" s="1115"/>
      <c r="IEI15" s="1115"/>
      <c r="IEJ15" s="1115"/>
      <c r="IEK15" s="1115"/>
      <c r="IEL15" s="1115"/>
      <c r="IEM15" s="1115"/>
      <c r="IEN15" s="1115"/>
      <c r="IEO15" s="1115"/>
      <c r="IEP15" s="1115"/>
      <c r="IEQ15" s="1115"/>
      <c r="IER15" s="1115"/>
      <c r="IES15" s="1115"/>
      <c r="IET15" s="1115"/>
      <c r="IEU15" s="1115"/>
      <c r="IEV15" s="1115"/>
      <c r="IEW15" s="1115"/>
      <c r="IEX15" s="1115"/>
      <c r="IEY15" s="1115"/>
      <c r="IEZ15" s="1115"/>
      <c r="IFA15" s="1115"/>
      <c r="IFB15" s="1115"/>
      <c r="IFC15" s="1115"/>
      <c r="IFD15" s="1115"/>
      <c r="IFE15" s="1115"/>
      <c r="IFF15" s="1115"/>
      <c r="IFG15" s="1115"/>
      <c r="IFH15" s="1115"/>
      <c r="IFI15" s="1115"/>
      <c r="IFJ15" s="1115"/>
      <c r="IFK15" s="1115"/>
      <c r="IFL15" s="1115"/>
      <c r="IFM15" s="1115"/>
      <c r="IFN15" s="1115"/>
      <c r="IFO15" s="1115"/>
      <c r="IFP15" s="1115"/>
      <c r="IFQ15" s="1115"/>
      <c r="IFR15" s="1115"/>
      <c r="IFS15" s="1115"/>
      <c r="IFT15" s="1115"/>
      <c r="IFU15" s="1115"/>
      <c r="IFV15" s="1115"/>
      <c r="IFW15" s="1115"/>
      <c r="IFX15" s="1115"/>
      <c r="IFY15" s="1115"/>
      <c r="IFZ15" s="1115"/>
      <c r="IGA15" s="1115"/>
      <c r="IGB15" s="1115"/>
      <c r="IGC15" s="1115"/>
      <c r="IGD15" s="1115"/>
      <c r="IGE15" s="1115"/>
      <c r="IGF15" s="1115"/>
      <c r="IGG15" s="1115"/>
      <c r="IGH15" s="1115"/>
      <c r="IGI15" s="1115"/>
      <c r="IGJ15" s="1115"/>
      <c r="IGK15" s="1115"/>
      <c r="IGL15" s="1115"/>
      <c r="IGM15" s="1115"/>
      <c r="IGN15" s="1115"/>
      <c r="IGO15" s="1115"/>
      <c r="IGP15" s="1115"/>
      <c r="IGQ15" s="1115"/>
      <c r="IGR15" s="1115"/>
      <c r="IGS15" s="1115"/>
      <c r="IGT15" s="1115"/>
      <c r="IGU15" s="1115"/>
      <c r="IGV15" s="1115"/>
      <c r="IGW15" s="1115"/>
      <c r="IGX15" s="1115"/>
      <c r="IGY15" s="1115"/>
      <c r="IGZ15" s="1115"/>
      <c r="IHA15" s="1115"/>
      <c r="IHB15" s="1115"/>
      <c r="IHC15" s="1115"/>
      <c r="IHD15" s="1115"/>
      <c r="IHE15" s="1115"/>
      <c r="IHF15" s="1115"/>
      <c r="IHG15" s="1115"/>
      <c r="IHH15" s="1115"/>
      <c r="IHI15" s="1115"/>
      <c r="IHJ15" s="1115"/>
      <c r="IHK15" s="1115"/>
      <c r="IHL15" s="1115"/>
      <c r="IHM15" s="1115"/>
      <c r="IHN15" s="1115"/>
      <c r="IHO15" s="1115"/>
      <c r="IHP15" s="1115"/>
      <c r="IHQ15" s="1115"/>
      <c r="IHR15" s="1115"/>
      <c r="IHS15" s="1115"/>
      <c r="IHT15" s="1115"/>
      <c r="IHU15" s="1115"/>
      <c r="IHV15" s="1115"/>
      <c r="IHW15" s="1115"/>
      <c r="IHX15" s="1115"/>
      <c r="IHY15" s="1115"/>
      <c r="IHZ15" s="1115"/>
      <c r="IIA15" s="1115"/>
      <c r="IIB15" s="1115"/>
      <c r="IIC15" s="1115"/>
      <c r="IID15" s="1115"/>
      <c r="IIE15" s="1115"/>
      <c r="IIF15" s="1115"/>
      <c r="IIG15" s="1115"/>
      <c r="IIH15" s="1115"/>
      <c r="III15" s="1115"/>
      <c r="IIJ15" s="1115"/>
      <c r="IIK15" s="1115"/>
      <c r="IIL15" s="1115"/>
      <c r="IIM15" s="1115"/>
      <c r="IIN15" s="1115"/>
      <c r="IIO15" s="1115"/>
      <c r="IIP15" s="1115"/>
      <c r="IIQ15" s="1115"/>
      <c r="IIR15" s="1115"/>
      <c r="IIS15" s="1115"/>
      <c r="IIT15" s="1115"/>
      <c r="IIU15" s="1115"/>
      <c r="IIV15" s="1115"/>
      <c r="IIW15" s="1115"/>
      <c r="IIX15" s="1115"/>
      <c r="IIY15" s="1115"/>
      <c r="IIZ15" s="1115"/>
      <c r="IJA15" s="1115"/>
      <c r="IJB15" s="1115"/>
      <c r="IJC15" s="1115"/>
      <c r="IJD15" s="1115"/>
      <c r="IJE15" s="1115"/>
      <c r="IJF15" s="1115"/>
      <c r="IJG15" s="1115"/>
      <c r="IJH15" s="1115"/>
      <c r="IJI15" s="1115"/>
      <c r="IJJ15" s="1115"/>
      <c r="IJK15" s="1115"/>
      <c r="IJL15" s="1115"/>
      <c r="IJM15" s="1115"/>
      <c r="IJN15" s="1115"/>
      <c r="IJO15" s="1115"/>
      <c r="IJP15" s="1115"/>
      <c r="IJQ15" s="1115"/>
      <c r="IJR15" s="1115"/>
      <c r="IJS15" s="1115"/>
      <c r="IJT15" s="1115"/>
      <c r="IJU15" s="1115"/>
      <c r="IJV15" s="1115"/>
      <c r="IJW15" s="1115"/>
      <c r="IJX15" s="1115"/>
      <c r="IJY15" s="1115"/>
      <c r="IJZ15" s="1115"/>
      <c r="IKA15" s="1115"/>
      <c r="IKB15" s="1115"/>
      <c r="IKC15" s="1115"/>
      <c r="IKD15" s="1115"/>
      <c r="IKE15" s="1115"/>
      <c r="IKF15" s="1115"/>
      <c r="IKG15" s="1115"/>
      <c r="IKH15" s="1115"/>
      <c r="IKI15" s="1115"/>
      <c r="IKJ15" s="1115"/>
      <c r="IKK15" s="1115"/>
      <c r="IKL15" s="1115"/>
      <c r="IKM15" s="1115"/>
      <c r="IKN15" s="1115"/>
      <c r="IKO15" s="1115"/>
      <c r="IKP15" s="1115"/>
      <c r="IKQ15" s="1115"/>
      <c r="IKR15" s="1115"/>
      <c r="IKS15" s="1115"/>
      <c r="IKT15" s="1115"/>
      <c r="IKU15" s="1115"/>
      <c r="IKV15" s="1115"/>
      <c r="IKW15" s="1115"/>
      <c r="IKX15" s="1115"/>
      <c r="IKY15" s="1115"/>
      <c r="IKZ15" s="1115"/>
      <c r="ILA15" s="1115"/>
      <c r="ILB15" s="1115"/>
      <c r="ILC15" s="1115"/>
      <c r="ILD15" s="1115"/>
      <c r="ILE15" s="1115"/>
      <c r="ILF15" s="1115"/>
      <c r="ILG15" s="1115"/>
      <c r="ILH15" s="1115"/>
      <c r="ILI15" s="1115"/>
      <c r="ILJ15" s="1115"/>
      <c r="ILK15" s="1115"/>
      <c r="ILL15" s="1115"/>
      <c r="ILM15" s="1115"/>
      <c r="ILN15" s="1115"/>
      <c r="ILO15" s="1115"/>
      <c r="ILP15" s="1115"/>
      <c r="ILQ15" s="1115"/>
      <c r="ILR15" s="1115"/>
      <c r="ILS15" s="1115"/>
      <c r="ILT15" s="1115"/>
      <c r="ILU15" s="1115"/>
      <c r="ILV15" s="1115"/>
      <c r="ILW15" s="1115"/>
      <c r="ILX15" s="1115"/>
      <c r="ILY15" s="1115"/>
      <c r="ILZ15" s="1115"/>
      <c r="IMA15" s="1115"/>
      <c r="IMB15" s="1115"/>
      <c r="IMC15" s="1115"/>
      <c r="IMD15" s="1115"/>
      <c r="IME15" s="1115"/>
      <c r="IMF15" s="1115"/>
      <c r="IMG15" s="1115"/>
      <c r="IMH15" s="1115"/>
      <c r="IMI15" s="1115"/>
      <c r="IMJ15" s="1115"/>
      <c r="IMK15" s="1115"/>
      <c r="IML15" s="1115"/>
      <c r="IMM15" s="1115"/>
      <c r="IMN15" s="1115"/>
      <c r="IMO15" s="1115"/>
      <c r="IMP15" s="1115"/>
      <c r="IMQ15" s="1115"/>
      <c r="IMR15" s="1115"/>
      <c r="IMS15" s="1115"/>
      <c r="IMT15" s="1115"/>
      <c r="IMU15" s="1115"/>
      <c r="IMV15" s="1115"/>
      <c r="IMW15" s="1115"/>
      <c r="IMX15" s="1115"/>
      <c r="IMY15" s="1115"/>
      <c r="IMZ15" s="1115"/>
      <c r="INA15" s="1115"/>
      <c r="INB15" s="1115"/>
      <c r="INC15" s="1115"/>
      <c r="IND15" s="1115"/>
      <c r="INE15" s="1115"/>
      <c r="INF15" s="1115"/>
      <c r="ING15" s="1115"/>
      <c r="INH15" s="1115"/>
      <c r="INI15" s="1115"/>
      <c r="INJ15" s="1115"/>
      <c r="INK15" s="1115"/>
      <c r="INL15" s="1115"/>
      <c r="INM15" s="1115"/>
      <c r="INN15" s="1115"/>
      <c r="INO15" s="1115"/>
      <c r="INP15" s="1115"/>
      <c r="INQ15" s="1115"/>
      <c r="INR15" s="1115"/>
      <c r="INS15" s="1115"/>
      <c r="INT15" s="1115"/>
      <c r="INU15" s="1115"/>
      <c r="INV15" s="1115"/>
      <c r="INW15" s="1115"/>
      <c r="INX15" s="1115"/>
      <c r="INY15" s="1115"/>
      <c r="INZ15" s="1115"/>
      <c r="IOA15" s="1115"/>
      <c r="IOB15" s="1115"/>
      <c r="IOC15" s="1115"/>
      <c r="IOD15" s="1115"/>
      <c r="IOE15" s="1115"/>
      <c r="IOF15" s="1115"/>
      <c r="IOG15" s="1115"/>
      <c r="IOH15" s="1115"/>
      <c r="IOI15" s="1115"/>
      <c r="IOJ15" s="1115"/>
      <c r="IOK15" s="1115"/>
      <c r="IOL15" s="1115"/>
      <c r="IOM15" s="1115"/>
      <c r="ION15" s="1115"/>
      <c r="IOO15" s="1115"/>
      <c r="IOP15" s="1115"/>
      <c r="IOQ15" s="1115"/>
      <c r="IOR15" s="1115"/>
      <c r="IOS15" s="1115"/>
      <c r="IOT15" s="1115"/>
      <c r="IOU15" s="1115"/>
      <c r="IOV15" s="1115"/>
      <c r="IOW15" s="1115"/>
      <c r="IOX15" s="1115"/>
      <c r="IOY15" s="1115"/>
      <c r="IOZ15" s="1115"/>
      <c r="IPA15" s="1115"/>
      <c r="IPB15" s="1115"/>
      <c r="IPC15" s="1115"/>
      <c r="IPD15" s="1115"/>
      <c r="IPE15" s="1115"/>
      <c r="IPF15" s="1115"/>
      <c r="IPG15" s="1115"/>
      <c r="IPH15" s="1115"/>
      <c r="IPI15" s="1115"/>
      <c r="IPJ15" s="1115"/>
      <c r="IPK15" s="1115"/>
      <c r="IPL15" s="1115"/>
      <c r="IPM15" s="1115"/>
      <c r="IPN15" s="1115"/>
      <c r="IPO15" s="1115"/>
      <c r="IPP15" s="1115"/>
      <c r="IPQ15" s="1115"/>
      <c r="IPR15" s="1115"/>
      <c r="IPS15" s="1115"/>
      <c r="IPT15" s="1115"/>
      <c r="IPU15" s="1115"/>
      <c r="IPV15" s="1115"/>
      <c r="IPW15" s="1115"/>
      <c r="IPX15" s="1115"/>
      <c r="IPY15" s="1115"/>
      <c r="IPZ15" s="1115"/>
      <c r="IQA15" s="1115"/>
      <c r="IQB15" s="1115"/>
      <c r="IQC15" s="1115"/>
      <c r="IQD15" s="1115"/>
      <c r="IQE15" s="1115"/>
      <c r="IQF15" s="1115"/>
      <c r="IQG15" s="1115"/>
      <c r="IQH15" s="1115"/>
      <c r="IQI15" s="1115"/>
      <c r="IQJ15" s="1115"/>
      <c r="IQK15" s="1115"/>
      <c r="IQL15" s="1115"/>
      <c r="IQM15" s="1115"/>
      <c r="IQN15" s="1115"/>
      <c r="IQO15" s="1115"/>
      <c r="IQP15" s="1115"/>
      <c r="IQQ15" s="1115"/>
      <c r="IQR15" s="1115"/>
      <c r="IQS15" s="1115"/>
      <c r="IQT15" s="1115"/>
      <c r="IQU15" s="1115"/>
      <c r="IQV15" s="1115"/>
      <c r="IQW15" s="1115"/>
      <c r="IQX15" s="1115"/>
      <c r="IQY15" s="1115"/>
      <c r="IQZ15" s="1115"/>
      <c r="IRA15" s="1115"/>
      <c r="IRB15" s="1115"/>
      <c r="IRC15" s="1115"/>
      <c r="IRD15" s="1115"/>
      <c r="IRE15" s="1115"/>
      <c r="IRF15" s="1115"/>
      <c r="IRG15" s="1115"/>
      <c r="IRH15" s="1115"/>
      <c r="IRI15" s="1115"/>
      <c r="IRJ15" s="1115"/>
      <c r="IRK15" s="1115"/>
      <c r="IRL15" s="1115"/>
      <c r="IRM15" s="1115"/>
      <c r="IRN15" s="1115"/>
      <c r="IRO15" s="1115"/>
      <c r="IRP15" s="1115"/>
      <c r="IRQ15" s="1115"/>
      <c r="IRR15" s="1115"/>
      <c r="IRS15" s="1115"/>
      <c r="IRT15" s="1115"/>
      <c r="IRU15" s="1115"/>
      <c r="IRV15" s="1115"/>
      <c r="IRW15" s="1115"/>
      <c r="IRX15" s="1115"/>
      <c r="IRY15" s="1115"/>
      <c r="IRZ15" s="1115"/>
      <c r="ISA15" s="1115"/>
      <c r="ISB15" s="1115"/>
      <c r="ISC15" s="1115"/>
      <c r="ISD15" s="1115"/>
      <c r="ISE15" s="1115"/>
      <c r="ISF15" s="1115"/>
      <c r="ISG15" s="1115"/>
      <c r="ISH15" s="1115"/>
      <c r="ISI15" s="1115"/>
      <c r="ISJ15" s="1115"/>
      <c r="ISK15" s="1115"/>
      <c r="ISL15" s="1115"/>
      <c r="ISM15" s="1115"/>
      <c r="ISN15" s="1115"/>
      <c r="ISO15" s="1115"/>
      <c r="ISP15" s="1115"/>
      <c r="ISQ15" s="1115"/>
      <c r="ISR15" s="1115"/>
      <c r="ISS15" s="1115"/>
      <c r="IST15" s="1115"/>
      <c r="ISU15" s="1115"/>
      <c r="ISV15" s="1115"/>
      <c r="ISW15" s="1115"/>
      <c r="ISX15" s="1115"/>
      <c r="ISY15" s="1115"/>
      <c r="ISZ15" s="1115"/>
      <c r="ITA15" s="1115"/>
      <c r="ITB15" s="1115"/>
      <c r="ITC15" s="1115"/>
      <c r="ITD15" s="1115"/>
      <c r="ITE15" s="1115"/>
      <c r="ITF15" s="1115"/>
      <c r="ITG15" s="1115"/>
      <c r="ITH15" s="1115"/>
      <c r="ITI15" s="1115"/>
      <c r="ITJ15" s="1115"/>
      <c r="ITK15" s="1115"/>
      <c r="ITL15" s="1115"/>
      <c r="ITM15" s="1115"/>
      <c r="ITN15" s="1115"/>
      <c r="ITO15" s="1115"/>
      <c r="ITP15" s="1115"/>
      <c r="ITQ15" s="1115"/>
      <c r="ITR15" s="1115"/>
      <c r="ITS15" s="1115"/>
      <c r="ITT15" s="1115"/>
      <c r="ITU15" s="1115"/>
      <c r="ITV15" s="1115"/>
      <c r="ITW15" s="1115"/>
      <c r="ITX15" s="1115"/>
      <c r="ITY15" s="1115"/>
      <c r="ITZ15" s="1115"/>
      <c r="IUA15" s="1115"/>
      <c r="IUB15" s="1115"/>
      <c r="IUC15" s="1115"/>
      <c r="IUD15" s="1115"/>
      <c r="IUE15" s="1115"/>
      <c r="IUF15" s="1115"/>
      <c r="IUG15" s="1115"/>
      <c r="IUH15" s="1115"/>
      <c r="IUI15" s="1115"/>
      <c r="IUJ15" s="1115"/>
      <c r="IUK15" s="1115"/>
      <c r="IUL15" s="1115"/>
      <c r="IUM15" s="1115"/>
      <c r="IUN15" s="1115"/>
      <c r="IUO15" s="1115"/>
      <c r="IUP15" s="1115"/>
      <c r="IUQ15" s="1115"/>
      <c r="IUR15" s="1115"/>
      <c r="IUS15" s="1115"/>
      <c r="IUT15" s="1115"/>
      <c r="IUU15" s="1115"/>
      <c r="IUV15" s="1115"/>
      <c r="IUW15" s="1115"/>
      <c r="IUX15" s="1115"/>
      <c r="IUY15" s="1115"/>
      <c r="IUZ15" s="1115"/>
      <c r="IVA15" s="1115"/>
      <c r="IVB15" s="1115"/>
      <c r="IVC15" s="1115"/>
      <c r="IVD15" s="1115"/>
      <c r="IVE15" s="1115"/>
      <c r="IVF15" s="1115"/>
      <c r="IVG15" s="1115"/>
      <c r="IVH15" s="1115"/>
      <c r="IVI15" s="1115"/>
      <c r="IVJ15" s="1115"/>
      <c r="IVK15" s="1115"/>
      <c r="IVL15" s="1115"/>
      <c r="IVM15" s="1115"/>
      <c r="IVN15" s="1115"/>
      <c r="IVO15" s="1115"/>
      <c r="IVP15" s="1115"/>
      <c r="IVQ15" s="1115"/>
      <c r="IVR15" s="1115"/>
      <c r="IVS15" s="1115"/>
      <c r="IVT15" s="1115"/>
      <c r="IVU15" s="1115"/>
      <c r="IVV15" s="1115"/>
      <c r="IVW15" s="1115"/>
      <c r="IVX15" s="1115"/>
      <c r="IVY15" s="1115"/>
      <c r="IVZ15" s="1115"/>
      <c r="IWA15" s="1115"/>
      <c r="IWB15" s="1115"/>
      <c r="IWC15" s="1115"/>
      <c r="IWD15" s="1115"/>
      <c r="IWE15" s="1115"/>
      <c r="IWF15" s="1115"/>
      <c r="IWG15" s="1115"/>
      <c r="IWH15" s="1115"/>
      <c r="IWI15" s="1115"/>
      <c r="IWJ15" s="1115"/>
      <c r="IWK15" s="1115"/>
      <c r="IWL15" s="1115"/>
      <c r="IWM15" s="1115"/>
      <c r="IWN15" s="1115"/>
      <c r="IWO15" s="1115"/>
      <c r="IWP15" s="1115"/>
      <c r="IWQ15" s="1115"/>
      <c r="IWR15" s="1115"/>
      <c r="IWS15" s="1115"/>
      <c r="IWT15" s="1115"/>
      <c r="IWU15" s="1115"/>
      <c r="IWV15" s="1115"/>
      <c r="IWW15" s="1115"/>
      <c r="IWX15" s="1115"/>
      <c r="IWY15" s="1115"/>
      <c r="IWZ15" s="1115"/>
      <c r="IXA15" s="1115"/>
      <c r="IXB15" s="1115"/>
      <c r="IXC15" s="1115"/>
      <c r="IXD15" s="1115"/>
      <c r="IXE15" s="1115"/>
      <c r="IXF15" s="1115"/>
      <c r="IXG15" s="1115"/>
      <c r="IXH15" s="1115"/>
      <c r="IXI15" s="1115"/>
      <c r="IXJ15" s="1115"/>
      <c r="IXK15" s="1115"/>
      <c r="IXL15" s="1115"/>
      <c r="IXM15" s="1115"/>
      <c r="IXN15" s="1115"/>
      <c r="IXO15" s="1115"/>
      <c r="IXP15" s="1115"/>
      <c r="IXQ15" s="1115"/>
      <c r="IXR15" s="1115"/>
      <c r="IXS15" s="1115"/>
      <c r="IXT15" s="1115"/>
      <c r="IXU15" s="1115"/>
      <c r="IXV15" s="1115"/>
      <c r="IXW15" s="1115"/>
      <c r="IXX15" s="1115"/>
      <c r="IXY15" s="1115"/>
      <c r="IXZ15" s="1115"/>
      <c r="IYA15" s="1115"/>
      <c r="IYB15" s="1115"/>
      <c r="IYC15" s="1115"/>
      <c r="IYD15" s="1115"/>
      <c r="IYE15" s="1115"/>
      <c r="IYF15" s="1115"/>
      <c r="IYG15" s="1115"/>
      <c r="IYH15" s="1115"/>
      <c r="IYI15" s="1115"/>
      <c r="IYJ15" s="1115"/>
      <c r="IYK15" s="1115"/>
      <c r="IYL15" s="1115"/>
      <c r="IYM15" s="1115"/>
      <c r="IYN15" s="1115"/>
      <c r="IYO15" s="1115"/>
      <c r="IYP15" s="1115"/>
      <c r="IYQ15" s="1115"/>
      <c r="IYR15" s="1115"/>
      <c r="IYS15" s="1115"/>
      <c r="IYT15" s="1115"/>
      <c r="IYU15" s="1115"/>
      <c r="IYV15" s="1115"/>
      <c r="IYW15" s="1115"/>
      <c r="IYX15" s="1115"/>
      <c r="IYY15" s="1115"/>
      <c r="IYZ15" s="1115"/>
      <c r="IZA15" s="1115"/>
      <c r="IZB15" s="1115"/>
      <c r="IZC15" s="1115"/>
      <c r="IZD15" s="1115"/>
      <c r="IZE15" s="1115"/>
      <c r="IZF15" s="1115"/>
      <c r="IZG15" s="1115"/>
      <c r="IZH15" s="1115"/>
      <c r="IZI15" s="1115"/>
      <c r="IZJ15" s="1115"/>
      <c r="IZK15" s="1115"/>
      <c r="IZL15" s="1115"/>
      <c r="IZM15" s="1115"/>
      <c r="IZN15" s="1115"/>
      <c r="IZO15" s="1115"/>
      <c r="IZP15" s="1115"/>
      <c r="IZQ15" s="1115"/>
      <c r="IZR15" s="1115"/>
      <c r="IZS15" s="1115"/>
      <c r="IZT15" s="1115"/>
      <c r="IZU15" s="1115"/>
      <c r="IZV15" s="1115"/>
      <c r="IZW15" s="1115"/>
      <c r="IZX15" s="1115"/>
      <c r="IZY15" s="1115"/>
      <c r="IZZ15" s="1115"/>
      <c r="JAA15" s="1115"/>
      <c r="JAB15" s="1115"/>
      <c r="JAC15" s="1115"/>
      <c r="JAD15" s="1115"/>
      <c r="JAE15" s="1115"/>
      <c r="JAF15" s="1115"/>
      <c r="JAG15" s="1115"/>
      <c r="JAH15" s="1115"/>
      <c r="JAI15" s="1115"/>
      <c r="JAJ15" s="1115"/>
      <c r="JAK15" s="1115"/>
      <c r="JAL15" s="1115"/>
      <c r="JAM15" s="1115"/>
      <c r="JAN15" s="1115"/>
      <c r="JAO15" s="1115"/>
      <c r="JAP15" s="1115"/>
      <c r="JAQ15" s="1115"/>
      <c r="JAR15" s="1115"/>
      <c r="JAS15" s="1115"/>
      <c r="JAT15" s="1115"/>
      <c r="JAU15" s="1115"/>
      <c r="JAV15" s="1115"/>
      <c r="JAW15" s="1115"/>
      <c r="JAX15" s="1115"/>
      <c r="JAY15" s="1115"/>
      <c r="JAZ15" s="1115"/>
      <c r="JBA15" s="1115"/>
      <c r="JBB15" s="1115"/>
      <c r="JBC15" s="1115"/>
      <c r="JBD15" s="1115"/>
      <c r="JBE15" s="1115"/>
      <c r="JBF15" s="1115"/>
      <c r="JBG15" s="1115"/>
      <c r="JBH15" s="1115"/>
      <c r="JBI15" s="1115"/>
      <c r="JBJ15" s="1115"/>
      <c r="JBK15" s="1115"/>
      <c r="JBL15" s="1115"/>
      <c r="JBM15" s="1115"/>
      <c r="JBN15" s="1115"/>
      <c r="JBO15" s="1115"/>
      <c r="JBP15" s="1115"/>
      <c r="JBQ15" s="1115"/>
      <c r="JBR15" s="1115"/>
      <c r="JBS15" s="1115"/>
      <c r="JBT15" s="1115"/>
      <c r="JBU15" s="1115"/>
      <c r="JBV15" s="1115"/>
      <c r="JBW15" s="1115"/>
      <c r="JBX15" s="1115"/>
      <c r="JBY15" s="1115"/>
      <c r="JBZ15" s="1115"/>
      <c r="JCA15" s="1115"/>
      <c r="JCB15" s="1115"/>
      <c r="JCC15" s="1115"/>
      <c r="JCD15" s="1115"/>
      <c r="JCE15" s="1115"/>
      <c r="JCF15" s="1115"/>
      <c r="JCG15" s="1115"/>
      <c r="JCH15" s="1115"/>
      <c r="JCI15" s="1115"/>
      <c r="JCJ15" s="1115"/>
      <c r="JCK15" s="1115"/>
      <c r="JCL15" s="1115"/>
      <c r="JCM15" s="1115"/>
      <c r="JCN15" s="1115"/>
      <c r="JCO15" s="1115"/>
      <c r="JCP15" s="1115"/>
      <c r="JCQ15" s="1115"/>
      <c r="JCR15" s="1115"/>
      <c r="JCS15" s="1115"/>
      <c r="JCT15" s="1115"/>
      <c r="JCU15" s="1115"/>
      <c r="JCV15" s="1115"/>
      <c r="JCW15" s="1115"/>
      <c r="JCX15" s="1115"/>
      <c r="JCY15" s="1115"/>
      <c r="JCZ15" s="1115"/>
      <c r="JDA15" s="1115"/>
      <c r="JDB15" s="1115"/>
      <c r="JDC15" s="1115"/>
      <c r="JDD15" s="1115"/>
      <c r="JDE15" s="1115"/>
      <c r="JDF15" s="1115"/>
      <c r="JDG15" s="1115"/>
      <c r="JDH15" s="1115"/>
      <c r="JDI15" s="1115"/>
      <c r="JDJ15" s="1115"/>
      <c r="JDK15" s="1115"/>
      <c r="JDL15" s="1115"/>
      <c r="JDM15" s="1115"/>
      <c r="JDN15" s="1115"/>
      <c r="JDO15" s="1115"/>
      <c r="JDP15" s="1115"/>
      <c r="JDQ15" s="1115"/>
      <c r="JDR15" s="1115"/>
      <c r="JDS15" s="1115"/>
      <c r="JDT15" s="1115"/>
      <c r="JDU15" s="1115"/>
      <c r="JDV15" s="1115"/>
      <c r="JDW15" s="1115"/>
      <c r="JDX15" s="1115"/>
      <c r="JDY15" s="1115"/>
      <c r="JDZ15" s="1115"/>
      <c r="JEA15" s="1115"/>
      <c r="JEB15" s="1115"/>
      <c r="JEC15" s="1115"/>
      <c r="JED15" s="1115"/>
      <c r="JEE15" s="1115"/>
      <c r="JEF15" s="1115"/>
      <c r="JEG15" s="1115"/>
      <c r="JEH15" s="1115"/>
      <c r="JEI15" s="1115"/>
      <c r="JEJ15" s="1115"/>
      <c r="JEK15" s="1115"/>
      <c r="JEL15" s="1115"/>
      <c r="JEM15" s="1115"/>
      <c r="JEN15" s="1115"/>
      <c r="JEO15" s="1115"/>
      <c r="JEP15" s="1115"/>
      <c r="JEQ15" s="1115"/>
      <c r="JER15" s="1115"/>
      <c r="JES15" s="1115"/>
      <c r="JET15" s="1115"/>
      <c r="JEU15" s="1115"/>
      <c r="JEV15" s="1115"/>
      <c r="JEW15" s="1115"/>
      <c r="JEX15" s="1115"/>
      <c r="JEY15" s="1115"/>
      <c r="JEZ15" s="1115"/>
      <c r="JFA15" s="1115"/>
      <c r="JFB15" s="1115"/>
      <c r="JFC15" s="1115"/>
      <c r="JFD15" s="1115"/>
      <c r="JFE15" s="1115"/>
      <c r="JFF15" s="1115"/>
      <c r="JFG15" s="1115"/>
      <c r="JFH15" s="1115"/>
      <c r="JFI15" s="1115"/>
      <c r="JFJ15" s="1115"/>
      <c r="JFK15" s="1115"/>
      <c r="JFL15" s="1115"/>
      <c r="JFM15" s="1115"/>
      <c r="JFN15" s="1115"/>
      <c r="JFO15" s="1115"/>
      <c r="JFP15" s="1115"/>
      <c r="JFQ15" s="1115"/>
      <c r="JFR15" s="1115"/>
      <c r="JFS15" s="1115"/>
      <c r="JFT15" s="1115"/>
      <c r="JFU15" s="1115"/>
      <c r="JFV15" s="1115"/>
      <c r="JFW15" s="1115"/>
      <c r="JFX15" s="1115"/>
      <c r="JFY15" s="1115"/>
      <c r="JFZ15" s="1115"/>
      <c r="JGA15" s="1115"/>
      <c r="JGB15" s="1115"/>
      <c r="JGC15" s="1115"/>
      <c r="JGD15" s="1115"/>
      <c r="JGE15" s="1115"/>
      <c r="JGF15" s="1115"/>
      <c r="JGG15" s="1115"/>
      <c r="JGH15" s="1115"/>
      <c r="JGI15" s="1115"/>
      <c r="JGJ15" s="1115"/>
      <c r="JGK15" s="1115"/>
      <c r="JGL15" s="1115"/>
      <c r="JGM15" s="1115"/>
      <c r="JGN15" s="1115"/>
      <c r="JGO15" s="1115"/>
      <c r="JGP15" s="1115"/>
      <c r="JGQ15" s="1115"/>
      <c r="JGR15" s="1115"/>
      <c r="JGS15" s="1115"/>
      <c r="JGT15" s="1115"/>
      <c r="JGU15" s="1115"/>
      <c r="JGV15" s="1115"/>
      <c r="JGW15" s="1115"/>
      <c r="JGX15" s="1115"/>
      <c r="JGY15" s="1115"/>
      <c r="JGZ15" s="1115"/>
      <c r="JHA15" s="1115"/>
      <c r="JHB15" s="1115"/>
      <c r="JHC15" s="1115"/>
      <c r="JHD15" s="1115"/>
      <c r="JHE15" s="1115"/>
      <c r="JHF15" s="1115"/>
      <c r="JHG15" s="1115"/>
      <c r="JHH15" s="1115"/>
      <c r="JHI15" s="1115"/>
      <c r="JHJ15" s="1115"/>
      <c r="JHK15" s="1115"/>
      <c r="JHL15" s="1115"/>
      <c r="JHM15" s="1115"/>
      <c r="JHN15" s="1115"/>
      <c r="JHO15" s="1115"/>
      <c r="JHP15" s="1115"/>
      <c r="JHQ15" s="1115"/>
      <c r="JHR15" s="1115"/>
      <c r="JHS15" s="1115"/>
      <c r="JHT15" s="1115"/>
      <c r="JHU15" s="1115"/>
      <c r="JHV15" s="1115"/>
      <c r="JHW15" s="1115"/>
      <c r="JHX15" s="1115"/>
      <c r="JHY15" s="1115"/>
      <c r="JHZ15" s="1115"/>
      <c r="JIA15" s="1115"/>
      <c r="JIB15" s="1115"/>
      <c r="JIC15" s="1115"/>
      <c r="JID15" s="1115"/>
      <c r="JIE15" s="1115"/>
      <c r="JIF15" s="1115"/>
      <c r="JIG15" s="1115"/>
      <c r="JIH15" s="1115"/>
      <c r="JII15" s="1115"/>
      <c r="JIJ15" s="1115"/>
      <c r="JIK15" s="1115"/>
      <c r="JIL15" s="1115"/>
      <c r="JIM15" s="1115"/>
      <c r="JIN15" s="1115"/>
      <c r="JIO15" s="1115"/>
      <c r="JIP15" s="1115"/>
      <c r="JIQ15" s="1115"/>
      <c r="JIR15" s="1115"/>
      <c r="JIS15" s="1115"/>
      <c r="JIT15" s="1115"/>
      <c r="JIU15" s="1115"/>
      <c r="JIV15" s="1115"/>
      <c r="JIW15" s="1115"/>
      <c r="JIX15" s="1115"/>
      <c r="JIY15" s="1115"/>
      <c r="JIZ15" s="1115"/>
      <c r="JJA15" s="1115"/>
      <c r="JJB15" s="1115"/>
      <c r="JJC15" s="1115"/>
      <c r="JJD15" s="1115"/>
      <c r="JJE15" s="1115"/>
      <c r="JJF15" s="1115"/>
      <c r="JJG15" s="1115"/>
      <c r="JJH15" s="1115"/>
      <c r="JJI15" s="1115"/>
      <c r="JJJ15" s="1115"/>
      <c r="JJK15" s="1115"/>
      <c r="JJL15" s="1115"/>
      <c r="JJM15" s="1115"/>
      <c r="JJN15" s="1115"/>
      <c r="JJO15" s="1115"/>
      <c r="JJP15" s="1115"/>
      <c r="JJQ15" s="1115"/>
      <c r="JJR15" s="1115"/>
      <c r="JJS15" s="1115"/>
      <c r="JJT15" s="1115"/>
      <c r="JJU15" s="1115"/>
      <c r="JJV15" s="1115"/>
      <c r="JJW15" s="1115"/>
      <c r="JJX15" s="1115"/>
      <c r="JJY15" s="1115"/>
      <c r="JJZ15" s="1115"/>
      <c r="JKA15" s="1115"/>
      <c r="JKB15" s="1115"/>
      <c r="JKC15" s="1115"/>
      <c r="JKD15" s="1115"/>
      <c r="JKE15" s="1115"/>
      <c r="JKF15" s="1115"/>
      <c r="JKG15" s="1115"/>
      <c r="JKH15" s="1115"/>
      <c r="JKI15" s="1115"/>
      <c r="JKJ15" s="1115"/>
      <c r="JKK15" s="1115"/>
      <c r="JKL15" s="1115"/>
      <c r="JKM15" s="1115"/>
      <c r="JKN15" s="1115"/>
      <c r="JKO15" s="1115"/>
      <c r="JKP15" s="1115"/>
      <c r="JKQ15" s="1115"/>
      <c r="JKR15" s="1115"/>
      <c r="JKS15" s="1115"/>
      <c r="JKT15" s="1115"/>
      <c r="JKU15" s="1115"/>
      <c r="JKV15" s="1115"/>
      <c r="JKW15" s="1115"/>
      <c r="JKX15" s="1115"/>
      <c r="JKY15" s="1115"/>
      <c r="JKZ15" s="1115"/>
      <c r="JLA15" s="1115"/>
      <c r="JLB15" s="1115"/>
      <c r="JLC15" s="1115"/>
      <c r="JLD15" s="1115"/>
      <c r="JLE15" s="1115"/>
      <c r="JLF15" s="1115"/>
      <c r="JLG15" s="1115"/>
      <c r="JLH15" s="1115"/>
      <c r="JLI15" s="1115"/>
      <c r="JLJ15" s="1115"/>
      <c r="JLK15" s="1115"/>
      <c r="JLL15" s="1115"/>
      <c r="JLM15" s="1115"/>
      <c r="JLN15" s="1115"/>
      <c r="JLO15" s="1115"/>
      <c r="JLP15" s="1115"/>
      <c r="JLQ15" s="1115"/>
      <c r="JLR15" s="1115"/>
      <c r="JLS15" s="1115"/>
      <c r="JLT15" s="1115"/>
      <c r="JLU15" s="1115"/>
      <c r="JLV15" s="1115"/>
      <c r="JLW15" s="1115"/>
      <c r="JLX15" s="1115"/>
      <c r="JLY15" s="1115"/>
      <c r="JLZ15" s="1115"/>
      <c r="JMA15" s="1115"/>
      <c r="JMB15" s="1115"/>
      <c r="JMC15" s="1115"/>
      <c r="JMD15" s="1115"/>
      <c r="JME15" s="1115"/>
      <c r="JMF15" s="1115"/>
      <c r="JMG15" s="1115"/>
      <c r="JMH15" s="1115"/>
      <c r="JMI15" s="1115"/>
      <c r="JMJ15" s="1115"/>
      <c r="JMK15" s="1115"/>
      <c r="JML15" s="1115"/>
      <c r="JMM15" s="1115"/>
      <c r="JMN15" s="1115"/>
      <c r="JMO15" s="1115"/>
      <c r="JMP15" s="1115"/>
      <c r="JMQ15" s="1115"/>
      <c r="JMR15" s="1115"/>
      <c r="JMS15" s="1115"/>
      <c r="JMT15" s="1115"/>
      <c r="JMU15" s="1115"/>
      <c r="JMV15" s="1115"/>
      <c r="JMW15" s="1115"/>
      <c r="JMX15" s="1115"/>
      <c r="JMY15" s="1115"/>
      <c r="JMZ15" s="1115"/>
      <c r="JNA15" s="1115"/>
      <c r="JNB15" s="1115"/>
      <c r="JNC15" s="1115"/>
      <c r="JND15" s="1115"/>
      <c r="JNE15" s="1115"/>
      <c r="JNF15" s="1115"/>
      <c r="JNG15" s="1115"/>
      <c r="JNH15" s="1115"/>
      <c r="JNI15" s="1115"/>
      <c r="JNJ15" s="1115"/>
      <c r="JNK15" s="1115"/>
      <c r="JNL15" s="1115"/>
      <c r="JNM15" s="1115"/>
      <c r="JNN15" s="1115"/>
      <c r="JNO15" s="1115"/>
      <c r="JNP15" s="1115"/>
      <c r="JNQ15" s="1115"/>
      <c r="JNR15" s="1115"/>
      <c r="JNS15" s="1115"/>
      <c r="JNT15" s="1115"/>
      <c r="JNU15" s="1115"/>
      <c r="JNV15" s="1115"/>
      <c r="JNW15" s="1115"/>
      <c r="JNX15" s="1115"/>
      <c r="JNY15" s="1115"/>
      <c r="JNZ15" s="1115"/>
      <c r="JOA15" s="1115"/>
      <c r="JOB15" s="1115"/>
      <c r="JOC15" s="1115"/>
      <c r="JOD15" s="1115"/>
      <c r="JOE15" s="1115"/>
      <c r="JOF15" s="1115"/>
      <c r="JOG15" s="1115"/>
      <c r="JOH15" s="1115"/>
      <c r="JOI15" s="1115"/>
      <c r="JOJ15" s="1115"/>
      <c r="JOK15" s="1115"/>
      <c r="JOL15" s="1115"/>
      <c r="JOM15" s="1115"/>
      <c r="JON15" s="1115"/>
      <c r="JOO15" s="1115"/>
      <c r="JOP15" s="1115"/>
      <c r="JOQ15" s="1115"/>
      <c r="JOR15" s="1115"/>
      <c r="JOS15" s="1115"/>
      <c r="JOT15" s="1115"/>
      <c r="JOU15" s="1115"/>
      <c r="JOV15" s="1115"/>
      <c r="JOW15" s="1115"/>
      <c r="JOX15" s="1115"/>
      <c r="JOY15" s="1115"/>
      <c r="JOZ15" s="1115"/>
      <c r="JPA15" s="1115"/>
      <c r="JPB15" s="1115"/>
      <c r="JPC15" s="1115"/>
      <c r="JPD15" s="1115"/>
      <c r="JPE15" s="1115"/>
      <c r="JPF15" s="1115"/>
      <c r="JPG15" s="1115"/>
      <c r="JPH15" s="1115"/>
      <c r="JPI15" s="1115"/>
      <c r="JPJ15" s="1115"/>
      <c r="JPK15" s="1115"/>
      <c r="JPL15" s="1115"/>
      <c r="JPM15" s="1115"/>
      <c r="JPN15" s="1115"/>
      <c r="JPO15" s="1115"/>
      <c r="JPP15" s="1115"/>
      <c r="JPQ15" s="1115"/>
      <c r="JPR15" s="1115"/>
      <c r="JPS15" s="1115"/>
      <c r="JPT15" s="1115"/>
      <c r="JPU15" s="1115"/>
      <c r="JPV15" s="1115"/>
      <c r="JPW15" s="1115"/>
      <c r="JPX15" s="1115"/>
      <c r="JPY15" s="1115"/>
      <c r="JPZ15" s="1115"/>
      <c r="JQA15" s="1115"/>
      <c r="JQB15" s="1115"/>
      <c r="JQC15" s="1115"/>
      <c r="JQD15" s="1115"/>
      <c r="JQE15" s="1115"/>
      <c r="JQF15" s="1115"/>
      <c r="JQG15" s="1115"/>
      <c r="JQH15" s="1115"/>
      <c r="JQI15" s="1115"/>
      <c r="JQJ15" s="1115"/>
      <c r="JQK15" s="1115"/>
      <c r="JQL15" s="1115"/>
      <c r="JQM15" s="1115"/>
      <c r="JQN15" s="1115"/>
      <c r="JQO15" s="1115"/>
      <c r="JQP15" s="1115"/>
      <c r="JQQ15" s="1115"/>
      <c r="JQR15" s="1115"/>
      <c r="JQS15" s="1115"/>
      <c r="JQT15" s="1115"/>
      <c r="JQU15" s="1115"/>
      <c r="JQV15" s="1115"/>
      <c r="JQW15" s="1115"/>
      <c r="JQX15" s="1115"/>
      <c r="JQY15" s="1115"/>
      <c r="JQZ15" s="1115"/>
      <c r="JRA15" s="1115"/>
      <c r="JRB15" s="1115"/>
      <c r="JRC15" s="1115"/>
      <c r="JRD15" s="1115"/>
      <c r="JRE15" s="1115"/>
      <c r="JRF15" s="1115"/>
      <c r="JRG15" s="1115"/>
      <c r="JRH15" s="1115"/>
      <c r="JRI15" s="1115"/>
      <c r="JRJ15" s="1115"/>
      <c r="JRK15" s="1115"/>
      <c r="JRL15" s="1115"/>
      <c r="JRM15" s="1115"/>
      <c r="JRN15" s="1115"/>
      <c r="JRO15" s="1115"/>
      <c r="JRP15" s="1115"/>
      <c r="JRQ15" s="1115"/>
      <c r="JRR15" s="1115"/>
      <c r="JRS15" s="1115"/>
      <c r="JRT15" s="1115"/>
      <c r="JRU15" s="1115"/>
      <c r="JRV15" s="1115"/>
      <c r="JRW15" s="1115"/>
      <c r="JRX15" s="1115"/>
      <c r="JRY15" s="1115"/>
      <c r="JRZ15" s="1115"/>
      <c r="JSA15" s="1115"/>
      <c r="JSB15" s="1115"/>
      <c r="JSC15" s="1115"/>
      <c r="JSD15" s="1115"/>
      <c r="JSE15" s="1115"/>
      <c r="JSF15" s="1115"/>
      <c r="JSG15" s="1115"/>
      <c r="JSH15" s="1115"/>
      <c r="JSI15" s="1115"/>
      <c r="JSJ15" s="1115"/>
      <c r="JSK15" s="1115"/>
      <c r="JSL15" s="1115"/>
      <c r="JSM15" s="1115"/>
      <c r="JSN15" s="1115"/>
      <c r="JSO15" s="1115"/>
      <c r="JSP15" s="1115"/>
      <c r="JSQ15" s="1115"/>
      <c r="JSR15" s="1115"/>
      <c r="JSS15" s="1115"/>
      <c r="JST15" s="1115"/>
      <c r="JSU15" s="1115"/>
      <c r="JSV15" s="1115"/>
      <c r="JSW15" s="1115"/>
      <c r="JSX15" s="1115"/>
      <c r="JSY15" s="1115"/>
      <c r="JSZ15" s="1115"/>
      <c r="JTA15" s="1115"/>
      <c r="JTB15" s="1115"/>
      <c r="JTC15" s="1115"/>
      <c r="JTD15" s="1115"/>
      <c r="JTE15" s="1115"/>
      <c r="JTF15" s="1115"/>
      <c r="JTG15" s="1115"/>
      <c r="JTH15" s="1115"/>
      <c r="JTI15" s="1115"/>
      <c r="JTJ15" s="1115"/>
      <c r="JTK15" s="1115"/>
      <c r="JTL15" s="1115"/>
      <c r="JTM15" s="1115"/>
      <c r="JTN15" s="1115"/>
      <c r="JTO15" s="1115"/>
      <c r="JTP15" s="1115"/>
      <c r="JTQ15" s="1115"/>
      <c r="JTR15" s="1115"/>
      <c r="JTS15" s="1115"/>
      <c r="JTT15" s="1115"/>
      <c r="JTU15" s="1115"/>
      <c r="JTV15" s="1115"/>
      <c r="JTW15" s="1115"/>
      <c r="JTX15" s="1115"/>
      <c r="JTY15" s="1115"/>
      <c r="JTZ15" s="1115"/>
      <c r="JUA15" s="1115"/>
      <c r="JUB15" s="1115"/>
      <c r="JUC15" s="1115"/>
      <c r="JUD15" s="1115"/>
      <c r="JUE15" s="1115"/>
      <c r="JUF15" s="1115"/>
      <c r="JUG15" s="1115"/>
      <c r="JUH15" s="1115"/>
      <c r="JUI15" s="1115"/>
      <c r="JUJ15" s="1115"/>
      <c r="JUK15" s="1115"/>
      <c r="JUL15" s="1115"/>
      <c r="JUM15" s="1115"/>
      <c r="JUN15" s="1115"/>
      <c r="JUO15" s="1115"/>
      <c r="JUP15" s="1115"/>
      <c r="JUQ15" s="1115"/>
      <c r="JUR15" s="1115"/>
      <c r="JUS15" s="1115"/>
      <c r="JUT15" s="1115"/>
      <c r="JUU15" s="1115"/>
      <c r="JUV15" s="1115"/>
      <c r="JUW15" s="1115"/>
      <c r="JUX15" s="1115"/>
      <c r="JUY15" s="1115"/>
      <c r="JUZ15" s="1115"/>
      <c r="JVA15" s="1115"/>
      <c r="JVB15" s="1115"/>
      <c r="JVC15" s="1115"/>
      <c r="JVD15" s="1115"/>
      <c r="JVE15" s="1115"/>
      <c r="JVF15" s="1115"/>
      <c r="JVG15" s="1115"/>
      <c r="JVH15" s="1115"/>
      <c r="JVI15" s="1115"/>
      <c r="JVJ15" s="1115"/>
      <c r="JVK15" s="1115"/>
      <c r="JVL15" s="1115"/>
      <c r="JVM15" s="1115"/>
      <c r="JVN15" s="1115"/>
      <c r="JVO15" s="1115"/>
      <c r="JVP15" s="1115"/>
      <c r="JVQ15" s="1115"/>
      <c r="JVR15" s="1115"/>
      <c r="JVS15" s="1115"/>
      <c r="JVT15" s="1115"/>
      <c r="JVU15" s="1115"/>
      <c r="JVV15" s="1115"/>
      <c r="JVW15" s="1115"/>
      <c r="JVX15" s="1115"/>
      <c r="JVY15" s="1115"/>
      <c r="JVZ15" s="1115"/>
      <c r="JWA15" s="1115"/>
      <c r="JWB15" s="1115"/>
      <c r="JWC15" s="1115"/>
      <c r="JWD15" s="1115"/>
      <c r="JWE15" s="1115"/>
      <c r="JWF15" s="1115"/>
      <c r="JWG15" s="1115"/>
      <c r="JWH15" s="1115"/>
      <c r="JWI15" s="1115"/>
      <c r="JWJ15" s="1115"/>
      <c r="JWK15" s="1115"/>
      <c r="JWL15" s="1115"/>
      <c r="JWM15" s="1115"/>
      <c r="JWN15" s="1115"/>
      <c r="JWO15" s="1115"/>
      <c r="JWP15" s="1115"/>
      <c r="JWQ15" s="1115"/>
      <c r="JWR15" s="1115"/>
      <c r="JWS15" s="1115"/>
      <c r="JWT15" s="1115"/>
      <c r="JWU15" s="1115"/>
      <c r="JWV15" s="1115"/>
      <c r="JWW15" s="1115"/>
      <c r="JWX15" s="1115"/>
      <c r="JWY15" s="1115"/>
      <c r="JWZ15" s="1115"/>
      <c r="JXA15" s="1115"/>
      <c r="JXB15" s="1115"/>
      <c r="JXC15" s="1115"/>
      <c r="JXD15" s="1115"/>
      <c r="JXE15" s="1115"/>
      <c r="JXF15" s="1115"/>
      <c r="JXG15" s="1115"/>
      <c r="JXH15" s="1115"/>
      <c r="JXI15" s="1115"/>
      <c r="JXJ15" s="1115"/>
      <c r="JXK15" s="1115"/>
      <c r="JXL15" s="1115"/>
      <c r="JXM15" s="1115"/>
      <c r="JXN15" s="1115"/>
      <c r="JXO15" s="1115"/>
      <c r="JXP15" s="1115"/>
      <c r="JXQ15" s="1115"/>
      <c r="JXR15" s="1115"/>
      <c r="JXS15" s="1115"/>
      <c r="JXT15" s="1115"/>
      <c r="JXU15" s="1115"/>
      <c r="JXV15" s="1115"/>
      <c r="JXW15" s="1115"/>
      <c r="JXX15" s="1115"/>
      <c r="JXY15" s="1115"/>
      <c r="JXZ15" s="1115"/>
      <c r="JYA15" s="1115"/>
      <c r="JYB15" s="1115"/>
      <c r="JYC15" s="1115"/>
      <c r="JYD15" s="1115"/>
      <c r="JYE15" s="1115"/>
      <c r="JYF15" s="1115"/>
      <c r="JYG15" s="1115"/>
      <c r="JYH15" s="1115"/>
      <c r="JYI15" s="1115"/>
      <c r="JYJ15" s="1115"/>
      <c r="JYK15" s="1115"/>
      <c r="JYL15" s="1115"/>
      <c r="JYM15" s="1115"/>
      <c r="JYN15" s="1115"/>
      <c r="JYO15" s="1115"/>
      <c r="JYP15" s="1115"/>
      <c r="JYQ15" s="1115"/>
      <c r="JYR15" s="1115"/>
      <c r="JYS15" s="1115"/>
      <c r="JYT15" s="1115"/>
      <c r="JYU15" s="1115"/>
      <c r="JYV15" s="1115"/>
      <c r="JYW15" s="1115"/>
      <c r="JYX15" s="1115"/>
      <c r="JYY15" s="1115"/>
      <c r="JYZ15" s="1115"/>
      <c r="JZA15" s="1115"/>
      <c r="JZB15" s="1115"/>
      <c r="JZC15" s="1115"/>
      <c r="JZD15" s="1115"/>
      <c r="JZE15" s="1115"/>
      <c r="JZF15" s="1115"/>
      <c r="JZG15" s="1115"/>
      <c r="JZH15" s="1115"/>
      <c r="JZI15" s="1115"/>
      <c r="JZJ15" s="1115"/>
      <c r="JZK15" s="1115"/>
      <c r="JZL15" s="1115"/>
      <c r="JZM15" s="1115"/>
      <c r="JZN15" s="1115"/>
      <c r="JZO15" s="1115"/>
      <c r="JZP15" s="1115"/>
      <c r="JZQ15" s="1115"/>
      <c r="JZR15" s="1115"/>
      <c r="JZS15" s="1115"/>
      <c r="JZT15" s="1115"/>
      <c r="JZU15" s="1115"/>
      <c r="JZV15" s="1115"/>
      <c r="JZW15" s="1115"/>
      <c r="JZX15" s="1115"/>
      <c r="JZY15" s="1115"/>
      <c r="JZZ15" s="1115"/>
      <c r="KAA15" s="1115"/>
      <c r="KAB15" s="1115"/>
      <c r="KAC15" s="1115"/>
      <c r="KAD15" s="1115"/>
      <c r="KAE15" s="1115"/>
      <c r="KAF15" s="1115"/>
      <c r="KAG15" s="1115"/>
      <c r="KAH15" s="1115"/>
      <c r="KAI15" s="1115"/>
      <c r="KAJ15" s="1115"/>
      <c r="KAK15" s="1115"/>
      <c r="KAL15" s="1115"/>
      <c r="KAM15" s="1115"/>
      <c r="KAN15" s="1115"/>
      <c r="KAO15" s="1115"/>
      <c r="KAP15" s="1115"/>
      <c r="KAQ15" s="1115"/>
      <c r="KAR15" s="1115"/>
      <c r="KAS15" s="1115"/>
      <c r="KAT15" s="1115"/>
      <c r="KAU15" s="1115"/>
      <c r="KAV15" s="1115"/>
      <c r="KAW15" s="1115"/>
      <c r="KAX15" s="1115"/>
      <c r="KAY15" s="1115"/>
      <c r="KAZ15" s="1115"/>
      <c r="KBA15" s="1115"/>
      <c r="KBB15" s="1115"/>
      <c r="KBC15" s="1115"/>
      <c r="KBD15" s="1115"/>
      <c r="KBE15" s="1115"/>
      <c r="KBF15" s="1115"/>
      <c r="KBG15" s="1115"/>
      <c r="KBH15" s="1115"/>
      <c r="KBI15" s="1115"/>
      <c r="KBJ15" s="1115"/>
      <c r="KBK15" s="1115"/>
      <c r="KBL15" s="1115"/>
      <c r="KBM15" s="1115"/>
      <c r="KBN15" s="1115"/>
      <c r="KBO15" s="1115"/>
      <c r="KBP15" s="1115"/>
      <c r="KBQ15" s="1115"/>
      <c r="KBR15" s="1115"/>
      <c r="KBS15" s="1115"/>
      <c r="KBT15" s="1115"/>
      <c r="KBU15" s="1115"/>
      <c r="KBV15" s="1115"/>
      <c r="KBW15" s="1115"/>
      <c r="KBX15" s="1115"/>
      <c r="KBY15" s="1115"/>
      <c r="KBZ15" s="1115"/>
      <c r="KCA15" s="1115"/>
      <c r="KCB15" s="1115"/>
      <c r="KCC15" s="1115"/>
      <c r="KCD15" s="1115"/>
      <c r="KCE15" s="1115"/>
      <c r="KCF15" s="1115"/>
      <c r="KCG15" s="1115"/>
      <c r="KCH15" s="1115"/>
      <c r="KCI15" s="1115"/>
      <c r="KCJ15" s="1115"/>
      <c r="KCK15" s="1115"/>
      <c r="KCL15" s="1115"/>
      <c r="KCM15" s="1115"/>
      <c r="KCN15" s="1115"/>
      <c r="KCO15" s="1115"/>
      <c r="KCP15" s="1115"/>
      <c r="KCQ15" s="1115"/>
      <c r="KCR15" s="1115"/>
      <c r="KCS15" s="1115"/>
      <c r="KCT15" s="1115"/>
      <c r="KCU15" s="1115"/>
      <c r="KCV15" s="1115"/>
      <c r="KCW15" s="1115"/>
      <c r="KCX15" s="1115"/>
      <c r="KCY15" s="1115"/>
      <c r="KCZ15" s="1115"/>
      <c r="KDA15" s="1115"/>
      <c r="KDB15" s="1115"/>
      <c r="KDC15" s="1115"/>
      <c r="KDD15" s="1115"/>
      <c r="KDE15" s="1115"/>
      <c r="KDF15" s="1115"/>
      <c r="KDG15" s="1115"/>
      <c r="KDH15" s="1115"/>
      <c r="KDI15" s="1115"/>
      <c r="KDJ15" s="1115"/>
      <c r="KDK15" s="1115"/>
      <c r="KDL15" s="1115"/>
      <c r="KDM15" s="1115"/>
      <c r="KDN15" s="1115"/>
      <c r="KDO15" s="1115"/>
      <c r="KDP15" s="1115"/>
      <c r="KDQ15" s="1115"/>
      <c r="KDR15" s="1115"/>
      <c r="KDS15" s="1115"/>
      <c r="KDT15" s="1115"/>
      <c r="KDU15" s="1115"/>
      <c r="KDV15" s="1115"/>
      <c r="KDW15" s="1115"/>
      <c r="KDX15" s="1115"/>
      <c r="KDY15" s="1115"/>
      <c r="KDZ15" s="1115"/>
      <c r="KEA15" s="1115"/>
      <c r="KEB15" s="1115"/>
      <c r="KEC15" s="1115"/>
      <c r="KED15" s="1115"/>
      <c r="KEE15" s="1115"/>
      <c r="KEF15" s="1115"/>
      <c r="KEG15" s="1115"/>
      <c r="KEH15" s="1115"/>
      <c r="KEI15" s="1115"/>
      <c r="KEJ15" s="1115"/>
      <c r="KEK15" s="1115"/>
      <c r="KEL15" s="1115"/>
      <c r="KEM15" s="1115"/>
      <c r="KEN15" s="1115"/>
      <c r="KEO15" s="1115"/>
      <c r="KEP15" s="1115"/>
      <c r="KEQ15" s="1115"/>
      <c r="KER15" s="1115"/>
      <c r="KES15" s="1115"/>
      <c r="KET15" s="1115"/>
      <c r="KEU15" s="1115"/>
      <c r="KEV15" s="1115"/>
      <c r="KEW15" s="1115"/>
      <c r="KEX15" s="1115"/>
      <c r="KEY15" s="1115"/>
      <c r="KEZ15" s="1115"/>
      <c r="KFA15" s="1115"/>
      <c r="KFB15" s="1115"/>
      <c r="KFC15" s="1115"/>
      <c r="KFD15" s="1115"/>
      <c r="KFE15" s="1115"/>
      <c r="KFF15" s="1115"/>
      <c r="KFG15" s="1115"/>
      <c r="KFH15" s="1115"/>
      <c r="KFI15" s="1115"/>
      <c r="KFJ15" s="1115"/>
      <c r="KFK15" s="1115"/>
      <c r="KFL15" s="1115"/>
      <c r="KFM15" s="1115"/>
      <c r="KFN15" s="1115"/>
      <c r="KFO15" s="1115"/>
      <c r="KFP15" s="1115"/>
      <c r="KFQ15" s="1115"/>
      <c r="KFR15" s="1115"/>
      <c r="KFS15" s="1115"/>
      <c r="KFT15" s="1115"/>
      <c r="KFU15" s="1115"/>
      <c r="KFV15" s="1115"/>
      <c r="KFW15" s="1115"/>
      <c r="KFX15" s="1115"/>
      <c r="KFY15" s="1115"/>
      <c r="KFZ15" s="1115"/>
      <c r="KGA15" s="1115"/>
      <c r="KGB15" s="1115"/>
      <c r="KGC15" s="1115"/>
      <c r="KGD15" s="1115"/>
      <c r="KGE15" s="1115"/>
      <c r="KGF15" s="1115"/>
      <c r="KGG15" s="1115"/>
      <c r="KGH15" s="1115"/>
      <c r="KGI15" s="1115"/>
      <c r="KGJ15" s="1115"/>
      <c r="KGK15" s="1115"/>
      <c r="KGL15" s="1115"/>
      <c r="KGM15" s="1115"/>
      <c r="KGN15" s="1115"/>
      <c r="KGO15" s="1115"/>
      <c r="KGP15" s="1115"/>
      <c r="KGQ15" s="1115"/>
      <c r="KGR15" s="1115"/>
      <c r="KGS15" s="1115"/>
      <c r="KGT15" s="1115"/>
      <c r="KGU15" s="1115"/>
      <c r="KGV15" s="1115"/>
      <c r="KGW15" s="1115"/>
      <c r="KGX15" s="1115"/>
      <c r="KGY15" s="1115"/>
      <c r="KGZ15" s="1115"/>
      <c r="KHA15" s="1115"/>
      <c r="KHB15" s="1115"/>
      <c r="KHC15" s="1115"/>
      <c r="KHD15" s="1115"/>
      <c r="KHE15" s="1115"/>
      <c r="KHF15" s="1115"/>
      <c r="KHG15" s="1115"/>
      <c r="KHH15" s="1115"/>
      <c r="KHI15" s="1115"/>
      <c r="KHJ15" s="1115"/>
      <c r="KHK15" s="1115"/>
      <c r="KHL15" s="1115"/>
      <c r="KHM15" s="1115"/>
      <c r="KHN15" s="1115"/>
      <c r="KHO15" s="1115"/>
      <c r="KHP15" s="1115"/>
      <c r="KHQ15" s="1115"/>
      <c r="KHR15" s="1115"/>
      <c r="KHS15" s="1115"/>
      <c r="KHT15" s="1115"/>
      <c r="KHU15" s="1115"/>
      <c r="KHV15" s="1115"/>
      <c r="KHW15" s="1115"/>
      <c r="KHX15" s="1115"/>
      <c r="KHY15" s="1115"/>
      <c r="KHZ15" s="1115"/>
      <c r="KIA15" s="1115"/>
      <c r="KIB15" s="1115"/>
      <c r="KIC15" s="1115"/>
      <c r="KID15" s="1115"/>
      <c r="KIE15" s="1115"/>
      <c r="KIF15" s="1115"/>
      <c r="KIG15" s="1115"/>
      <c r="KIH15" s="1115"/>
      <c r="KII15" s="1115"/>
      <c r="KIJ15" s="1115"/>
      <c r="KIK15" s="1115"/>
      <c r="KIL15" s="1115"/>
      <c r="KIM15" s="1115"/>
      <c r="KIN15" s="1115"/>
      <c r="KIO15" s="1115"/>
      <c r="KIP15" s="1115"/>
      <c r="KIQ15" s="1115"/>
      <c r="KIR15" s="1115"/>
      <c r="KIS15" s="1115"/>
      <c r="KIT15" s="1115"/>
      <c r="KIU15" s="1115"/>
      <c r="KIV15" s="1115"/>
      <c r="KIW15" s="1115"/>
      <c r="KIX15" s="1115"/>
      <c r="KIY15" s="1115"/>
      <c r="KIZ15" s="1115"/>
      <c r="KJA15" s="1115"/>
      <c r="KJB15" s="1115"/>
      <c r="KJC15" s="1115"/>
      <c r="KJD15" s="1115"/>
      <c r="KJE15" s="1115"/>
      <c r="KJF15" s="1115"/>
      <c r="KJG15" s="1115"/>
      <c r="KJH15" s="1115"/>
      <c r="KJI15" s="1115"/>
      <c r="KJJ15" s="1115"/>
      <c r="KJK15" s="1115"/>
      <c r="KJL15" s="1115"/>
      <c r="KJM15" s="1115"/>
      <c r="KJN15" s="1115"/>
      <c r="KJO15" s="1115"/>
      <c r="KJP15" s="1115"/>
      <c r="KJQ15" s="1115"/>
      <c r="KJR15" s="1115"/>
      <c r="KJS15" s="1115"/>
      <c r="KJT15" s="1115"/>
      <c r="KJU15" s="1115"/>
      <c r="KJV15" s="1115"/>
      <c r="KJW15" s="1115"/>
      <c r="KJX15" s="1115"/>
      <c r="KJY15" s="1115"/>
      <c r="KJZ15" s="1115"/>
      <c r="KKA15" s="1115"/>
      <c r="KKB15" s="1115"/>
      <c r="KKC15" s="1115"/>
      <c r="KKD15" s="1115"/>
      <c r="KKE15" s="1115"/>
      <c r="KKF15" s="1115"/>
      <c r="KKG15" s="1115"/>
      <c r="KKH15" s="1115"/>
      <c r="KKI15" s="1115"/>
      <c r="KKJ15" s="1115"/>
      <c r="KKK15" s="1115"/>
      <c r="KKL15" s="1115"/>
      <c r="KKM15" s="1115"/>
      <c r="KKN15" s="1115"/>
      <c r="KKO15" s="1115"/>
      <c r="KKP15" s="1115"/>
      <c r="KKQ15" s="1115"/>
      <c r="KKR15" s="1115"/>
      <c r="KKS15" s="1115"/>
      <c r="KKT15" s="1115"/>
      <c r="KKU15" s="1115"/>
      <c r="KKV15" s="1115"/>
      <c r="KKW15" s="1115"/>
      <c r="KKX15" s="1115"/>
      <c r="KKY15" s="1115"/>
      <c r="KKZ15" s="1115"/>
      <c r="KLA15" s="1115"/>
      <c r="KLB15" s="1115"/>
      <c r="KLC15" s="1115"/>
      <c r="KLD15" s="1115"/>
      <c r="KLE15" s="1115"/>
      <c r="KLF15" s="1115"/>
      <c r="KLG15" s="1115"/>
      <c r="KLH15" s="1115"/>
      <c r="KLI15" s="1115"/>
      <c r="KLJ15" s="1115"/>
      <c r="KLK15" s="1115"/>
      <c r="KLL15" s="1115"/>
      <c r="KLM15" s="1115"/>
      <c r="KLN15" s="1115"/>
      <c r="KLO15" s="1115"/>
      <c r="KLP15" s="1115"/>
      <c r="KLQ15" s="1115"/>
      <c r="KLR15" s="1115"/>
      <c r="KLS15" s="1115"/>
      <c r="KLT15" s="1115"/>
      <c r="KLU15" s="1115"/>
      <c r="KLV15" s="1115"/>
      <c r="KLW15" s="1115"/>
      <c r="KLX15" s="1115"/>
      <c r="KLY15" s="1115"/>
      <c r="KLZ15" s="1115"/>
      <c r="KMA15" s="1115"/>
      <c r="KMB15" s="1115"/>
      <c r="KMC15" s="1115"/>
      <c r="KMD15" s="1115"/>
      <c r="KME15" s="1115"/>
      <c r="KMF15" s="1115"/>
      <c r="KMG15" s="1115"/>
      <c r="KMH15" s="1115"/>
      <c r="KMI15" s="1115"/>
      <c r="KMJ15" s="1115"/>
      <c r="KMK15" s="1115"/>
      <c r="KML15" s="1115"/>
      <c r="KMM15" s="1115"/>
      <c r="KMN15" s="1115"/>
      <c r="KMO15" s="1115"/>
      <c r="KMP15" s="1115"/>
      <c r="KMQ15" s="1115"/>
      <c r="KMR15" s="1115"/>
      <c r="KMS15" s="1115"/>
      <c r="KMT15" s="1115"/>
      <c r="KMU15" s="1115"/>
      <c r="KMV15" s="1115"/>
      <c r="KMW15" s="1115"/>
      <c r="KMX15" s="1115"/>
      <c r="KMY15" s="1115"/>
      <c r="KMZ15" s="1115"/>
      <c r="KNA15" s="1115"/>
      <c r="KNB15" s="1115"/>
      <c r="KNC15" s="1115"/>
      <c r="KND15" s="1115"/>
      <c r="KNE15" s="1115"/>
      <c r="KNF15" s="1115"/>
      <c r="KNG15" s="1115"/>
      <c r="KNH15" s="1115"/>
      <c r="KNI15" s="1115"/>
      <c r="KNJ15" s="1115"/>
      <c r="KNK15" s="1115"/>
      <c r="KNL15" s="1115"/>
      <c r="KNM15" s="1115"/>
      <c r="KNN15" s="1115"/>
      <c r="KNO15" s="1115"/>
      <c r="KNP15" s="1115"/>
      <c r="KNQ15" s="1115"/>
      <c r="KNR15" s="1115"/>
      <c r="KNS15" s="1115"/>
      <c r="KNT15" s="1115"/>
      <c r="KNU15" s="1115"/>
      <c r="KNV15" s="1115"/>
      <c r="KNW15" s="1115"/>
      <c r="KNX15" s="1115"/>
      <c r="KNY15" s="1115"/>
      <c r="KNZ15" s="1115"/>
      <c r="KOA15" s="1115"/>
      <c r="KOB15" s="1115"/>
      <c r="KOC15" s="1115"/>
      <c r="KOD15" s="1115"/>
      <c r="KOE15" s="1115"/>
      <c r="KOF15" s="1115"/>
      <c r="KOG15" s="1115"/>
      <c r="KOH15" s="1115"/>
      <c r="KOI15" s="1115"/>
      <c r="KOJ15" s="1115"/>
      <c r="KOK15" s="1115"/>
      <c r="KOL15" s="1115"/>
      <c r="KOM15" s="1115"/>
      <c r="KON15" s="1115"/>
      <c r="KOO15" s="1115"/>
      <c r="KOP15" s="1115"/>
      <c r="KOQ15" s="1115"/>
      <c r="KOR15" s="1115"/>
      <c r="KOS15" s="1115"/>
      <c r="KOT15" s="1115"/>
      <c r="KOU15" s="1115"/>
      <c r="KOV15" s="1115"/>
      <c r="KOW15" s="1115"/>
      <c r="KOX15" s="1115"/>
      <c r="KOY15" s="1115"/>
      <c r="KOZ15" s="1115"/>
      <c r="KPA15" s="1115"/>
      <c r="KPB15" s="1115"/>
      <c r="KPC15" s="1115"/>
      <c r="KPD15" s="1115"/>
      <c r="KPE15" s="1115"/>
      <c r="KPF15" s="1115"/>
      <c r="KPG15" s="1115"/>
      <c r="KPH15" s="1115"/>
      <c r="KPI15" s="1115"/>
      <c r="KPJ15" s="1115"/>
      <c r="KPK15" s="1115"/>
      <c r="KPL15" s="1115"/>
      <c r="KPM15" s="1115"/>
      <c r="KPN15" s="1115"/>
      <c r="KPO15" s="1115"/>
      <c r="KPP15" s="1115"/>
      <c r="KPQ15" s="1115"/>
      <c r="KPR15" s="1115"/>
      <c r="KPS15" s="1115"/>
      <c r="KPT15" s="1115"/>
      <c r="KPU15" s="1115"/>
      <c r="KPV15" s="1115"/>
      <c r="KPW15" s="1115"/>
      <c r="KPX15" s="1115"/>
      <c r="KPY15" s="1115"/>
      <c r="KPZ15" s="1115"/>
      <c r="KQA15" s="1115"/>
      <c r="KQB15" s="1115"/>
      <c r="KQC15" s="1115"/>
      <c r="KQD15" s="1115"/>
      <c r="KQE15" s="1115"/>
      <c r="KQF15" s="1115"/>
      <c r="KQG15" s="1115"/>
      <c r="KQH15" s="1115"/>
      <c r="KQI15" s="1115"/>
      <c r="KQJ15" s="1115"/>
      <c r="KQK15" s="1115"/>
      <c r="KQL15" s="1115"/>
      <c r="KQM15" s="1115"/>
      <c r="KQN15" s="1115"/>
      <c r="KQO15" s="1115"/>
      <c r="KQP15" s="1115"/>
      <c r="KQQ15" s="1115"/>
      <c r="KQR15" s="1115"/>
      <c r="KQS15" s="1115"/>
      <c r="KQT15" s="1115"/>
      <c r="KQU15" s="1115"/>
      <c r="KQV15" s="1115"/>
      <c r="KQW15" s="1115"/>
      <c r="KQX15" s="1115"/>
      <c r="KQY15" s="1115"/>
      <c r="KQZ15" s="1115"/>
      <c r="KRA15" s="1115"/>
      <c r="KRB15" s="1115"/>
      <c r="KRC15" s="1115"/>
      <c r="KRD15" s="1115"/>
      <c r="KRE15" s="1115"/>
      <c r="KRF15" s="1115"/>
      <c r="KRG15" s="1115"/>
      <c r="KRH15" s="1115"/>
      <c r="KRI15" s="1115"/>
      <c r="KRJ15" s="1115"/>
      <c r="KRK15" s="1115"/>
      <c r="KRL15" s="1115"/>
      <c r="KRM15" s="1115"/>
      <c r="KRN15" s="1115"/>
      <c r="KRO15" s="1115"/>
      <c r="KRP15" s="1115"/>
      <c r="KRQ15" s="1115"/>
      <c r="KRR15" s="1115"/>
      <c r="KRS15" s="1115"/>
      <c r="KRT15" s="1115"/>
      <c r="KRU15" s="1115"/>
      <c r="KRV15" s="1115"/>
      <c r="KRW15" s="1115"/>
      <c r="KRX15" s="1115"/>
      <c r="KRY15" s="1115"/>
      <c r="KRZ15" s="1115"/>
      <c r="KSA15" s="1115"/>
      <c r="KSB15" s="1115"/>
      <c r="KSC15" s="1115"/>
      <c r="KSD15" s="1115"/>
      <c r="KSE15" s="1115"/>
      <c r="KSF15" s="1115"/>
      <c r="KSG15" s="1115"/>
      <c r="KSH15" s="1115"/>
      <c r="KSI15" s="1115"/>
      <c r="KSJ15" s="1115"/>
      <c r="KSK15" s="1115"/>
      <c r="KSL15" s="1115"/>
      <c r="KSM15" s="1115"/>
      <c r="KSN15" s="1115"/>
      <c r="KSO15" s="1115"/>
      <c r="KSP15" s="1115"/>
      <c r="KSQ15" s="1115"/>
      <c r="KSR15" s="1115"/>
      <c r="KSS15" s="1115"/>
      <c r="KST15" s="1115"/>
      <c r="KSU15" s="1115"/>
      <c r="KSV15" s="1115"/>
      <c r="KSW15" s="1115"/>
      <c r="KSX15" s="1115"/>
      <c r="KSY15" s="1115"/>
      <c r="KSZ15" s="1115"/>
      <c r="KTA15" s="1115"/>
      <c r="KTB15" s="1115"/>
      <c r="KTC15" s="1115"/>
      <c r="KTD15" s="1115"/>
      <c r="KTE15" s="1115"/>
      <c r="KTF15" s="1115"/>
      <c r="KTG15" s="1115"/>
      <c r="KTH15" s="1115"/>
      <c r="KTI15" s="1115"/>
      <c r="KTJ15" s="1115"/>
      <c r="KTK15" s="1115"/>
      <c r="KTL15" s="1115"/>
      <c r="KTM15" s="1115"/>
      <c r="KTN15" s="1115"/>
      <c r="KTO15" s="1115"/>
      <c r="KTP15" s="1115"/>
      <c r="KTQ15" s="1115"/>
      <c r="KTR15" s="1115"/>
      <c r="KTS15" s="1115"/>
      <c r="KTT15" s="1115"/>
      <c r="KTU15" s="1115"/>
      <c r="KTV15" s="1115"/>
      <c r="KTW15" s="1115"/>
      <c r="KTX15" s="1115"/>
      <c r="KTY15" s="1115"/>
      <c r="KTZ15" s="1115"/>
      <c r="KUA15" s="1115"/>
      <c r="KUB15" s="1115"/>
      <c r="KUC15" s="1115"/>
      <c r="KUD15" s="1115"/>
      <c r="KUE15" s="1115"/>
      <c r="KUF15" s="1115"/>
      <c r="KUG15" s="1115"/>
      <c r="KUH15" s="1115"/>
      <c r="KUI15" s="1115"/>
      <c r="KUJ15" s="1115"/>
      <c r="KUK15" s="1115"/>
      <c r="KUL15" s="1115"/>
      <c r="KUM15" s="1115"/>
      <c r="KUN15" s="1115"/>
      <c r="KUO15" s="1115"/>
      <c r="KUP15" s="1115"/>
      <c r="KUQ15" s="1115"/>
      <c r="KUR15" s="1115"/>
      <c r="KUS15" s="1115"/>
      <c r="KUT15" s="1115"/>
      <c r="KUU15" s="1115"/>
      <c r="KUV15" s="1115"/>
      <c r="KUW15" s="1115"/>
      <c r="KUX15" s="1115"/>
      <c r="KUY15" s="1115"/>
      <c r="KUZ15" s="1115"/>
      <c r="KVA15" s="1115"/>
      <c r="KVB15" s="1115"/>
      <c r="KVC15" s="1115"/>
      <c r="KVD15" s="1115"/>
      <c r="KVE15" s="1115"/>
      <c r="KVF15" s="1115"/>
      <c r="KVG15" s="1115"/>
      <c r="KVH15" s="1115"/>
      <c r="KVI15" s="1115"/>
      <c r="KVJ15" s="1115"/>
      <c r="KVK15" s="1115"/>
      <c r="KVL15" s="1115"/>
      <c r="KVM15" s="1115"/>
      <c r="KVN15" s="1115"/>
      <c r="KVO15" s="1115"/>
      <c r="KVP15" s="1115"/>
      <c r="KVQ15" s="1115"/>
      <c r="KVR15" s="1115"/>
      <c r="KVS15" s="1115"/>
      <c r="KVT15" s="1115"/>
      <c r="KVU15" s="1115"/>
      <c r="KVV15" s="1115"/>
      <c r="KVW15" s="1115"/>
      <c r="KVX15" s="1115"/>
      <c r="KVY15" s="1115"/>
      <c r="KVZ15" s="1115"/>
      <c r="KWA15" s="1115"/>
      <c r="KWB15" s="1115"/>
      <c r="KWC15" s="1115"/>
      <c r="KWD15" s="1115"/>
      <c r="KWE15" s="1115"/>
      <c r="KWF15" s="1115"/>
      <c r="KWG15" s="1115"/>
      <c r="KWH15" s="1115"/>
      <c r="KWI15" s="1115"/>
      <c r="KWJ15" s="1115"/>
      <c r="KWK15" s="1115"/>
      <c r="KWL15" s="1115"/>
      <c r="KWM15" s="1115"/>
      <c r="KWN15" s="1115"/>
      <c r="KWO15" s="1115"/>
      <c r="KWP15" s="1115"/>
      <c r="KWQ15" s="1115"/>
      <c r="KWR15" s="1115"/>
      <c r="KWS15" s="1115"/>
      <c r="KWT15" s="1115"/>
      <c r="KWU15" s="1115"/>
      <c r="KWV15" s="1115"/>
      <c r="KWW15" s="1115"/>
      <c r="KWX15" s="1115"/>
      <c r="KWY15" s="1115"/>
      <c r="KWZ15" s="1115"/>
      <c r="KXA15" s="1115"/>
      <c r="KXB15" s="1115"/>
      <c r="KXC15" s="1115"/>
      <c r="KXD15" s="1115"/>
      <c r="KXE15" s="1115"/>
      <c r="KXF15" s="1115"/>
      <c r="KXG15" s="1115"/>
      <c r="KXH15" s="1115"/>
      <c r="KXI15" s="1115"/>
      <c r="KXJ15" s="1115"/>
      <c r="KXK15" s="1115"/>
      <c r="KXL15" s="1115"/>
      <c r="KXM15" s="1115"/>
      <c r="KXN15" s="1115"/>
      <c r="KXO15" s="1115"/>
      <c r="KXP15" s="1115"/>
      <c r="KXQ15" s="1115"/>
      <c r="KXR15" s="1115"/>
      <c r="KXS15" s="1115"/>
      <c r="KXT15" s="1115"/>
      <c r="KXU15" s="1115"/>
      <c r="KXV15" s="1115"/>
      <c r="KXW15" s="1115"/>
      <c r="KXX15" s="1115"/>
      <c r="KXY15" s="1115"/>
      <c r="KXZ15" s="1115"/>
      <c r="KYA15" s="1115"/>
      <c r="KYB15" s="1115"/>
      <c r="KYC15" s="1115"/>
      <c r="KYD15" s="1115"/>
      <c r="KYE15" s="1115"/>
      <c r="KYF15" s="1115"/>
      <c r="KYG15" s="1115"/>
      <c r="KYH15" s="1115"/>
      <c r="KYI15" s="1115"/>
      <c r="KYJ15" s="1115"/>
      <c r="KYK15" s="1115"/>
      <c r="KYL15" s="1115"/>
      <c r="KYM15" s="1115"/>
      <c r="KYN15" s="1115"/>
      <c r="KYO15" s="1115"/>
      <c r="KYP15" s="1115"/>
      <c r="KYQ15" s="1115"/>
      <c r="KYR15" s="1115"/>
      <c r="KYS15" s="1115"/>
      <c r="KYT15" s="1115"/>
      <c r="KYU15" s="1115"/>
      <c r="KYV15" s="1115"/>
      <c r="KYW15" s="1115"/>
      <c r="KYX15" s="1115"/>
      <c r="KYY15" s="1115"/>
      <c r="KYZ15" s="1115"/>
      <c r="KZA15" s="1115"/>
      <c r="KZB15" s="1115"/>
      <c r="KZC15" s="1115"/>
      <c r="KZD15" s="1115"/>
      <c r="KZE15" s="1115"/>
      <c r="KZF15" s="1115"/>
      <c r="KZG15" s="1115"/>
      <c r="KZH15" s="1115"/>
      <c r="KZI15" s="1115"/>
      <c r="KZJ15" s="1115"/>
      <c r="KZK15" s="1115"/>
      <c r="KZL15" s="1115"/>
      <c r="KZM15" s="1115"/>
      <c r="KZN15" s="1115"/>
      <c r="KZO15" s="1115"/>
      <c r="KZP15" s="1115"/>
      <c r="KZQ15" s="1115"/>
      <c r="KZR15" s="1115"/>
      <c r="KZS15" s="1115"/>
      <c r="KZT15" s="1115"/>
      <c r="KZU15" s="1115"/>
      <c r="KZV15" s="1115"/>
      <c r="KZW15" s="1115"/>
      <c r="KZX15" s="1115"/>
      <c r="KZY15" s="1115"/>
      <c r="KZZ15" s="1115"/>
      <c r="LAA15" s="1115"/>
      <c r="LAB15" s="1115"/>
      <c r="LAC15" s="1115"/>
      <c r="LAD15" s="1115"/>
      <c r="LAE15" s="1115"/>
      <c r="LAF15" s="1115"/>
      <c r="LAG15" s="1115"/>
      <c r="LAH15" s="1115"/>
      <c r="LAI15" s="1115"/>
      <c r="LAJ15" s="1115"/>
      <c r="LAK15" s="1115"/>
      <c r="LAL15" s="1115"/>
      <c r="LAM15" s="1115"/>
      <c r="LAN15" s="1115"/>
      <c r="LAO15" s="1115"/>
      <c r="LAP15" s="1115"/>
      <c r="LAQ15" s="1115"/>
      <c r="LAR15" s="1115"/>
      <c r="LAS15" s="1115"/>
      <c r="LAT15" s="1115"/>
      <c r="LAU15" s="1115"/>
      <c r="LAV15" s="1115"/>
      <c r="LAW15" s="1115"/>
      <c r="LAX15" s="1115"/>
      <c r="LAY15" s="1115"/>
      <c r="LAZ15" s="1115"/>
      <c r="LBA15" s="1115"/>
      <c r="LBB15" s="1115"/>
      <c r="LBC15" s="1115"/>
      <c r="LBD15" s="1115"/>
      <c r="LBE15" s="1115"/>
      <c r="LBF15" s="1115"/>
      <c r="LBG15" s="1115"/>
      <c r="LBH15" s="1115"/>
      <c r="LBI15" s="1115"/>
      <c r="LBJ15" s="1115"/>
      <c r="LBK15" s="1115"/>
      <c r="LBL15" s="1115"/>
      <c r="LBM15" s="1115"/>
      <c r="LBN15" s="1115"/>
      <c r="LBO15" s="1115"/>
      <c r="LBP15" s="1115"/>
      <c r="LBQ15" s="1115"/>
      <c r="LBR15" s="1115"/>
      <c r="LBS15" s="1115"/>
      <c r="LBT15" s="1115"/>
      <c r="LBU15" s="1115"/>
      <c r="LBV15" s="1115"/>
      <c r="LBW15" s="1115"/>
      <c r="LBX15" s="1115"/>
      <c r="LBY15" s="1115"/>
      <c r="LBZ15" s="1115"/>
      <c r="LCA15" s="1115"/>
      <c r="LCB15" s="1115"/>
      <c r="LCC15" s="1115"/>
      <c r="LCD15" s="1115"/>
      <c r="LCE15" s="1115"/>
      <c r="LCF15" s="1115"/>
      <c r="LCG15" s="1115"/>
      <c r="LCH15" s="1115"/>
      <c r="LCI15" s="1115"/>
      <c r="LCJ15" s="1115"/>
      <c r="LCK15" s="1115"/>
      <c r="LCL15" s="1115"/>
      <c r="LCM15" s="1115"/>
      <c r="LCN15" s="1115"/>
      <c r="LCO15" s="1115"/>
      <c r="LCP15" s="1115"/>
      <c r="LCQ15" s="1115"/>
      <c r="LCR15" s="1115"/>
      <c r="LCS15" s="1115"/>
      <c r="LCT15" s="1115"/>
      <c r="LCU15" s="1115"/>
      <c r="LCV15" s="1115"/>
      <c r="LCW15" s="1115"/>
      <c r="LCX15" s="1115"/>
      <c r="LCY15" s="1115"/>
      <c r="LCZ15" s="1115"/>
      <c r="LDA15" s="1115"/>
      <c r="LDB15" s="1115"/>
      <c r="LDC15" s="1115"/>
      <c r="LDD15" s="1115"/>
      <c r="LDE15" s="1115"/>
      <c r="LDF15" s="1115"/>
      <c r="LDG15" s="1115"/>
      <c r="LDH15" s="1115"/>
      <c r="LDI15" s="1115"/>
      <c r="LDJ15" s="1115"/>
      <c r="LDK15" s="1115"/>
      <c r="LDL15" s="1115"/>
      <c r="LDM15" s="1115"/>
      <c r="LDN15" s="1115"/>
      <c r="LDO15" s="1115"/>
      <c r="LDP15" s="1115"/>
      <c r="LDQ15" s="1115"/>
      <c r="LDR15" s="1115"/>
      <c r="LDS15" s="1115"/>
      <c r="LDT15" s="1115"/>
      <c r="LDU15" s="1115"/>
      <c r="LDV15" s="1115"/>
      <c r="LDW15" s="1115"/>
      <c r="LDX15" s="1115"/>
      <c r="LDY15" s="1115"/>
      <c r="LDZ15" s="1115"/>
      <c r="LEA15" s="1115"/>
      <c r="LEB15" s="1115"/>
      <c r="LEC15" s="1115"/>
      <c r="LED15" s="1115"/>
      <c r="LEE15" s="1115"/>
      <c r="LEF15" s="1115"/>
      <c r="LEG15" s="1115"/>
      <c r="LEH15" s="1115"/>
      <c r="LEI15" s="1115"/>
      <c r="LEJ15" s="1115"/>
      <c r="LEK15" s="1115"/>
      <c r="LEL15" s="1115"/>
      <c r="LEM15" s="1115"/>
      <c r="LEN15" s="1115"/>
      <c r="LEO15" s="1115"/>
      <c r="LEP15" s="1115"/>
      <c r="LEQ15" s="1115"/>
      <c r="LER15" s="1115"/>
      <c r="LES15" s="1115"/>
      <c r="LET15" s="1115"/>
      <c r="LEU15" s="1115"/>
      <c r="LEV15" s="1115"/>
      <c r="LEW15" s="1115"/>
      <c r="LEX15" s="1115"/>
      <c r="LEY15" s="1115"/>
      <c r="LEZ15" s="1115"/>
      <c r="LFA15" s="1115"/>
      <c r="LFB15" s="1115"/>
      <c r="LFC15" s="1115"/>
      <c r="LFD15" s="1115"/>
      <c r="LFE15" s="1115"/>
      <c r="LFF15" s="1115"/>
      <c r="LFG15" s="1115"/>
      <c r="LFH15" s="1115"/>
      <c r="LFI15" s="1115"/>
      <c r="LFJ15" s="1115"/>
      <c r="LFK15" s="1115"/>
      <c r="LFL15" s="1115"/>
      <c r="LFM15" s="1115"/>
      <c r="LFN15" s="1115"/>
      <c r="LFO15" s="1115"/>
      <c r="LFP15" s="1115"/>
      <c r="LFQ15" s="1115"/>
      <c r="LFR15" s="1115"/>
      <c r="LFS15" s="1115"/>
      <c r="LFT15" s="1115"/>
      <c r="LFU15" s="1115"/>
      <c r="LFV15" s="1115"/>
      <c r="LFW15" s="1115"/>
      <c r="LFX15" s="1115"/>
      <c r="LFY15" s="1115"/>
      <c r="LFZ15" s="1115"/>
      <c r="LGA15" s="1115"/>
      <c r="LGB15" s="1115"/>
      <c r="LGC15" s="1115"/>
      <c r="LGD15" s="1115"/>
      <c r="LGE15" s="1115"/>
      <c r="LGF15" s="1115"/>
      <c r="LGG15" s="1115"/>
      <c r="LGH15" s="1115"/>
      <c r="LGI15" s="1115"/>
      <c r="LGJ15" s="1115"/>
      <c r="LGK15" s="1115"/>
      <c r="LGL15" s="1115"/>
      <c r="LGM15" s="1115"/>
      <c r="LGN15" s="1115"/>
      <c r="LGO15" s="1115"/>
      <c r="LGP15" s="1115"/>
      <c r="LGQ15" s="1115"/>
      <c r="LGR15" s="1115"/>
      <c r="LGS15" s="1115"/>
      <c r="LGT15" s="1115"/>
      <c r="LGU15" s="1115"/>
      <c r="LGV15" s="1115"/>
      <c r="LGW15" s="1115"/>
      <c r="LGX15" s="1115"/>
      <c r="LGY15" s="1115"/>
      <c r="LGZ15" s="1115"/>
      <c r="LHA15" s="1115"/>
      <c r="LHB15" s="1115"/>
      <c r="LHC15" s="1115"/>
      <c r="LHD15" s="1115"/>
      <c r="LHE15" s="1115"/>
      <c r="LHF15" s="1115"/>
      <c r="LHG15" s="1115"/>
      <c r="LHH15" s="1115"/>
      <c r="LHI15" s="1115"/>
      <c r="LHJ15" s="1115"/>
      <c r="LHK15" s="1115"/>
      <c r="LHL15" s="1115"/>
      <c r="LHM15" s="1115"/>
      <c r="LHN15" s="1115"/>
      <c r="LHO15" s="1115"/>
      <c r="LHP15" s="1115"/>
      <c r="LHQ15" s="1115"/>
      <c r="LHR15" s="1115"/>
      <c r="LHS15" s="1115"/>
      <c r="LHT15" s="1115"/>
      <c r="LHU15" s="1115"/>
      <c r="LHV15" s="1115"/>
      <c r="LHW15" s="1115"/>
      <c r="LHX15" s="1115"/>
      <c r="LHY15" s="1115"/>
      <c r="LHZ15" s="1115"/>
      <c r="LIA15" s="1115"/>
      <c r="LIB15" s="1115"/>
      <c r="LIC15" s="1115"/>
      <c r="LID15" s="1115"/>
      <c r="LIE15" s="1115"/>
      <c r="LIF15" s="1115"/>
      <c r="LIG15" s="1115"/>
      <c r="LIH15" s="1115"/>
      <c r="LII15" s="1115"/>
      <c r="LIJ15" s="1115"/>
      <c r="LIK15" s="1115"/>
      <c r="LIL15" s="1115"/>
      <c r="LIM15" s="1115"/>
      <c r="LIN15" s="1115"/>
      <c r="LIO15" s="1115"/>
      <c r="LIP15" s="1115"/>
      <c r="LIQ15" s="1115"/>
      <c r="LIR15" s="1115"/>
      <c r="LIS15" s="1115"/>
      <c r="LIT15" s="1115"/>
      <c r="LIU15" s="1115"/>
      <c r="LIV15" s="1115"/>
      <c r="LIW15" s="1115"/>
      <c r="LIX15" s="1115"/>
      <c r="LIY15" s="1115"/>
      <c r="LIZ15" s="1115"/>
      <c r="LJA15" s="1115"/>
      <c r="LJB15" s="1115"/>
      <c r="LJC15" s="1115"/>
      <c r="LJD15" s="1115"/>
      <c r="LJE15" s="1115"/>
      <c r="LJF15" s="1115"/>
      <c r="LJG15" s="1115"/>
      <c r="LJH15" s="1115"/>
      <c r="LJI15" s="1115"/>
      <c r="LJJ15" s="1115"/>
      <c r="LJK15" s="1115"/>
      <c r="LJL15" s="1115"/>
      <c r="LJM15" s="1115"/>
      <c r="LJN15" s="1115"/>
      <c r="LJO15" s="1115"/>
      <c r="LJP15" s="1115"/>
      <c r="LJQ15" s="1115"/>
      <c r="LJR15" s="1115"/>
      <c r="LJS15" s="1115"/>
      <c r="LJT15" s="1115"/>
      <c r="LJU15" s="1115"/>
      <c r="LJV15" s="1115"/>
      <c r="LJW15" s="1115"/>
      <c r="LJX15" s="1115"/>
      <c r="LJY15" s="1115"/>
      <c r="LJZ15" s="1115"/>
      <c r="LKA15" s="1115"/>
      <c r="LKB15" s="1115"/>
      <c r="LKC15" s="1115"/>
      <c r="LKD15" s="1115"/>
      <c r="LKE15" s="1115"/>
      <c r="LKF15" s="1115"/>
      <c r="LKG15" s="1115"/>
      <c r="LKH15" s="1115"/>
      <c r="LKI15" s="1115"/>
      <c r="LKJ15" s="1115"/>
      <c r="LKK15" s="1115"/>
      <c r="LKL15" s="1115"/>
      <c r="LKM15" s="1115"/>
      <c r="LKN15" s="1115"/>
      <c r="LKO15" s="1115"/>
      <c r="LKP15" s="1115"/>
      <c r="LKQ15" s="1115"/>
      <c r="LKR15" s="1115"/>
      <c r="LKS15" s="1115"/>
      <c r="LKT15" s="1115"/>
      <c r="LKU15" s="1115"/>
      <c r="LKV15" s="1115"/>
      <c r="LKW15" s="1115"/>
      <c r="LKX15" s="1115"/>
      <c r="LKY15" s="1115"/>
      <c r="LKZ15" s="1115"/>
      <c r="LLA15" s="1115"/>
      <c r="LLB15" s="1115"/>
      <c r="LLC15" s="1115"/>
      <c r="LLD15" s="1115"/>
      <c r="LLE15" s="1115"/>
      <c r="LLF15" s="1115"/>
      <c r="LLG15" s="1115"/>
      <c r="LLH15" s="1115"/>
      <c r="LLI15" s="1115"/>
      <c r="LLJ15" s="1115"/>
      <c r="LLK15" s="1115"/>
      <c r="LLL15" s="1115"/>
      <c r="LLM15" s="1115"/>
      <c r="LLN15" s="1115"/>
      <c r="LLO15" s="1115"/>
      <c r="LLP15" s="1115"/>
      <c r="LLQ15" s="1115"/>
      <c r="LLR15" s="1115"/>
      <c r="LLS15" s="1115"/>
      <c r="LLT15" s="1115"/>
      <c r="LLU15" s="1115"/>
      <c r="LLV15" s="1115"/>
      <c r="LLW15" s="1115"/>
      <c r="LLX15" s="1115"/>
      <c r="LLY15" s="1115"/>
      <c r="LLZ15" s="1115"/>
      <c r="LMA15" s="1115"/>
      <c r="LMB15" s="1115"/>
      <c r="LMC15" s="1115"/>
      <c r="LMD15" s="1115"/>
      <c r="LME15" s="1115"/>
      <c r="LMF15" s="1115"/>
      <c r="LMG15" s="1115"/>
      <c r="LMH15" s="1115"/>
      <c r="LMI15" s="1115"/>
      <c r="LMJ15" s="1115"/>
      <c r="LMK15" s="1115"/>
      <c r="LML15" s="1115"/>
      <c r="LMM15" s="1115"/>
      <c r="LMN15" s="1115"/>
      <c r="LMO15" s="1115"/>
      <c r="LMP15" s="1115"/>
      <c r="LMQ15" s="1115"/>
      <c r="LMR15" s="1115"/>
      <c r="LMS15" s="1115"/>
      <c r="LMT15" s="1115"/>
      <c r="LMU15" s="1115"/>
      <c r="LMV15" s="1115"/>
      <c r="LMW15" s="1115"/>
      <c r="LMX15" s="1115"/>
      <c r="LMY15" s="1115"/>
      <c r="LMZ15" s="1115"/>
      <c r="LNA15" s="1115"/>
      <c r="LNB15" s="1115"/>
      <c r="LNC15" s="1115"/>
      <c r="LND15" s="1115"/>
      <c r="LNE15" s="1115"/>
      <c r="LNF15" s="1115"/>
      <c r="LNG15" s="1115"/>
      <c r="LNH15" s="1115"/>
      <c r="LNI15" s="1115"/>
      <c r="LNJ15" s="1115"/>
      <c r="LNK15" s="1115"/>
      <c r="LNL15" s="1115"/>
      <c r="LNM15" s="1115"/>
      <c r="LNN15" s="1115"/>
      <c r="LNO15" s="1115"/>
      <c r="LNP15" s="1115"/>
      <c r="LNQ15" s="1115"/>
      <c r="LNR15" s="1115"/>
      <c r="LNS15" s="1115"/>
      <c r="LNT15" s="1115"/>
      <c r="LNU15" s="1115"/>
      <c r="LNV15" s="1115"/>
      <c r="LNW15" s="1115"/>
      <c r="LNX15" s="1115"/>
      <c r="LNY15" s="1115"/>
      <c r="LNZ15" s="1115"/>
      <c r="LOA15" s="1115"/>
      <c r="LOB15" s="1115"/>
      <c r="LOC15" s="1115"/>
      <c r="LOD15" s="1115"/>
      <c r="LOE15" s="1115"/>
      <c r="LOF15" s="1115"/>
      <c r="LOG15" s="1115"/>
      <c r="LOH15" s="1115"/>
      <c r="LOI15" s="1115"/>
      <c r="LOJ15" s="1115"/>
      <c r="LOK15" s="1115"/>
      <c r="LOL15" s="1115"/>
      <c r="LOM15" s="1115"/>
      <c r="LON15" s="1115"/>
      <c r="LOO15" s="1115"/>
      <c r="LOP15" s="1115"/>
      <c r="LOQ15" s="1115"/>
      <c r="LOR15" s="1115"/>
      <c r="LOS15" s="1115"/>
      <c r="LOT15" s="1115"/>
      <c r="LOU15" s="1115"/>
      <c r="LOV15" s="1115"/>
      <c r="LOW15" s="1115"/>
      <c r="LOX15" s="1115"/>
      <c r="LOY15" s="1115"/>
      <c r="LOZ15" s="1115"/>
      <c r="LPA15" s="1115"/>
      <c r="LPB15" s="1115"/>
      <c r="LPC15" s="1115"/>
      <c r="LPD15" s="1115"/>
      <c r="LPE15" s="1115"/>
      <c r="LPF15" s="1115"/>
      <c r="LPG15" s="1115"/>
      <c r="LPH15" s="1115"/>
      <c r="LPI15" s="1115"/>
      <c r="LPJ15" s="1115"/>
      <c r="LPK15" s="1115"/>
      <c r="LPL15" s="1115"/>
      <c r="LPM15" s="1115"/>
      <c r="LPN15" s="1115"/>
      <c r="LPO15" s="1115"/>
      <c r="LPP15" s="1115"/>
      <c r="LPQ15" s="1115"/>
      <c r="LPR15" s="1115"/>
      <c r="LPS15" s="1115"/>
      <c r="LPT15" s="1115"/>
      <c r="LPU15" s="1115"/>
      <c r="LPV15" s="1115"/>
      <c r="LPW15" s="1115"/>
      <c r="LPX15" s="1115"/>
      <c r="LPY15" s="1115"/>
      <c r="LPZ15" s="1115"/>
      <c r="LQA15" s="1115"/>
      <c r="LQB15" s="1115"/>
      <c r="LQC15" s="1115"/>
      <c r="LQD15" s="1115"/>
      <c r="LQE15" s="1115"/>
      <c r="LQF15" s="1115"/>
      <c r="LQG15" s="1115"/>
      <c r="LQH15" s="1115"/>
      <c r="LQI15" s="1115"/>
      <c r="LQJ15" s="1115"/>
      <c r="LQK15" s="1115"/>
      <c r="LQL15" s="1115"/>
      <c r="LQM15" s="1115"/>
      <c r="LQN15" s="1115"/>
      <c r="LQO15" s="1115"/>
      <c r="LQP15" s="1115"/>
      <c r="LQQ15" s="1115"/>
      <c r="LQR15" s="1115"/>
      <c r="LQS15" s="1115"/>
      <c r="LQT15" s="1115"/>
      <c r="LQU15" s="1115"/>
      <c r="LQV15" s="1115"/>
      <c r="LQW15" s="1115"/>
      <c r="LQX15" s="1115"/>
      <c r="LQY15" s="1115"/>
      <c r="LQZ15" s="1115"/>
      <c r="LRA15" s="1115"/>
      <c r="LRB15" s="1115"/>
      <c r="LRC15" s="1115"/>
      <c r="LRD15" s="1115"/>
      <c r="LRE15" s="1115"/>
      <c r="LRF15" s="1115"/>
      <c r="LRG15" s="1115"/>
      <c r="LRH15" s="1115"/>
      <c r="LRI15" s="1115"/>
      <c r="LRJ15" s="1115"/>
      <c r="LRK15" s="1115"/>
      <c r="LRL15" s="1115"/>
      <c r="LRM15" s="1115"/>
      <c r="LRN15" s="1115"/>
      <c r="LRO15" s="1115"/>
      <c r="LRP15" s="1115"/>
      <c r="LRQ15" s="1115"/>
      <c r="LRR15" s="1115"/>
      <c r="LRS15" s="1115"/>
      <c r="LRT15" s="1115"/>
      <c r="LRU15" s="1115"/>
      <c r="LRV15" s="1115"/>
      <c r="LRW15" s="1115"/>
      <c r="LRX15" s="1115"/>
      <c r="LRY15" s="1115"/>
      <c r="LRZ15" s="1115"/>
      <c r="LSA15" s="1115"/>
      <c r="LSB15" s="1115"/>
      <c r="LSC15" s="1115"/>
      <c r="LSD15" s="1115"/>
      <c r="LSE15" s="1115"/>
      <c r="LSF15" s="1115"/>
      <c r="LSG15" s="1115"/>
      <c r="LSH15" s="1115"/>
      <c r="LSI15" s="1115"/>
      <c r="LSJ15" s="1115"/>
      <c r="LSK15" s="1115"/>
      <c r="LSL15" s="1115"/>
      <c r="LSM15" s="1115"/>
      <c r="LSN15" s="1115"/>
      <c r="LSO15" s="1115"/>
      <c r="LSP15" s="1115"/>
      <c r="LSQ15" s="1115"/>
      <c r="LSR15" s="1115"/>
      <c r="LSS15" s="1115"/>
      <c r="LST15" s="1115"/>
      <c r="LSU15" s="1115"/>
      <c r="LSV15" s="1115"/>
      <c r="LSW15" s="1115"/>
      <c r="LSX15" s="1115"/>
      <c r="LSY15" s="1115"/>
      <c r="LSZ15" s="1115"/>
      <c r="LTA15" s="1115"/>
      <c r="LTB15" s="1115"/>
      <c r="LTC15" s="1115"/>
      <c r="LTD15" s="1115"/>
      <c r="LTE15" s="1115"/>
      <c r="LTF15" s="1115"/>
      <c r="LTG15" s="1115"/>
      <c r="LTH15" s="1115"/>
      <c r="LTI15" s="1115"/>
      <c r="LTJ15" s="1115"/>
      <c r="LTK15" s="1115"/>
      <c r="LTL15" s="1115"/>
      <c r="LTM15" s="1115"/>
      <c r="LTN15" s="1115"/>
      <c r="LTO15" s="1115"/>
      <c r="LTP15" s="1115"/>
      <c r="LTQ15" s="1115"/>
      <c r="LTR15" s="1115"/>
      <c r="LTS15" s="1115"/>
      <c r="LTT15" s="1115"/>
      <c r="LTU15" s="1115"/>
      <c r="LTV15" s="1115"/>
      <c r="LTW15" s="1115"/>
      <c r="LTX15" s="1115"/>
      <c r="LTY15" s="1115"/>
      <c r="LTZ15" s="1115"/>
      <c r="LUA15" s="1115"/>
      <c r="LUB15" s="1115"/>
      <c r="LUC15" s="1115"/>
      <c r="LUD15" s="1115"/>
      <c r="LUE15" s="1115"/>
      <c r="LUF15" s="1115"/>
      <c r="LUG15" s="1115"/>
      <c r="LUH15" s="1115"/>
      <c r="LUI15" s="1115"/>
      <c r="LUJ15" s="1115"/>
      <c r="LUK15" s="1115"/>
      <c r="LUL15" s="1115"/>
      <c r="LUM15" s="1115"/>
      <c r="LUN15" s="1115"/>
      <c r="LUO15" s="1115"/>
      <c r="LUP15" s="1115"/>
      <c r="LUQ15" s="1115"/>
      <c r="LUR15" s="1115"/>
      <c r="LUS15" s="1115"/>
      <c r="LUT15" s="1115"/>
      <c r="LUU15" s="1115"/>
      <c r="LUV15" s="1115"/>
      <c r="LUW15" s="1115"/>
      <c r="LUX15" s="1115"/>
      <c r="LUY15" s="1115"/>
      <c r="LUZ15" s="1115"/>
      <c r="LVA15" s="1115"/>
      <c r="LVB15" s="1115"/>
      <c r="LVC15" s="1115"/>
      <c r="LVD15" s="1115"/>
      <c r="LVE15" s="1115"/>
      <c r="LVF15" s="1115"/>
      <c r="LVG15" s="1115"/>
      <c r="LVH15" s="1115"/>
      <c r="LVI15" s="1115"/>
      <c r="LVJ15" s="1115"/>
      <c r="LVK15" s="1115"/>
      <c r="LVL15" s="1115"/>
      <c r="LVM15" s="1115"/>
      <c r="LVN15" s="1115"/>
      <c r="LVO15" s="1115"/>
      <c r="LVP15" s="1115"/>
      <c r="LVQ15" s="1115"/>
      <c r="LVR15" s="1115"/>
      <c r="LVS15" s="1115"/>
      <c r="LVT15" s="1115"/>
      <c r="LVU15" s="1115"/>
      <c r="LVV15" s="1115"/>
      <c r="LVW15" s="1115"/>
      <c r="LVX15" s="1115"/>
      <c r="LVY15" s="1115"/>
      <c r="LVZ15" s="1115"/>
      <c r="LWA15" s="1115"/>
      <c r="LWB15" s="1115"/>
      <c r="LWC15" s="1115"/>
      <c r="LWD15" s="1115"/>
      <c r="LWE15" s="1115"/>
      <c r="LWF15" s="1115"/>
      <c r="LWG15" s="1115"/>
      <c r="LWH15" s="1115"/>
      <c r="LWI15" s="1115"/>
      <c r="LWJ15" s="1115"/>
      <c r="LWK15" s="1115"/>
      <c r="LWL15" s="1115"/>
      <c r="LWM15" s="1115"/>
      <c r="LWN15" s="1115"/>
      <c r="LWO15" s="1115"/>
      <c r="LWP15" s="1115"/>
      <c r="LWQ15" s="1115"/>
      <c r="LWR15" s="1115"/>
      <c r="LWS15" s="1115"/>
      <c r="LWT15" s="1115"/>
      <c r="LWU15" s="1115"/>
      <c r="LWV15" s="1115"/>
      <c r="LWW15" s="1115"/>
      <c r="LWX15" s="1115"/>
      <c r="LWY15" s="1115"/>
      <c r="LWZ15" s="1115"/>
      <c r="LXA15" s="1115"/>
      <c r="LXB15" s="1115"/>
      <c r="LXC15" s="1115"/>
      <c r="LXD15" s="1115"/>
      <c r="LXE15" s="1115"/>
      <c r="LXF15" s="1115"/>
      <c r="LXG15" s="1115"/>
      <c r="LXH15" s="1115"/>
      <c r="LXI15" s="1115"/>
      <c r="LXJ15" s="1115"/>
      <c r="LXK15" s="1115"/>
      <c r="LXL15" s="1115"/>
      <c r="LXM15" s="1115"/>
      <c r="LXN15" s="1115"/>
      <c r="LXO15" s="1115"/>
      <c r="LXP15" s="1115"/>
      <c r="LXQ15" s="1115"/>
      <c r="LXR15" s="1115"/>
      <c r="LXS15" s="1115"/>
      <c r="LXT15" s="1115"/>
      <c r="LXU15" s="1115"/>
      <c r="LXV15" s="1115"/>
      <c r="LXW15" s="1115"/>
      <c r="LXX15" s="1115"/>
      <c r="LXY15" s="1115"/>
      <c r="LXZ15" s="1115"/>
      <c r="LYA15" s="1115"/>
      <c r="LYB15" s="1115"/>
      <c r="LYC15" s="1115"/>
      <c r="LYD15" s="1115"/>
      <c r="LYE15" s="1115"/>
      <c r="LYF15" s="1115"/>
      <c r="LYG15" s="1115"/>
      <c r="LYH15" s="1115"/>
      <c r="LYI15" s="1115"/>
      <c r="LYJ15" s="1115"/>
      <c r="LYK15" s="1115"/>
      <c r="LYL15" s="1115"/>
      <c r="LYM15" s="1115"/>
      <c r="LYN15" s="1115"/>
      <c r="LYO15" s="1115"/>
      <c r="LYP15" s="1115"/>
      <c r="LYQ15" s="1115"/>
      <c r="LYR15" s="1115"/>
      <c r="LYS15" s="1115"/>
      <c r="LYT15" s="1115"/>
      <c r="LYU15" s="1115"/>
      <c r="LYV15" s="1115"/>
      <c r="LYW15" s="1115"/>
      <c r="LYX15" s="1115"/>
      <c r="LYY15" s="1115"/>
      <c r="LYZ15" s="1115"/>
      <c r="LZA15" s="1115"/>
      <c r="LZB15" s="1115"/>
      <c r="LZC15" s="1115"/>
      <c r="LZD15" s="1115"/>
      <c r="LZE15" s="1115"/>
      <c r="LZF15" s="1115"/>
      <c r="LZG15" s="1115"/>
      <c r="LZH15" s="1115"/>
      <c r="LZI15" s="1115"/>
      <c r="LZJ15" s="1115"/>
      <c r="LZK15" s="1115"/>
      <c r="LZL15" s="1115"/>
      <c r="LZM15" s="1115"/>
      <c r="LZN15" s="1115"/>
      <c r="LZO15" s="1115"/>
      <c r="LZP15" s="1115"/>
      <c r="LZQ15" s="1115"/>
      <c r="LZR15" s="1115"/>
      <c r="LZS15" s="1115"/>
      <c r="LZT15" s="1115"/>
      <c r="LZU15" s="1115"/>
      <c r="LZV15" s="1115"/>
      <c r="LZW15" s="1115"/>
      <c r="LZX15" s="1115"/>
      <c r="LZY15" s="1115"/>
      <c r="LZZ15" s="1115"/>
      <c r="MAA15" s="1115"/>
      <c r="MAB15" s="1115"/>
      <c r="MAC15" s="1115"/>
      <c r="MAD15" s="1115"/>
      <c r="MAE15" s="1115"/>
      <c r="MAF15" s="1115"/>
      <c r="MAG15" s="1115"/>
      <c r="MAH15" s="1115"/>
      <c r="MAI15" s="1115"/>
      <c r="MAJ15" s="1115"/>
      <c r="MAK15" s="1115"/>
      <c r="MAL15" s="1115"/>
      <c r="MAM15" s="1115"/>
      <c r="MAN15" s="1115"/>
      <c r="MAO15" s="1115"/>
      <c r="MAP15" s="1115"/>
      <c r="MAQ15" s="1115"/>
      <c r="MAR15" s="1115"/>
      <c r="MAS15" s="1115"/>
      <c r="MAT15" s="1115"/>
      <c r="MAU15" s="1115"/>
      <c r="MAV15" s="1115"/>
      <c r="MAW15" s="1115"/>
      <c r="MAX15" s="1115"/>
      <c r="MAY15" s="1115"/>
      <c r="MAZ15" s="1115"/>
      <c r="MBA15" s="1115"/>
      <c r="MBB15" s="1115"/>
      <c r="MBC15" s="1115"/>
      <c r="MBD15" s="1115"/>
      <c r="MBE15" s="1115"/>
      <c r="MBF15" s="1115"/>
      <c r="MBG15" s="1115"/>
      <c r="MBH15" s="1115"/>
      <c r="MBI15" s="1115"/>
      <c r="MBJ15" s="1115"/>
      <c r="MBK15" s="1115"/>
      <c r="MBL15" s="1115"/>
      <c r="MBM15" s="1115"/>
      <c r="MBN15" s="1115"/>
      <c r="MBO15" s="1115"/>
      <c r="MBP15" s="1115"/>
      <c r="MBQ15" s="1115"/>
      <c r="MBR15" s="1115"/>
      <c r="MBS15" s="1115"/>
      <c r="MBT15" s="1115"/>
      <c r="MBU15" s="1115"/>
      <c r="MBV15" s="1115"/>
      <c r="MBW15" s="1115"/>
      <c r="MBX15" s="1115"/>
      <c r="MBY15" s="1115"/>
      <c r="MBZ15" s="1115"/>
      <c r="MCA15" s="1115"/>
      <c r="MCB15" s="1115"/>
      <c r="MCC15" s="1115"/>
      <c r="MCD15" s="1115"/>
      <c r="MCE15" s="1115"/>
      <c r="MCF15" s="1115"/>
      <c r="MCG15" s="1115"/>
      <c r="MCH15" s="1115"/>
      <c r="MCI15" s="1115"/>
      <c r="MCJ15" s="1115"/>
      <c r="MCK15" s="1115"/>
      <c r="MCL15" s="1115"/>
      <c r="MCM15" s="1115"/>
      <c r="MCN15" s="1115"/>
      <c r="MCO15" s="1115"/>
      <c r="MCP15" s="1115"/>
      <c r="MCQ15" s="1115"/>
      <c r="MCR15" s="1115"/>
      <c r="MCS15" s="1115"/>
      <c r="MCT15" s="1115"/>
      <c r="MCU15" s="1115"/>
      <c r="MCV15" s="1115"/>
      <c r="MCW15" s="1115"/>
      <c r="MCX15" s="1115"/>
      <c r="MCY15" s="1115"/>
      <c r="MCZ15" s="1115"/>
      <c r="MDA15" s="1115"/>
      <c r="MDB15" s="1115"/>
      <c r="MDC15" s="1115"/>
      <c r="MDD15" s="1115"/>
      <c r="MDE15" s="1115"/>
      <c r="MDF15" s="1115"/>
      <c r="MDG15" s="1115"/>
      <c r="MDH15" s="1115"/>
      <c r="MDI15" s="1115"/>
      <c r="MDJ15" s="1115"/>
      <c r="MDK15" s="1115"/>
      <c r="MDL15" s="1115"/>
      <c r="MDM15" s="1115"/>
      <c r="MDN15" s="1115"/>
      <c r="MDO15" s="1115"/>
      <c r="MDP15" s="1115"/>
      <c r="MDQ15" s="1115"/>
      <c r="MDR15" s="1115"/>
      <c r="MDS15" s="1115"/>
      <c r="MDT15" s="1115"/>
      <c r="MDU15" s="1115"/>
      <c r="MDV15" s="1115"/>
      <c r="MDW15" s="1115"/>
      <c r="MDX15" s="1115"/>
      <c r="MDY15" s="1115"/>
      <c r="MDZ15" s="1115"/>
      <c r="MEA15" s="1115"/>
      <c r="MEB15" s="1115"/>
      <c r="MEC15" s="1115"/>
      <c r="MED15" s="1115"/>
      <c r="MEE15" s="1115"/>
      <c r="MEF15" s="1115"/>
      <c r="MEG15" s="1115"/>
      <c r="MEH15" s="1115"/>
      <c r="MEI15" s="1115"/>
      <c r="MEJ15" s="1115"/>
      <c r="MEK15" s="1115"/>
      <c r="MEL15" s="1115"/>
      <c r="MEM15" s="1115"/>
      <c r="MEN15" s="1115"/>
      <c r="MEO15" s="1115"/>
      <c r="MEP15" s="1115"/>
      <c r="MEQ15" s="1115"/>
      <c r="MER15" s="1115"/>
      <c r="MES15" s="1115"/>
      <c r="MET15" s="1115"/>
      <c r="MEU15" s="1115"/>
      <c r="MEV15" s="1115"/>
      <c r="MEW15" s="1115"/>
      <c r="MEX15" s="1115"/>
      <c r="MEY15" s="1115"/>
      <c r="MEZ15" s="1115"/>
      <c r="MFA15" s="1115"/>
      <c r="MFB15" s="1115"/>
      <c r="MFC15" s="1115"/>
      <c r="MFD15" s="1115"/>
      <c r="MFE15" s="1115"/>
      <c r="MFF15" s="1115"/>
      <c r="MFG15" s="1115"/>
      <c r="MFH15" s="1115"/>
      <c r="MFI15" s="1115"/>
      <c r="MFJ15" s="1115"/>
      <c r="MFK15" s="1115"/>
      <c r="MFL15" s="1115"/>
      <c r="MFM15" s="1115"/>
      <c r="MFN15" s="1115"/>
      <c r="MFO15" s="1115"/>
      <c r="MFP15" s="1115"/>
      <c r="MFQ15" s="1115"/>
      <c r="MFR15" s="1115"/>
      <c r="MFS15" s="1115"/>
      <c r="MFT15" s="1115"/>
      <c r="MFU15" s="1115"/>
      <c r="MFV15" s="1115"/>
      <c r="MFW15" s="1115"/>
      <c r="MFX15" s="1115"/>
      <c r="MFY15" s="1115"/>
      <c r="MFZ15" s="1115"/>
      <c r="MGA15" s="1115"/>
      <c r="MGB15" s="1115"/>
      <c r="MGC15" s="1115"/>
      <c r="MGD15" s="1115"/>
      <c r="MGE15" s="1115"/>
      <c r="MGF15" s="1115"/>
      <c r="MGG15" s="1115"/>
      <c r="MGH15" s="1115"/>
      <c r="MGI15" s="1115"/>
      <c r="MGJ15" s="1115"/>
      <c r="MGK15" s="1115"/>
      <c r="MGL15" s="1115"/>
      <c r="MGM15" s="1115"/>
      <c r="MGN15" s="1115"/>
      <c r="MGO15" s="1115"/>
      <c r="MGP15" s="1115"/>
      <c r="MGQ15" s="1115"/>
      <c r="MGR15" s="1115"/>
      <c r="MGS15" s="1115"/>
      <c r="MGT15" s="1115"/>
      <c r="MGU15" s="1115"/>
      <c r="MGV15" s="1115"/>
      <c r="MGW15" s="1115"/>
      <c r="MGX15" s="1115"/>
      <c r="MGY15" s="1115"/>
      <c r="MGZ15" s="1115"/>
      <c r="MHA15" s="1115"/>
      <c r="MHB15" s="1115"/>
      <c r="MHC15" s="1115"/>
      <c r="MHD15" s="1115"/>
      <c r="MHE15" s="1115"/>
      <c r="MHF15" s="1115"/>
      <c r="MHG15" s="1115"/>
      <c r="MHH15" s="1115"/>
      <c r="MHI15" s="1115"/>
      <c r="MHJ15" s="1115"/>
      <c r="MHK15" s="1115"/>
      <c r="MHL15" s="1115"/>
      <c r="MHM15" s="1115"/>
      <c r="MHN15" s="1115"/>
      <c r="MHO15" s="1115"/>
      <c r="MHP15" s="1115"/>
      <c r="MHQ15" s="1115"/>
      <c r="MHR15" s="1115"/>
      <c r="MHS15" s="1115"/>
      <c r="MHT15" s="1115"/>
      <c r="MHU15" s="1115"/>
      <c r="MHV15" s="1115"/>
      <c r="MHW15" s="1115"/>
      <c r="MHX15" s="1115"/>
      <c r="MHY15" s="1115"/>
      <c r="MHZ15" s="1115"/>
      <c r="MIA15" s="1115"/>
      <c r="MIB15" s="1115"/>
      <c r="MIC15" s="1115"/>
      <c r="MID15" s="1115"/>
      <c r="MIE15" s="1115"/>
      <c r="MIF15" s="1115"/>
      <c r="MIG15" s="1115"/>
      <c r="MIH15" s="1115"/>
      <c r="MII15" s="1115"/>
      <c r="MIJ15" s="1115"/>
      <c r="MIK15" s="1115"/>
      <c r="MIL15" s="1115"/>
      <c r="MIM15" s="1115"/>
      <c r="MIN15" s="1115"/>
      <c r="MIO15" s="1115"/>
      <c r="MIP15" s="1115"/>
      <c r="MIQ15" s="1115"/>
      <c r="MIR15" s="1115"/>
      <c r="MIS15" s="1115"/>
      <c r="MIT15" s="1115"/>
      <c r="MIU15" s="1115"/>
      <c r="MIV15" s="1115"/>
      <c r="MIW15" s="1115"/>
      <c r="MIX15" s="1115"/>
      <c r="MIY15" s="1115"/>
      <c r="MIZ15" s="1115"/>
      <c r="MJA15" s="1115"/>
      <c r="MJB15" s="1115"/>
      <c r="MJC15" s="1115"/>
      <c r="MJD15" s="1115"/>
      <c r="MJE15" s="1115"/>
      <c r="MJF15" s="1115"/>
      <c r="MJG15" s="1115"/>
      <c r="MJH15" s="1115"/>
      <c r="MJI15" s="1115"/>
      <c r="MJJ15" s="1115"/>
      <c r="MJK15" s="1115"/>
      <c r="MJL15" s="1115"/>
      <c r="MJM15" s="1115"/>
      <c r="MJN15" s="1115"/>
      <c r="MJO15" s="1115"/>
      <c r="MJP15" s="1115"/>
      <c r="MJQ15" s="1115"/>
      <c r="MJR15" s="1115"/>
      <c r="MJS15" s="1115"/>
      <c r="MJT15" s="1115"/>
      <c r="MJU15" s="1115"/>
      <c r="MJV15" s="1115"/>
      <c r="MJW15" s="1115"/>
      <c r="MJX15" s="1115"/>
      <c r="MJY15" s="1115"/>
      <c r="MJZ15" s="1115"/>
      <c r="MKA15" s="1115"/>
      <c r="MKB15" s="1115"/>
      <c r="MKC15" s="1115"/>
      <c r="MKD15" s="1115"/>
      <c r="MKE15" s="1115"/>
      <c r="MKF15" s="1115"/>
      <c r="MKG15" s="1115"/>
      <c r="MKH15" s="1115"/>
      <c r="MKI15" s="1115"/>
      <c r="MKJ15" s="1115"/>
      <c r="MKK15" s="1115"/>
      <c r="MKL15" s="1115"/>
      <c r="MKM15" s="1115"/>
      <c r="MKN15" s="1115"/>
      <c r="MKO15" s="1115"/>
      <c r="MKP15" s="1115"/>
      <c r="MKQ15" s="1115"/>
      <c r="MKR15" s="1115"/>
      <c r="MKS15" s="1115"/>
      <c r="MKT15" s="1115"/>
      <c r="MKU15" s="1115"/>
      <c r="MKV15" s="1115"/>
      <c r="MKW15" s="1115"/>
      <c r="MKX15" s="1115"/>
      <c r="MKY15" s="1115"/>
      <c r="MKZ15" s="1115"/>
      <c r="MLA15" s="1115"/>
      <c r="MLB15" s="1115"/>
      <c r="MLC15" s="1115"/>
      <c r="MLD15" s="1115"/>
      <c r="MLE15" s="1115"/>
      <c r="MLF15" s="1115"/>
      <c r="MLG15" s="1115"/>
      <c r="MLH15" s="1115"/>
      <c r="MLI15" s="1115"/>
      <c r="MLJ15" s="1115"/>
      <c r="MLK15" s="1115"/>
      <c r="MLL15" s="1115"/>
      <c r="MLM15" s="1115"/>
      <c r="MLN15" s="1115"/>
      <c r="MLO15" s="1115"/>
      <c r="MLP15" s="1115"/>
      <c r="MLQ15" s="1115"/>
      <c r="MLR15" s="1115"/>
      <c r="MLS15" s="1115"/>
      <c r="MLT15" s="1115"/>
      <c r="MLU15" s="1115"/>
      <c r="MLV15" s="1115"/>
      <c r="MLW15" s="1115"/>
      <c r="MLX15" s="1115"/>
      <c r="MLY15" s="1115"/>
      <c r="MLZ15" s="1115"/>
      <c r="MMA15" s="1115"/>
      <c r="MMB15" s="1115"/>
      <c r="MMC15" s="1115"/>
      <c r="MMD15" s="1115"/>
      <c r="MME15" s="1115"/>
      <c r="MMF15" s="1115"/>
      <c r="MMG15" s="1115"/>
      <c r="MMH15" s="1115"/>
      <c r="MMI15" s="1115"/>
      <c r="MMJ15" s="1115"/>
      <c r="MMK15" s="1115"/>
      <c r="MML15" s="1115"/>
      <c r="MMM15" s="1115"/>
      <c r="MMN15" s="1115"/>
      <c r="MMO15" s="1115"/>
      <c r="MMP15" s="1115"/>
      <c r="MMQ15" s="1115"/>
      <c r="MMR15" s="1115"/>
      <c r="MMS15" s="1115"/>
      <c r="MMT15" s="1115"/>
      <c r="MMU15" s="1115"/>
      <c r="MMV15" s="1115"/>
      <c r="MMW15" s="1115"/>
      <c r="MMX15" s="1115"/>
      <c r="MMY15" s="1115"/>
      <c r="MMZ15" s="1115"/>
      <c r="MNA15" s="1115"/>
      <c r="MNB15" s="1115"/>
      <c r="MNC15" s="1115"/>
      <c r="MND15" s="1115"/>
      <c r="MNE15" s="1115"/>
      <c r="MNF15" s="1115"/>
      <c r="MNG15" s="1115"/>
      <c r="MNH15" s="1115"/>
      <c r="MNI15" s="1115"/>
      <c r="MNJ15" s="1115"/>
      <c r="MNK15" s="1115"/>
      <c r="MNL15" s="1115"/>
      <c r="MNM15" s="1115"/>
      <c r="MNN15" s="1115"/>
      <c r="MNO15" s="1115"/>
      <c r="MNP15" s="1115"/>
      <c r="MNQ15" s="1115"/>
      <c r="MNR15" s="1115"/>
      <c r="MNS15" s="1115"/>
      <c r="MNT15" s="1115"/>
      <c r="MNU15" s="1115"/>
      <c r="MNV15" s="1115"/>
      <c r="MNW15" s="1115"/>
      <c r="MNX15" s="1115"/>
      <c r="MNY15" s="1115"/>
      <c r="MNZ15" s="1115"/>
      <c r="MOA15" s="1115"/>
      <c r="MOB15" s="1115"/>
      <c r="MOC15" s="1115"/>
      <c r="MOD15" s="1115"/>
      <c r="MOE15" s="1115"/>
      <c r="MOF15" s="1115"/>
      <c r="MOG15" s="1115"/>
      <c r="MOH15" s="1115"/>
      <c r="MOI15" s="1115"/>
      <c r="MOJ15" s="1115"/>
      <c r="MOK15" s="1115"/>
      <c r="MOL15" s="1115"/>
      <c r="MOM15" s="1115"/>
      <c r="MON15" s="1115"/>
      <c r="MOO15" s="1115"/>
      <c r="MOP15" s="1115"/>
      <c r="MOQ15" s="1115"/>
      <c r="MOR15" s="1115"/>
      <c r="MOS15" s="1115"/>
      <c r="MOT15" s="1115"/>
      <c r="MOU15" s="1115"/>
      <c r="MOV15" s="1115"/>
      <c r="MOW15" s="1115"/>
      <c r="MOX15" s="1115"/>
      <c r="MOY15" s="1115"/>
      <c r="MOZ15" s="1115"/>
      <c r="MPA15" s="1115"/>
      <c r="MPB15" s="1115"/>
      <c r="MPC15" s="1115"/>
      <c r="MPD15" s="1115"/>
      <c r="MPE15" s="1115"/>
      <c r="MPF15" s="1115"/>
      <c r="MPG15" s="1115"/>
      <c r="MPH15" s="1115"/>
      <c r="MPI15" s="1115"/>
      <c r="MPJ15" s="1115"/>
      <c r="MPK15" s="1115"/>
      <c r="MPL15" s="1115"/>
      <c r="MPM15" s="1115"/>
      <c r="MPN15" s="1115"/>
      <c r="MPO15" s="1115"/>
      <c r="MPP15" s="1115"/>
      <c r="MPQ15" s="1115"/>
      <c r="MPR15" s="1115"/>
      <c r="MPS15" s="1115"/>
      <c r="MPT15" s="1115"/>
      <c r="MPU15" s="1115"/>
      <c r="MPV15" s="1115"/>
      <c r="MPW15" s="1115"/>
      <c r="MPX15" s="1115"/>
      <c r="MPY15" s="1115"/>
      <c r="MPZ15" s="1115"/>
      <c r="MQA15" s="1115"/>
      <c r="MQB15" s="1115"/>
      <c r="MQC15" s="1115"/>
      <c r="MQD15" s="1115"/>
      <c r="MQE15" s="1115"/>
      <c r="MQF15" s="1115"/>
      <c r="MQG15" s="1115"/>
      <c r="MQH15" s="1115"/>
      <c r="MQI15" s="1115"/>
      <c r="MQJ15" s="1115"/>
      <c r="MQK15" s="1115"/>
      <c r="MQL15" s="1115"/>
      <c r="MQM15" s="1115"/>
      <c r="MQN15" s="1115"/>
      <c r="MQO15" s="1115"/>
      <c r="MQP15" s="1115"/>
      <c r="MQQ15" s="1115"/>
      <c r="MQR15" s="1115"/>
      <c r="MQS15" s="1115"/>
      <c r="MQT15" s="1115"/>
      <c r="MQU15" s="1115"/>
      <c r="MQV15" s="1115"/>
      <c r="MQW15" s="1115"/>
      <c r="MQX15" s="1115"/>
      <c r="MQY15" s="1115"/>
      <c r="MQZ15" s="1115"/>
      <c r="MRA15" s="1115"/>
      <c r="MRB15" s="1115"/>
      <c r="MRC15" s="1115"/>
      <c r="MRD15" s="1115"/>
      <c r="MRE15" s="1115"/>
      <c r="MRF15" s="1115"/>
      <c r="MRG15" s="1115"/>
      <c r="MRH15" s="1115"/>
      <c r="MRI15" s="1115"/>
      <c r="MRJ15" s="1115"/>
      <c r="MRK15" s="1115"/>
      <c r="MRL15" s="1115"/>
      <c r="MRM15" s="1115"/>
      <c r="MRN15" s="1115"/>
      <c r="MRO15" s="1115"/>
      <c r="MRP15" s="1115"/>
      <c r="MRQ15" s="1115"/>
      <c r="MRR15" s="1115"/>
      <c r="MRS15" s="1115"/>
      <c r="MRT15" s="1115"/>
      <c r="MRU15" s="1115"/>
      <c r="MRV15" s="1115"/>
      <c r="MRW15" s="1115"/>
      <c r="MRX15" s="1115"/>
      <c r="MRY15" s="1115"/>
      <c r="MRZ15" s="1115"/>
      <c r="MSA15" s="1115"/>
      <c r="MSB15" s="1115"/>
      <c r="MSC15" s="1115"/>
      <c r="MSD15" s="1115"/>
      <c r="MSE15" s="1115"/>
      <c r="MSF15" s="1115"/>
      <c r="MSG15" s="1115"/>
      <c r="MSH15" s="1115"/>
      <c r="MSI15" s="1115"/>
      <c r="MSJ15" s="1115"/>
      <c r="MSK15" s="1115"/>
      <c r="MSL15" s="1115"/>
      <c r="MSM15" s="1115"/>
      <c r="MSN15" s="1115"/>
      <c r="MSO15" s="1115"/>
      <c r="MSP15" s="1115"/>
      <c r="MSQ15" s="1115"/>
      <c r="MSR15" s="1115"/>
      <c r="MSS15" s="1115"/>
      <c r="MST15" s="1115"/>
      <c r="MSU15" s="1115"/>
      <c r="MSV15" s="1115"/>
      <c r="MSW15" s="1115"/>
      <c r="MSX15" s="1115"/>
      <c r="MSY15" s="1115"/>
      <c r="MSZ15" s="1115"/>
      <c r="MTA15" s="1115"/>
      <c r="MTB15" s="1115"/>
      <c r="MTC15" s="1115"/>
      <c r="MTD15" s="1115"/>
      <c r="MTE15" s="1115"/>
      <c r="MTF15" s="1115"/>
      <c r="MTG15" s="1115"/>
      <c r="MTH15" s="1115"/>
      <c r="MTI15" s="1115"/>
      <c r="MTJ15" s="1115"/>
      <c r="MTK15" s="1115"/>
      <c r="MTL15" s="1115"/>
      <c r="MTM15" s="1115"/>
      <c r="MTN15" s="1115"/>
      <c r="MTO15" s="1115"/>
      <c r="MTP15" s="1115"/>
      <c r="MTQ15" s="1115"/>
      <c r="MTR15" s="1115"/>
      <c r="MTS15" s="1115"/>
      <c r="MTT15" s="1115"/>
      <c r="MTU15" s="1115"/>
      <c r="MTV15" s="1115"/>
      <c r="MTW15" s="1115"/>
      <c r="MTX15" s="1115"/>
      <c r="MTY15" s="1115"/>
      <c r="MTZ15" s="1115"/>
      <c r="MUA15" s="1115"/>
      <c r="MUB15" s="1115"/>
      <c r="MUC15" s="1115"/>
      <c r="MUD15" s="1115"/>
      <c r="MUE15" s="1115"/>
      <c r="MUF15" s="1115"/>
      <c r="MUG15" s="1115"/>
      <c r="MUH15" s="1115"/>
      <c r="MUI15" s="1115"/>
      <c r="MUJ15" s="1115"/>
      <c r="MUK15" s="1115"/>
      <c r="MUL15" s="1115"/>
      <c r="MUM15" s="1115"/>
      <c r="MUN15" s="1115"/>
      <c r="MUO15" s="1115"/>
      <c r="MUP15" s="1115"/>
      <c r="MUQ15" s="1115"/>
      <c r="MUR15" s="1115"/>
      <c r="MUS15" s="1115"/>
      <c r="MUT15" s="1115"/>
      <c r="MUU15" s="1115"/>
      <c r="MUV15" s="1115"/>
      <c r="MUW15" s="1115"/>
      <c r="MUX15" s="1115"/>
      <c r="MUY15" s="1115"/>
      <c r="MUZ15" s="1115"/>
      <c r="MVA15" s="1115"/>
      <c r="MVB15" s="1115"/>
      <c r="MVC15" s="1115"/>
      <c r="MVD15" s="1115"/>
      <c r="MVE15" s="1115"/>
      <c r="MVF15" s="1115"/>
      <c r="MVG15" s="1115"/>
      <c r="MVH15" s="1115"/>
      <c r="MVI15" s="1115"/>
      <c r="MVJ15" s="1115"/>
      <c r="MVK15" s="1115"/>
      <c r="MVL15" s="1115"/>
      <c r="MVM15" s="1115"/>
      <c r="MVN15" s="1115"/>
      <c r="MVO15" s="1115"/>
      <c r="MVP15" s="1115"/>
      <c r="MVQ15" s="1115"/>
      <c r="MVR15" s="1115"/>
      <c r="MVS15" s="1115"/>
      <c r="MVT15" s="1115"/>
      <c r="MVU15" s="1115"/>
      <c r="MVV15" s="1115"/>
      <c r="MVW15" s="1115"/>
      <c r="MVX15" s="1115"/>
      <c r="MVY15" s="1115"/>
      <c r="MVZ15" s="1115"/>
      <c r="MWA15" s="1115"/>
      <c r="MWB15" s="1115"/>
      <c r="MWC15" s="1115"/>
      <c r="MWD15" s="1115"/>
      <c r="MWE15" s="1115"/>
      <c r="MWF15" s="1115"/>
      <c r="MWG15" s="1115"/>
      <c r="MWH15" s="1115"/>
      <c r="MWI15" s="1115"/>
      <c r="MWJ15" s="1115"/>
      <c r="MWK15" s="1115"/>
      <c r="MWL15" s="1115"/>
      <c r="MWM15" s="1115"/>
      <c r="MWN15" s="1115"/>
      <c r="MWO15" s="1115"/>
      <c r="MWP15" s="1115"/>
      <c r="MWQ15" s="1115"/>
      <c r="MWR15" s="1115"/>
      <c r="MWS15" s="1115"/>
      <c r="MWT15" s="1115"/>
      <c r="MWU15" s="1115"/>
      <c r="MWV15" s="1115"/>
      <c r="MWW15" s="1115"/>
      <c r="MWX15" s="1115"/>
      <c r="MWY15" s="1115"/>
      <c r="MWZ15" s="1115"/>
      <c r="MXA15" s="1115"/>
      <c r="MXB15" s="1115"/>
      <c r="MXC15" s="1115"/>
      <c r="MXD15" s="1115"/>
      <c r="MXE15" s="1115"/>
      <c r="MXF15" s="1115"/>
      <c r="MXG15" s="1115"/>
      <c r="MXH15" s="1115"/>
      <c r="MXI15" s="1115"/>
      <c r="MXJ15" s="1115"/>
      <c r="MXK15" s="1115"/>
      <c r="MXL15" s="1115"/>
      <c r="MXM15" s="1115"/>
      <c r="MXN15" s="1115"/>
      <c r="MXO15" s="1115"/>
      <c r="MXP15" s="1115"/>
      <c r="MXQ15" s="1115"/>
      <c r="MXR15" s="1115"/>
      <c r="MXS15" s="1115"/>
      <c r="MXT15" s="1115"/>
      <c r="MXU15" s="1115"/>
      <c r="MXV15" s="1115"/>
      <c r="MXW15" s="1115"/>
      <c r="MXX15" s="1115"/>
      <c r="MXY15" s="1115"/>
      <c r="MXZ15" s="1115"/>
      <c r="MYA15" s="1115"/>
      <c r="MYB15" s="1115"/>
      <c r="MYC15" s="1115"/>
      <c r="MYD15" s="1115"/>
      <c r="MYE15" s="1115"/>
      <c r="MYF15" s="1115"/>
      <c r="MYG15" s="1115"/>
      <c r="MYH15" s="1115"/>
      <c r="MYI15" s="1115"/>
      <c r="MYJ15" s="1115"/>
      <c r="MYK15" s="1115"/>
      <c r="MYL15" s="1115"/>
      <c r="MYM15" s="1115"/>
      <c r="MYN15" s="1115"/>
      <c r="MYO15" s="1115"/>
      <c r="MYP15" s="1115"/>
      <c r="MYQ15" s="1115"/>
      <c r="MYR15" s="1115"/>
      <c r="MYS15" s="1115"/>
      <c r="MYT15" s="1115"/>
      <c r="MYU15" s="1115"/>
      <c r="MYV15" s="1115"/>
      <c r="MYW15" s="1115"/>
      <c r="MYX15" s="1115"/>
      <c r="MYY15" s="1115"/>
      <c r="MYZ15" s="1115"/>
      <c r="MZA15" s="1115"/>
      <c r="MZB15" s="1115"/>
      <c r="MZC15" s="1115"/>
      <c r="MZD15" s="1115"/>
      <c r="MZE15" s="1115"/>
      <c r="MZF15" s="1115"/>
      <c r="MZG15" s="1115"/>
      <c r="MZH15" s="1115"/>
      <c r="MZI15" s="1115"/>
      <c r="MZJ15" s="1115"/>
      <c r="MZK15" s="1115"/>
      <c r="MZL15" s="1115"/>
      <c r="MZM15" s="1115"/>
      <c r="MZN15" s="1115"/>
      <c r="MZO15" s="1115"/>
      <c r="MZP15" s="1115"/>
      <c r="MZQ15" s="1115"/>
      <c r="MZR15" s="1115"/>
      <c r="MZS15" s="1115"/>
      <c r="MZT15" s="1115"/>
      <c r="MZU15" s="1115"/>
      <c r="MZV15" s="1115"/>
      <c r="MZW15" s="1115"/>
      <c r="MZX15" s="1115"/>
      <c r="MZY15" s="1115"/>
      <c r="MZZ15" s="1115"/>
      <c r="NAA15" s="1115"/>
      <c r="NAB15" s="1115"/>
      <c r="NAC15" s="1115"/>
      <c r="NAD15" s="1115"/>
      <c r="NAE15" s="1115"/>
      <c r="NAF15" s="1115"/>
      <c r="NAG15" s="1115"/>
      <c r="NAH15" s="1115"/>
      <c r="NAI15" s="1115"/>
      <c r="NAJ15" s="1115"/>
      <c r="NAK15" s="1115"/>
      <c r="NAL15" s="1115"/>
      <c r="NAM15" s="1115"/>
      <c r="NAN15" s="1115"/>
      <c r="NAO15" s="1115"/>
      <c r="NAP15" s="1115"/>
      <c r="NAQ15" s="1115"/>
      <c r="NAR15" s="1115"/>
      <c r="NAS15" s="1115"/>
      <c r="NAT15" s="1115"/>
      <c r="NAU15" s="1115"/>
      <c r="NAV15" s="1115"/>
      <c r="NAW15" s="1115"/>
      <c r="NAX15" s="1115"/>
      <c r="NAY15" s="1115"/>
      <c r="NAZ15" s="1115"/>
      <c r="NBA15" s="1115"/>
      <c r="NBB15" s="1115"/>
      <c r="NBC15" s="1115"/>
      <c r="NBD15" s="1115"/>
      <c r="NBE15" s="1115"/>
      <c r="NBF15" s="1115"/>
      <c r="NBG15" s="1115"/>
      <c r="NBH15" s="1115"/>
      <c r="NBI15" s="1115"/>
      <c r="NBJ15" s="1115"/>
      <c r="NBK15" s="1115"/>
      <c r="NBL15" s="1115"/>
      <c r="NBM15" s="1115"/>
      <c r="NBN15" s="1115"/>
      <c r="NBO15" s="1115"/>
      <c r="NBP15" s="1115"/>
      <c r="NBQ15" s="1115"/>
      <c r="NBR15" s="1115"/>
      <c r="NBS15" s="1115"/>
      <c r="NBT15" s="1115"/>
      <c r="NBU15" s="1115"/>
      <c r="NBV15" s="1115"/>
      <c r="NBW15" s="1115"/>
      <c r="NBX15" s="1115"/>
      <c r="NBY15" s="1115"/>
      <c r="NBZ15" s="1115"/>
      <c r="NCA15" s="1115"/>
      <c r="NCB15" s="1115"/>
      <c r="NCC15" s="1115"/>
      <c r="NCD15" s="1115"/>
      <c r="NCE15" s="1115"/>
      <c r="NCF15" s="1115"/>
      <c r="NCG15" s="1115"/>
      <c r="NCH15" s="1115"/>
      <c r="NCI15" s="1115"/>
      <c r="NCJ15" s="1115"/>
      <c r="NCK15" s="1115"/>
      <c r="NCL15" s="1115"/>
      <c r="NCM15" s="1115"/>
      <c r="NCN15" s="1115"/>
      <c r="NCO15" s="1115"/>
      <c r="NCP15" s="1115"/>
      <c r="NCQ15" s="1115"/>
      <c r="NCR15" s="1115"/>
      <c r="NCS15" s="1115"/>
      <c r="NCT15" s="1115"/>
      <c r="NCU15" s="1115"/>
      <c r="NCV15" s="1115"/>
      <c r="NCW15" s="1115"/>
      <c r="NCX15" s="1115"/>
      <c r="NCY15" s="1115"/>
      <c r="NCZ15" s="1115"/>
      <c r="NDA15" s="1115"/>
      <c r="NDB15" s="1115"/>
      <c r="NDC15" s="1115"/>
      <c r="NDD15" s="1115"/>
      <c r="NDE15" s="1115"/>
      <c r="NDF15" s="1115"/>
      <c r="NDG15" s="1115"/>
      <c r="NDH15" s="1115"/>
      <c r="NDI15" s="1115"/>
      <c r="NDJ15" s="1115"/>
      <c r="NDK15" s="1115"/>
      <c r="NDL15" s="1115"/>
      <c r="NDM15" s="1115"/>
      <c r="NDN15" s="1115"/>
      <c r="NDO15" s="1115"/>
      <c r="NDP15" s="1115"/>
      <c r="NDQ15" s="1115"/>
      <c r="NDR15" s="1115"/>
      <c r="NDS15" s="1115"/>
      <c r="NDT15" s="1115"/>
      <c r="NDU15" s="1115"/>
      <c r="NDV15" s="1115"/>
      <c r="NDW15" s="1115"/>
      <c r="NDX15" s="1115"/>
      <c r="NDY15" s="1115"/>
      <c r="NDZ15" s="1115"/>
      <c r="NEA15" s="1115"/>
      <c r="NEB15" s="1115"/>
      <c r="NEC15" s="1115"/>
      <c r="NED15" s="1115"/>
      <c r="NEE15" s="1115"/>
      <c r="NEF15" s="1115"/>
      <c r="NEG15" s="1115"/>
      <c r="NEH15" s="1115"/>
      <c r="NEI15" s="1115"/>
      <c r="NEJ15" s="1115"/>
      <c r="NEK15" s="1115"/>
      <c r="NEL15" s="1115"/>
      <c r="NEM15" s="1115"/>
      <c r="NEN15" s="1115"/>
      <c r="NEO15" s="1115"/>
      <c r="NEP15" s="1115"/>
      <c r="NEQ15" s="1115"/>
      <c r="NER15" s="1115"/>
      <c r="NES15" s="1115"/>
      <c r="NET15" s="1115"/>
      <c r="NEU15" s="1115"/>
      <c r="NEV15" s="1115"/>
      <c r="NEW15" s="1115"/>
      <c r="NEX15" s="1115"/>
      <c r="NEY15" s="1115"/>
      <c r="NEZ15" s="1115"/>
      <c r="NFA15" s="1115"/>
      <c r="NFB15" s="1115"/>
      <c r="NFC15" s="1115"/>
      <c r="NFD15" s="1115"/>
      <c r="NFE15" s="1115"/>
      <c r="NFF15" s="1115"/>
      <c r="NFG15" s="1115"/>
      <c r="NFH15" s="1115"/>
      <c r="NFI15" s="1115"/>
      <c r="NFJ15" s="1115"/>
      <c r="NFK15" s="1115"/>
      <c r="NFL15" s="1115"/>
      <c r="NFM15" s="1115"/>
      <c r="NFN15" s="1115"/>
      <c r="NFO15" s="1115"/>
      <c r="NFP15" s="1115"/>
      <c r="NFQ15" s="1115"/>
      <c r="NFR15" s="1115"/>
      <c r="NFS15" s="1115"/>
      <c r="NFT15" s="1115"/>
      <c r="NFU15" s="1115"/>
      <c r="NFV15" s="1115"/>
      <c r="NFW15" s="1115"/>
      <c r="NFX15" s="1115"/>
      <c r="NFY15" s="1115"/>
      <c r="NFZ15" s="1115"/>
      <c r="NGA15" s="1115"/>
      <c r="NGB15" s="1115"/>
      <c r="NGC15" s="1115"/>
      <c r="NGD15" s="1115"/>
      <c r="NGE15" s="1115"/>
      <c r="NGF15" s="1115"/>
      <c r="NGG15" s="1115"/>
      <c r="NGH15" s="1115"/>
      <c r="NGI15" s="1115"/>
      <c r="NGJ15" s="1115"/>
      <c r="NGK15" s="1115"/>
      <c r="NGL15" s="1115"/>
      <c r="NGM15" s="1115"/>
      <c r="NGN15" s="1115"/>
      <c r="NGO15" s="1115"/>
      <c r="NGP15" s="1115"/>
      <c r="NGQ15" s="1115"/>
      <c r="NGR15" s="1115"/>
      <c r="NGS15" s="1115"/>
      <c r="NGT15" s="1115"/>
      <c r="NGU15" s="1115"/>
      <c r="NGV15" s="1115"/>
      <c r="NGW15" s="1115"/>
      <c r="NGX15" s="1115"/>
      <c r="NGY15" s="1115"/>
      <c r="NGZ15" s="1115"/>
      <c r="NHA15" s="1115"/>
      <c r="NHB15" s="1115"/>
      <c r="NHC15" s="1115"/>
      <c r="NHD15" s="1115"/>
      <c r="NHE15" s="1115"/>
      <c r="NHF15" s="1115"/>
      <c r="NHG15" s="1115"/>
      <c r="NHH15" s="1115"/>
      <c r="NHI15" s="1115"/>
      <c r="NHJ15" s="1115"/>
      <c r="NHK15" s="1115"/>
      <c r="NHL15" s="1115"/>
      <c r="NHM15" s="1115"/>
      <c r="NHN15" s="1115"/>
      <c r="NHO15" s="1115"/>
      <c r="NHP15" s="1115"/>
      <c r="NHQ15" s="1115"/>
      <c r="NHR15" s="1115"/>
      <c r="NHS15" s="1115"/>
      <c r="NHT15" s="1115"/>
      <c r="NHU15" s="1115"/>
      <c r="NHV15" s="1115"/>
      <c r="NHW15" s="1115"/>
      <c r="NHX15" s="1115"/>
      <c r="NHY15" s="1115"/>
      <c r="NHZ15" s="1115"/>
      <c r="NIA15" s="1115"/>
      <c r="NIB15" s="1115"/>
      <c r="NIC15" s="1115"/>
      <c r="NID15" s="1115"/>
      <c r="NIE15" s="1115"/>
      <c r="NIF15" s="1115"/>
      <c r="NIG15" s="1115"/>
      <c r="NIH15" s="1115"/>
      <c r="NII15" s="1115"/>
      <c r="NIJ15" s="1115"/>
      <c r="NIK15" s="1115"/>
      <c r="NIL15" s="1115"/>
      <c r="NIM15" s="1115"/>
      <c r="NIN15" s="1115"/>
      <c r="NIO15" s="1115"/>
      <c r="NIP15" s="1115"/>
      <c r="NIQ15" s="1115"/>
      <c r="NIR15" s="1115"/>
      <c r="NIS15" s="1115"/>
      <c r="NIT15" s="1115"/>
      <c r="NIU15" s="1115"/>
      <c r="NIV15" s="1115"/>
      <c r="NIW15" s="1115"/>
      <c r="NIX15" s="1115"/>
      <c r="NIY15" s="1115"/>
      <c r="NIZ15" s="1115"/>
      <c r="NJA15" s="1115"/>
      <c r="NJB15" s="1115"/>
      <c r="NJC15" s="1115"/>
      <c r="NJD15" s="1115"/>
      <c r="NJE15" s="1115"/>
      <c r="NJF15" s="1115"/>
      <c r="NJG15" s="1115"/>
      <c r="NJH15" s="1115"/>
      <c r="NJI15" s="1115"/>
      <c r="NJJ15" s="1115"/>
      <c r="NJK15" s="1115"/>
      <c r="NJL15" s="1115"/>
      <c r="NJM15" s="1115"/>
      <c r="NJN15" s="1115"/>
      <c r="NJO15" s="1115"/>
      <c r="NJP15" s="1115"/>
      <c r="NJQ15" s="1115"/>
      <c r="NJR15" s="1115"/>
      <c r="NJS15" s="1115"/>
      <c r="NJT15" s="1115"/>
      <c r="NJU15" s="1115"/>
      <c r="NJV15" s="1115"/>
      <c r="NJW15" s="1115"/>
      <c r="NJX15" s="1115"/>
      <c r="NJY15" s="1115"/>
      <c r="NJZ15" s="1115"/>
      <c r="NKA15" s="1115"/>
      <c r="NKB15" s="1115"/>
      <c r="NKC15" s="1115"/>
      <c r="NKD15" s="1115"/>
      <c r="NKE15" s="1115"/>
      <c r="NKF15" s="1115"/>
      <c r="NKG15" s="1115"/>
      <c r="NKH15" s="1115"/>
      <c r="NKI15" s="1115"/>
      <c r="NKJ15" s="1115"/>
      <c r="NKK15" s="1115"/>
      <c r="NKL15" s="1115"/>
      <c r="NKM15" s="1115"/>
      <c r="NKN15" s="1115"/>
      <c r="NKO15" s="1115"/>
      <c r="NKP15" s="1115"/>
      <c r="NKQ15" s="1115"/>
      <c r="NKR15" s="1115"/>
      <c r="NKS15" s="1115"/>
      <c r="NKT15" s="1115"/>
      <c r="NKU15" s="1115"/>
      <c r="NKV15" s="1115"/>
      <c r="NKW15" s="1115"/>
      <c r="NKX15" s="1115"/>
      <c r="NKY15" s="1115"/>
      <c r="NKZ15" s="1115"/>
      <c r="NLA15" s="1115"/>
      <c r="NLB15" s="1115"/>
      <c r="NLC15" s="1115"/>
      <c r="NLD15" s="1115"/>
      <c r="NLE15" s="1115"/>
      <c r="NLF15" s="1115"/>
      <c r="NLG15" s="1115"/>
      <c r="NLH15" s="1115"/>
      <c r="NLI15" s="1115"/>
      <c r="NLJ15" s="1115"/>
      <c r="NLK15" s="1115"/>
      <c r="NLL15" s="1115"/>
      <c r="NLM15" s="1115"/>
      <c r="NLN15" s="1115"/>
      <c r="NLO15" s="1115"/>
      <c r="NLP15" s="1115"/>
      <c r="NLQ15" s="1115"/>
      <c r="NLR15" s="1115"/>
      <c r="NLS15" s="1115"/>
      <c r="NLT15" s="1115"/>
      <c r="NLU15" s="1115"/>
      <c r="NLV15" s="1115"/>
      <c r="NLW15" s="1115"/>
      <c r="NLX15" s="1115"/>
      <c r="NLY15" s="1115"/>
      <c r="NLZ15" s="1115"/>
      <c r="NMA15" s="1115"/>
      <c r="NMB15" s="1115"/>
      <c r="NMC15" s="1115"/>
      <c r="NMD15" s="1115"/>
      <c r="NME15" s="1115"/>
      <c r="NMF15" s="1115"/>
      <c r="NMG15" s="1115"/>
      <c r="NMH15" s="1115"/>
      <c r="NMI15" s="1115"/>
      <c r="NMJ15" s="1115"/>
      <c r="NMK15" s="1115"/>
      <c r="NML15" s="1115"/>
      <c r="NMM15" s="1115"/>
      <c r="NMN15" s="1115"/>
      <c r="NMO15" s="1115"/>
      <c r="NMP15" s="1115"/>
      <c r="NMQ15" s="1115"/>
      <c r="NMR15" s="1115"/>
      <c r="NMS15" s="1115"/>
      <c r="NMT15" s="1115"/>
      <c r="NMU15" s="1115"/>
      <c r="NMV15" s="1115"/>
      <c r="NMW15" s="1115"/>
      <c r="NMX15" s="1115"/>
      <c r="NMY15" s="1115"/>
      <c r="NMZ15" s="1115"/>
      <c r="NNA15" s="1115"/>
      <c r="NNB15" s="1115"/>
      <c r="NNC15" s="1115"/>
      <c r="NND15" s="1115"/>
      <c r="NNE15" s="1115"/>
      <c r="NNF15" s="1115"/>
      <c r="NNG15" s="1115"/>
      <c r="NNH15" s="1115"/>
      <c r="NNI15" s="1115"/>
      <c r="NNJ15" s="1115"/>
      <c r="NNK15" s="1115"/>
      <c r="NNL15" s="1115"/>
      <c r="NNM15" s="1115"/>
      <c r="NNN15" s="1115"/>
      <c r="NNO15" s="1115"/>
      <c r="NNP15" s="1115"/>
      <c r="NNQ15" s="1115"/>
      <c r="NNR15" s="1115"/>
      <c r="NNS15" s="1115"/>
      <c r="NNT15" s="1115"/>
      <c r="NNU15" s="1115"/>
      <c r="NNV15" s="1115"/>
      <c r="NNW15" s="1115"/>
      <c r="NNX15" s="1115"/>
      <c r="NNY15" s="1115"/>
      <c r="NNZ15" s="1115"/>
      <c r="NOA15" s="1115"/>
      <c r="NOB15" s="1115"/>
      <c r="NOC15" s="1115"/>
      <c r="NOD15" s="1115"/>
      <c r="NOE15" s="1115"/>
      <c r="NOF15" s="1115"/>
      <c r="NOG15" s="1115"/>
      <c r="NOH15" s="1115"/>
      <c r="NOI15" s="1115"/>
      <c r="NOJ15" s="1115"/>
      <c r="NOK15" s="1115"/>
      <c r="NOL15" s="1115"/>
      <c r="NOM15" s="1115"/>
      <c r="NON15" s="1115"/>
      <c r="NOO15" s="1115"/>
      <c r="NOP15" s="1115"/>
      <c r="NOQ15" s="1115"/>
      <c r="NOR15" s="1115"/>
      <c r="NOS15" s="1115"/>
      <c r="NOT15" s="1115"/>
      <c r="NOU15" s="1115"/>
      <c r="NOV15" s="1115"/>
      <c r="NOW15" s="1115"/>
      <c r="NOX15" s="1115"/>
      <c r="NOY15" s="1115"/>
      <c r="NOZ15" s="1115"/>
      <c r="NPA15" s="1115"/>
      <c r="NPB15" s="1115"/>
      <c r="NPC15" s="1115"/>
      <c r="NPD15" s="1115"/>
      <c r="NPE15" s="1115"/>
      <c r="NPF15" s="1115"/>
      <c r="NPG15" s="1115"/>
      <c r="NPH15" s="1115"/>
      <c r="NPI15" s="1115"/>
      <c r="NPJ15" s="1115"/>
      <c r="NPK15" s="1115"/>
      <c r="NPL15" s="1115"/>
      <c r="NPM15" s="1115"/>
      <c r="NPN15" s="1115"/>
      <c r="NPO15" s="1115"/>
      <c r="NPP15" s="1115"/>
      <c r="NPQ15" s="1115"/>
      <c r="NPR15" s="1115"/>
      <c r="NPS15" s="1115"/>
      <c r="NPT15" s="1115"/>
      <c r="NPU15" s="1115"/>
      <c r="NPV15" s="1115"/>
      <c r="NPW15" s="1115"/>
      <c r="NPX15" s="1115"/>
      <c r="NPY15" s="1115"/>
      <c r="NPZ15" s="1115"/>
      <c r="NQA15" s="1115"/>
      <c r="NQB15" s="1115"/>
      <c r="NQC15" s="1115"/>
      <c r="NQD15" s="1115"/>
      <c r="NQE15" s="1115"/>
      <c r="NQF15" s="1115"/>
      <c r="NQG15" s="1115"/>
      <c r="NQH15" s="1115"/>
      <c r="NQI15" s="1115"/>
      <c r="NQJ15" s="1115"/>
      <c r="NQK15" s="1115"/>
      <c r="NQL15" s="1115"/>
      <c r="NQM15" s="1115"/>
      <c r="NQN15" s="1115"/>
      <c r="NQO15" s="1115"/>
      <c r="NQP15" s="1115"/>
      <c r="NQQ15" s="1115"/>
      <c r="NQR15" s="1115"/>
      <c r="NQS15" s="1115"/>
      <c r="NQT15" s="1115"/>
      <c r="NQU15" s="1115"/>
      <c r="NQV15" s="1115"/>
      <c r="NQW15" s="1115"/>
      <c r="NQX15" s="1115"/>
      <c r="NQY15" s="1115"/>
      <c r="NQZ15" s="1115"/>
      <c r="NRA15" s="1115"/>
      <c r="NRB15" s="1115"/>
      <c r="NRC15" s="1115"/>
      <c r="NRD15" s="1115"/>
      <c r="NRE15" s="1115"/>
      <c r="NRF15" s="1115"/>
      <c r="NRG15" s="1115"/>
      <c r="NRH15" s="1115"/>
      <c r="NRI15" s="1115"/>
      <c r="NRJ15" s="1115"/>
      <c r="NRK15" s="1115"/>
      <c r="NRL15" s="1115"/>
      <c r="NRM15" s="1115"/>
      <c r="NRN15" s="1115"/>
      <c r="NRO15" s="1115"/>
      <c r="NRP15" s="1115"/>
      <c r="NRQ15" s="1115"/>
      <c r="NRR15" s="1115"/>
      <c r="NRS15" s="1115"/>
      <c r="NRT15" s="1115"/>
      <c r="NRU15" s="1115"/>
      <c r="NRV15" s="1115"/>
      <c r="NRW15" s="1115"/>
      <c r="NRX15" s="1115"/>
      <c r="NRY15" s="1115"/>
      <c r="NRZ15" s="1115"/>
      <c r="NSA15" s="1115"/>
      <c r="NSB15" s="1115"/>
      <c r="NSC15" s="1115"/>
      <c r="NSD15" s="1115"/>
      <c r="NSE15" s="1115"/>
      <c r="NSF15" s="1115"/>
      <c r="NSG15" s="1115"/>
      <c r="NSH15" s="1115"/>
      <c r="NSI15" s="1115"/>
      <c r="NSJ15" s="1115"/>
      <c r="NSK15" s="1115"/>
      <c r="NSL15" s="1115"/>
      <c r="NSM15" s="1115"/>
      <c r="NSN15" s="1115"/>
      <c r="NSO15" s="1115"/>
      <c r="NSP15" s="1115"/>
      <c r="NSQ15" s="1115"/>
      <c r="NSR15" s="1115"/>
      <c r="NSS15" s="1115"/>
      <c r="NST15" s="1115"/>
      <c r="NSU15" s="1115"/>
      <c r="NSV15" s="1115"/>
      <c r="NSW15" s="1115"/>
      <c r="NSX15" s="1115"/>
      <c r="NSY15" s="1115"/>
      <c r="NSZ15" s="1115"/>
      <c r="NTA15" s="1115"/>
      <c r="NTB15" s="1115"/>
      <c r="NTC15" s="1115"/>
      <c r="NTD15" s="1115"/>
      <c r="NTE15" s="1115"/>
      <c r="NTF15" s="1115"/>
      <c r="NTG15" s="1115"/>
      <c r="NTH15" s="1115"/>
      <c r="NTI15" s="1115"/>
      <c r="NTJ15" s="1115"/>
      <c r="NTK15" s="1115"/>
      <c r="NTL15" s="1115"/>
      <c r="NTM15" s="1115"/>
      <c r="NTN15" s="1115"/>
      <c r="NTO15" s="1115"/>
      <c r="NTP15" s="1115"/>
      <c r="NTQ15" s="1115"/>
      <c r="NTR15" s="1115"/>
      <c r="NTS15" s="1115"/>
      <c r="NTT15" s="1115"/>
      <c r="NTU15" s="1115"/>
      <c r="NTV15" s="1115"/>
      <c r="NTW15" s="1115"/>
      <c r="NTX15" s="1115"/>
      <c r="NTY15" s="1115"/>
      <c r="NTZ15" s="1115"/>
      <c r="NUA15" s="1115"/>
      <c r="NUB15" s="1115"/>
      <c r="NUC15" s="1115"/>
      <c r="NUD15" s="1115"/>
      <c r="NUE15" s="1115"/>
      <c r="NUF15" s="1115"/>
      <c r="NUG15" s="1115"/>
      <c r="NUH15" s="1115"/>
      <c r="NUI15" s="1115"/>
      <c r="NUJ15" s="1115"/>
      <c r="NUK15" s="1115"/>
      <c r="NUL15" s="1115"/>
      <c r="NUM15" s="1115"/>
      <c r="NUN15" s="1115"/>
      <c r="NUO15" s="1115"/>
      <c r="NUP15" s="1115"/>
      <c r="NUQ15" s="1115"/>
      <c r="NUR15" s="1115"/>
      <c r="NUS15" s="1115"/>
      <c r="NUT15" s="1115"/>
      <c r="NUU15" s="1115"/>
      <c r="NUV15" s="1115"/>
      <c r="NUW15" s="1115"/>
      <c r="NUX15" s="1115"/>
      <c r="NUY15" s="1115"/>
      <c r="NUZ15" s="1115"/>
      <c r="NVA15" s="1115"/>
      <c r="NVB15" s="1115"/>
      <c r="NVC15" s="1115"/>
      <c r="NVD15" s="1115"/>
      <c r="NVE15" s="1115"/>
      <c r="NVF15" s="1115"/>
      <c r="NVG15" s="1115"/>
      <c r="NVH15" s="1115"/>
      <c r="NVI15" s="1115"/>
      <c r="NVJ15" s="1115"/>
      <c r="NVK15" s="1115"/>
      <c r="NVL15" s="1115"/>
      <c r="NVM15" s="1115"/>
      <c r="NVN15" s="1115"/>
      <c r="NVO15" s="1115"/>
      <c r="NVP15" s="1115"/>
      <c r="NVQ15" s="1115"/>
      <c r="NVR15" s="1115"/>
      <c r="NVS15" s="1115"/>
      <c r="NVT15" s="1115"/>
      <c r="NVU15" s="1115"/>
      <c r="NVV15" s="1115"/>
      <c r="NVW15" s="1115"/>
      <c r="NVX15" s="1115"/>
      <c r="NVY15" s="1115"/>
      <c r="NVZ15" s="1115"/>
      <c r="NWA15" s="1115"/>
      <c r="NWB15" s="1115"/>
      <c r="NWC15" s="1115"/>
      <c r="NWD15" s="1115"/>
      <c r="NWE15" s="1115"/>
      <c r="NWF15" s="1115"/>
      <c r="NWG15" s="1115"/>
      <c r="NWH15" s="1115"/>
      <c r="NWI15" s="1115"/>
      <c r="NWJ15" s="1115"/>
      <c r="NWK15" s="1115"/>
      <c r="NWL15" s="1115"/>
      <c r="NWM15" s="1115"/>
      <c r="NWN15" s="1115"/>
      <c r="NWO15" s="1115"/>
      <c r="NWP15" s="1115"/>
      <c r="NWQ15" s="1115"/>
      <c r="NWR15" s="1115"/>
      <c r="NWS15" s="1115"/>
      <c r="NWT15" s="1115"/>
      <c r="NWU15" s="1115"/>
      <c r="NWV15" s="1115"/>
      <c r="NWW15" s="1115"/>
      <c r="NWX15" s="1115"/>
      <c r="NWY15" s="1115"/>
      <c r="NWZ15" s="1115"/>
      <c r="NXA15" s="1115"/>
      <c r="NXB15" s="1115"/>
      <c r="NXC15" s="1115"/>
      <c r="NXD15" s="1115"/>
      <c r="NXE15" s="1115"/>
      <c r="NXF15" s="1115"/>
      <c r="NXG15" s="1115"/>
      <c r="NXH15" s="1115"/>
      <c r="NXI15" s="1115"/>
      <c r="NXJ15" s="1115"/>
      <c r="NXK15" s="1115"/>
      <c r="NXL15" s="1115"/>
      <c r="NXM15" s="1115"/>
      <c r="NXN15" s="1115"/>
      <c r="NXO15" s="1115"/>
      <c r="NXP15" s="1115"/>
      <c r="NXQ15" s="1115"/>
      <c r="NXR15" s="1115"/>
      <c r="NXS15" s="1115"/>
      <c r="NXT15" s="1115"/>
      <c r="NXU15" s="1115"/>
      <c r="NXV15" s="1115"/>
      <c r="NXW15" s="1115"/>
      <c r="NXX15" s="1115"/>
      <c r="NXY15" s="1115"/>
      <c r="NXZ15" s="1115"/>
      <c r="NYA15" s="1115"/>
      <c r="NYB15" s="1115"/>
      <c r="NYC15" s="1115"/>
      <c r="NYD15" s="1115"/>
      <c r="NYE15" s="1115"/>
      <c r="NYF15" s="1115"/>
      <c r="NYG15" s="1115"/>
      <c r="NYH15" s="1115"/>
      <c r="NYI15" s="1115"/>
      <c r="NYJ15" s="1115"/>
      <c r="NYK15" s="1115"/>
      <c r="NYL15" s="1115"/>
      <c r="NYM15" s="1115"/>
      <c r="NYN15" s="1115"/>
      <c r="NYO15" s="1115"/>
      <c r="NYP15" s="1115"/>
      <c r="NYQ15" s="1115"/>
      <c r="NYR15" s="1115"/>
      <c r="NYS15" s="1115"/>
      <c r="NYT15" s="1115"/>
      <c r="NYU15" s="1115"/>
      <c r="NYV15" s="1115"/>
      <c r="NYW15" s="1115"/>
      <c r="NYX15" s="1115"/>
      <c r="NYY15" s="1115"/>
      <c r="NYZ15" s="1115"/>
      <c r="NZA15" s="1115"/>
      <c r="NZB15" s="1115"/>
      <c r="NZC15" s="1115"/>
      <c r="NZD15" s="1115"/>
      <c r="NZE15" s="1115"/>
      <c r="NZF15" s="1115"/>
      <c r="NZG15" s="1115"/>
      <c r="NZH15" s="1115"/>
      <c r="NZI15" s="1115"/>
      <c r="NZJ15" s="1115"/>
      <c r="NZK15" s="1115"/>
      <c r="NZL15" s="1115"/>
      <c r="NZM15" s="1115"/>
      <c r="NZN15" s="1115"/>
      <c r="NZO15" s="1115"/>
      <c r="NZP15" s="1115"/>
      <c r="NZQ15" s="1115"/>
      <c r="NZR15" s="1115"/>
      <c r="NZS15" s="1115"/>
      <c r="NZT15" s="1115"/>
      <c r="NZU15" s="1115"/>
      <c r="NZV15" s="1115"/>
      <c r="NZW15" s="1115"/>
      <c r="NZX15" s="1115"/>
      <c r="NZY15" s="1115"/>
      <c r="NZZ15" s="1115"/>
      <c r="OAA15" s="1115"/>
      <c r="OAB15" s="1115"/>
      <c r="OAC15" s="1115"/>
      <c r="OAD15" s="1115"/>
      <c r="OAE15" s="1115"/>
      <c r="OAF15" s="1115"/>
      <c r="OAG15" s="1115"/>
      <c r="OAH15" s="1115"/>
      <c r="OAI15" s="1115"/>
      <c r="OAJ15" s="1115"/>
      <c r="OAK15" s="1115"/>
      <c r="OAL15" s="1115"/>
      <c r="OAM15" s="1115"/>
      <c r="OAN15" s="1115"/>
      <c r="OAO15" s="1115"/>
      <c r="OAP15" s="1115"/>
      <c r="OAQ15" s="1115"/>
      <c r="OAR15" s="1115"/>
      <c r="OAS15" s="1115"/>
      <c r="OAT15" s="1115"/>
      <c r="OAU15" s="1115"/>
      <c r="OAV15" s="1115"/>
      <c r="OAW15" s="1115"/>
      <c r="OAX15" s="1115"/>
      <c r="OAY15" s="1115"/>
      <c r="OAZ15" s="1115"/>
      <c r="OBA15" s="1115"/>
      <c r="OBB15" s="1115"/>
      <c r="OBC15" s="1115"/>
      <c r="OBD15" s="1115"/>
      <c r="OBE15" s="1115"/>
      <c r="OBF15" s="1115"/>
      <c r="OBG15" s="1115"/>
      <c r="OBH15" s="1115"/>
      <c r="OBI15" s="1115"/>
      <c r="OBJ15" s="1115"/>
      <c r="OBK15" s="1115"/>
      <c r="OBL15" s="1115"/>
      <c r="OBM15" s="1115"/>
      <c r="OBN15" s="1115"/>
      <c r="OBO15" s="1115"/>
      <c r="OBP15" s="1115"/>
      <c r="OBQ15" s="1115"/>
      <c r="OBR15" s="1115"/>
      <c r="OBS15" s="1115"/>
      <c r="OBT15" s="1115"/>
      <c r="OBU15" s="1115"/>
      <c r="OBV15" s="1115"/>
      <c r="OBW15" s="1115"/>
      <c r="OBX15" s="1115"/>
      <c r="OBY15" s="1115"/>
      <c r="OBZ15" s="1115"/>
      <c r="OCA15" s="1115"/>
      <c r="OCB15" s="1115"/>
      <c r="OCC15" s="1115"/>
      <c r="OCD15" s="1115"/>
      <c r="OCE15" s="1115"/>
      <c r="OCF15" s="1115"/>
      <c r="OCG15" s="1115"/>
      <c r="OCH15" s="1115"/>
      <c r="OCI15" s="1115"/>
      <c r="OCJ15" s="1115"/>
      <c r="OCK15" s="1115"/>
      <c r="OCL15" s="1115"/>
      <c r="OCM15" s="1115"/>
      <c r="OCN15" s="1115"/>
      <c r="OCO15" s="1115"/>
      <c r="OCP15" s="1115"/>
      <c r="OCQ15" s="1115"/>
      <c r="OCR15" s="1115"/>
      <c r="OCS15" s="1115"/>
      <c r="OCT15" s="1115"/>
      <c r="OCU15" s="1115"/>
      <c r="OCV15" s="1115"/>
      <c r="OCW15" s="1115"/>
      <c r="OCX15" s="1115"/>
      <c r="OCY15" s="1115"/>
      <c r="OCZ15" s="1115"/>
      <c r="ODA15" s="1115"/>
      <c r="ODB15" s="1115"/>
      <c r="ODC15" s="1115"/>
      <c r="ODD15" s="1115"/>
      <c r="ODE15" s="1115"/>
      <c r="ODF15" s="1115"/>
      <c r="ODG15" s="1115"/>
      <c r="ODH15" s="1115"/>
      <c r="ODI15" s="1115"/>
      <c r="ODJ15" s="1115"/>
      <c r="ODK15" s="1115"/>
      <c r="ODL15" s="1115"/>
      <c r="ODM15" s="1115"/>
      <c r="ODN15" s="1115"/>
      <c r="ODO15" s="1115"/>
      <c r="ODP15" s="1115"/>
      <c r="ODQ15" s="1115"/>
      <c r="ODR15" s="1115"/>
      <c r="ODS15" s="1115"/>
      <c r="ODT15" s="1115"/>
      <c r="ODU15" s="1115"/>
      <c r="ODV15" s="1115"/>
      <c r="ODW15" s="1115"/>
      <c r="ODX15" s="1115"/>
      <c r="ODY15" s="1115"/>
      <c r="ODZ15" s="1115"/>
      <c r="OEA15" s="1115"/>
      <c r="OEB15" s="1115"/>
      <c r="OEC15" s="1115"/>
      <c r="OED15" s="1115"/>
      <c r="OEE15" s="1115"/>
      <c r="OEF15" s="1115"/>
      <c r="OEG15" s="1115"/>
      <c r="OEH15" s="1115"/>
      <c r="OEI15" s="1115"/>
      <c r="OEJ15" s="1115"/>
      <c r="OEK15" s="1115"/>
      <c r="OEL15" s="1115"/>
      <c r="OEM15" s="1115"/>
      <c r="OEN15" s="1115"/>
      <c r="OEO15" s="1115"/>
      <c r="OEP15" s="1115"/>
      <c r="OEQ15" s="1115"/>
      <c r="OER15" s="1115"/>
      <c r="OES15" s="1115"/>
      <c r="OET15" s="1115"/>
      <c r="OEU15" s="1115"/>
      <c r="OEV15" s="1115"/>
      <c r="OEW15" s="1115"/>
      <c r="OEX15" s="1115"/>
      <c r="OEY15" s="1115"/>
      <c r="OEZ15" s="1115"/>
      <c r="OFA15" s="1115"/>
      <c r="OFB15" s="1115"/>
      <c r="OFC15" s="1115"/>
      <c r="OFD15" s="1115"/>
      <c r="OFE15" s="1115"/>
      <c r="OFF15" s="1115"/>
      <c r="OFG15" s="1115"/>
      <c r="OFH15" s="1115"/>
      <c r="OFI15" s="1115"/>
      <c r="OFJ15" s="1115"/>
      <c r="OFK15" s="1115"/>
      <c r="OFL15" s="1115"/>
      <c r="OFM15" s="1115"/>
      <c r="OFN15" s="1115"/>
      <c r="OFO15" s="1115"/>
      <c r="OFP15" s="1115"/>
      <c r="OFQ15" s="1115"/>
      <c r="OFR15" s="1115"/>
      <c r="OFS15" s="1115"/>
      <c r="OFT15" s="1115"/>
      <c r="OFU15" s="1115"/>
      <c r="OFV15" s="1115"/>
      <c r="OFW15" s="1115"/>
      <c r="OFX15" s="1115"/>
      <c r="OFY15" s="1115"/>
      <c r="OFZ15" s="1115"/>
      <c r="OGA15" s="1115"/>
      <c r="OGB15" s="1115"/>
      <c r="OGC15" s="1115"/>
      <c r="OGD15" s="1115"/>
      <c r="OGE15" s="1115"/>
      <c r="OGF15" s="1115"/>
      <c r="OGG15" s="1115"/>
      <c r="OGH15" s="1115"/>
      <c r="OGI15" s="1115"/>
      <c r="OGJ15" s="1115"/>
      <c r="OGK15" s="1115"/>
      <c r="OGL15" s="1115"/>
      <c r="OGM15" s="1115"/>
      <c r="OGN15" s="1115"/>
      <c r="OGO15" s="1115"/>
      <c r="OGP15" s="1115"/>
      <c r="OGQ15" s="1115"/>
      <c r="OGR15" s="1115"/>
      <c r="OGS15" s="1115"/>
      <c r="OGT15" s="1115"/>
      <c r="OGU15" s="1115"/>
      <c r="OGV15" s="1115"/>
      <c r="OGW15" s="1115"/>
      <c r="OGX15" s="1115"/>
      <c r="OGY15" s="1115"/>
      <c r="OGZ15" s="1115"/>
      <c r="OHA15" s="1115"/>
      <c r="OHB15" s="1115"/>
      <c r="OHC15" s="1115"/>
      <c r="OHD15" s="1115"/>
      <c r="OHE15" s="1115"/>
      <c r="OHF15" s="1115"/>
      <c r="OHG15" s="1115"/>
      <c r="OHH15" s="1115"/>
      <c r="OHI15" s="1115"/>
      <c r="OHJ15" s="1115"/>
      <c r="OHK15" s="1115"/>
      <c r="OHL15" s="1115"/>
      <c r="OHM15" s="1115"/>
      <c r="OHN15" s="1115"/>
      <c r="OHO15" s="1115"/>
      <c r="OHP15" s="1115"/>
      <c r="OHQ15" s="1115"/>
      <c r="OHR15" s="1115"/>
      <c r="OHS15" s="1115"/>
      <c r="OHT15" s="1115"/>
      <c r="OHU15" s="1115"/>
      <c r="OHV15" s="1115"/>
      <c r="OHW15" s="1115"/>
      <c r="OHX15" s="1115"/>
      <c r="OHY15" s="1115"/>
      <c r="OHZ15" s="1115"/>
      <c r="OIA15" s="1115"/>
      <c r="OIB15" s="1115"/>
      <c r="OIC15" s="1115"/>
      <c r="OID15" s="1115"/>
      <c r="OIE15" s="1115"/>
      <c r="OIF15" s="1115"/>
      <c r="OIG15" s="1115"/>
      <c r="OIH15" s="1115"/>
      <c r="OII15" s="1115"/>
      <c r="OIJ15" s="1115"/>
      <c r="OIK15" s="1115"/>
      <c r="OIL15" s="1115"/>
      <c r="OIM15" s="1115"/>
      <c r="OIN15" s="1115"/>
      <c r="OIO15" s="1115"/>
      <c r="OIP15" s="1115"/>
      <c r="OIQ15" s="1115"/>
      <c r="OIR15" s="1115"/>
      <c r="OIS15" s="1115"/>
      <c r="OIT15" s="1115"/>
      <c r="OIU15" s="1115"/>
      <c r="OIV15" s="1115"/>
      <c r="OIW15" s="1115"/>
      <c r="OIX15" s="1115"/>
      <c r="OIY15" s="1115"/>
      <c r="OIZ15" s="1115"/>
      <c r="OJA15" s="1115"/>
      <c r="OJB15" s="1115"/>
      <c r="OJC15" s="1115"/>
      <c r="OJD15" s="1115"/>
      <c r="OJE15" s="1115"/>
      <c r="OJF15" s="1115"/>
      <c r="OJG15" s="1115"/>
      <c r="OJH15" s="1115"/>
      <c r="OJI15" s="1115"/>
      <c r="OJJ15" s="1115"/>
      <c r="OJK15" s="1115"/>
      <c r="OJL15" s="1115"/>
      <c r="OJM15" s="1115"/>
      <c r="OJN15" s="1115"/>
      <c r="OJO15" s="1115"/>
      <c r="OJP15" s="1115"/>
      <c r="OJQ15" s="1115"/>
      <c r="OJR15" s="1115"/>
      <c r="OJS15" s="1115"/>
      <c r="OJT15" s="1115"/>
      <c r="OJU15" s="1115"/>
      <c r="OJV15" s="1115"/>
      <c r="OJW15" s="1115"/>
      <c r="OJX15" s="1115"/>
      <c r="OJY15" s="1115"/>
      <c r="OJZ15" s="1115"/>
      <c r="OKA15" s="1115"/>
      <c r="OKB15" s="1115"/>
      <c r="OKC15" s="1115"/>
      <c r="OKD15" s="1115"/>
      <c r="OKE15" s="1115"/>
      <c r="OKF15" s="1115"/>
      <c r="OKG15" s="1115"/>
      <c r="OKH15" s="1115"/>
      <c r="OKI15" s="1115"/>
      <c r="OKJ15" s="1115"/>
      <c r="OKK15" s="1115"/>
      <c r="OKL15" s="1115"/>
      <c r="OKM15" s="1115"/>
      <c r="OKN15" s="1115"/>
      <c r="OKO15" s="1115"/>
      <c r="OKP15" s="1115"/>
      <c r="OKQ15" s="1115"/>
      <c r="OKR15" s="1115"/>
      <c r="OKS15" s="1115"/>
      <c r="OKT15" s="1115"/>
      <c r="OKU15" s="1115"/>
      <c r="OKV15" s="1115"/>
      <c r="OKW15" s="1115"/>
      <c r="OKX15" s="1115"/>
      <c r="OKY15" s="1115"/>
      <c r="OKZ15" s="1115"/>
      <c r="OLA15" s="1115"/>
      <c r="OLB15" s="1115"/>
      <c r="OLC15" s="1115"/>
      <c r="OLD15" s="1115"/>
      <c r="OLE15" s="1115"/>
      <c r="OLF15" s="1115"/>
      <c r="OLG15" s="1115"/>
      <c r="OLH15" s="1115"/>
      <c r="OLI15" s="1115"/>
      <c r="OLJ15" s="1115"/>
      <c r="OLK15" s="1115"/>
      <c r="OLL15" s="1115"/>
      <c r="OLM15" s="1115"/>
      <c r="OLN15" s="1115"/>
      <c r="OLO15" s="1115"/>
      <c r="OLP15" s="1115"/>
      <c r="OLQ15" s="1115"/>
      <c r="OLR15" s="1115"/>
      <c r="OLS15" s="1115"/>
      <c r="OLT15" s="1115"/>
      <c r="OLU15" s="1115"/>
      <c r="OLV15" s="1115"/>
      <c r="OLW15" s="1115"/>
      <c r="OLX15" s="1115"/>
      <c r="OLY15" s="1115"/>
      <c r="OLZ15" s="1115"/>
      <c r="OMA15" s="1115"/>
      <c r="OMB15" s="1115"/>
      <c r="OMC15" s="1115"/>
      <c r="OMD15" s="1115"/>
      <c r="OME15" s="1115"/>
      <c r="OMF15" s="1115"/>
      <c r="OMG15" s="1115"/>
      <c r="OMH15" s="1115"/>
      <c r="OMI15" s="1115"/>
      <c r="OMJ15" s="1115"/>
      <c r="OMK15" s="1115"/>
      <c r="OML15" s="1115"/>
      <c r="OMM15" s="1115"/>
      <c r="OMN15" s="1115"/>
      <c r="OMO15" s="1115"/>
      <c r="OMP15" s="1115"/>
      <c r="OMQ15" s="1115"/>
      <c r="OMR15" s="1115"/>
      <c r="OMS15" s="1115"/>
      <c r="OMT15" s="1115"/>
      <c r="OMU15" s="1115"/>
      <c r="OMV15" s="1115"/>
      <c r="OMW15" s="1115"/>
      <c r="OMX15" s="1115"/>
      <c r="OMY15" s="1115"/>
      <c r="OMZ15" s="1115"/>
      <c r="ONA15" s="1115"/>
      <c r="ONB15" s="1115"/>
      <c r="ONC15" s="1115"/>
      <c r="OND15" s="1115"/>
      <c r="ONE15" s="1115"/>
      <c r="ONF15" s="1115"/>
      <c r="ONG15" s="1115"/>
      <c r="ONH15" s="1115"/>
      <c r="ONI15" s="1115"/>
      <c r="ONJ15" s="1115"/>
      <c r="ONK15" s="1115"/>
      <c r="ONL15" s="1115"/>
      <c r="ONM15" s="1115"/>
      <c r="ONN15" s="1115"/>
      <c r="ONO15" s="1115"/>
      <c r="ONP15" s="1115"/>
      <c r="ONQ15" s="1115"/>
      <c r="ONR15" s="1115"/>
      <c r="ONS15" s="1115"/>
      <c r="ONT15" s="1115"/>
      <c r="ONU15" s="1115"/>
      <c r="ONV15" s="1115"/>
      <c r="ONW15" s="1115"/>
      <c r="ONX15" s="1115"/>
      <c r="ONY15" s="1115"/>
      <c r="ONZ15" s="1115"/>
      <c r="OOA15" s="1115"/>
      <c r="OOB15" s="1115"/>
      <c r="OOC15" s="1115"/>
      <c r="OOD15" s="1115"/>
      <c r="OOE15" s="1115"/>
      <c r="OOF15" s="1115"/>
      <c r="OOG15" s="1115"/>
      <c r="OOH15" s="1115"/>
      <c r="OOI15" s="1115"/>
      <c r="OOJ15" s="1115"/>
      <c r="OOK15" s="1115"/>
      <c r="OOL15" s="1115"/>
      <c r="OOM15" s="1115"/>
      <c r="OON15" s="1115"/>
      <c r="OOO15" s="1115"/>
      <c r="OOP15" s="1115"/>
      <c r="OOQ15" s="1115"/>
      <c r="OOR15" s="1115"/>
      <c r="OOS15" s="1115"/>
      <c r="OOT15" s="1115"/>
      <c r="OOU15" s="1115"/>
      <c r="OOV15" s="1115"/>
      <c r="OOW15" s="1115"/>
      <c r="OOX15" s="1115"/>
      <c r="OOY15" s="1115"/>
      <c r="OOZ15" s="1115"/>
      <c r="OPA15" s="1115"/>
      <c r="OPB15" s="1115"/>
      <c r="OPC15" s="1115"/>
      <c r="OPD15" s="1115"/>
      <c r="OPE15" s="1115"/>
      <c r="OPF15" s="1115"/>
      <c r="OPG15" s="1115"/>
      <c r="OPH15" s="1115"/>
      <c r="OPI15" s="1115"/>
      <c r="OPJ15" s="1115"/>
      <c r="OPK15" s="1115"/>
      <c r="OPL15" s="1115"/>
      <c r="OPM15" s="1115"/>
      <c r="OPN15" s="1115"/>
      <c r="OPO15" s="1115"/>
      <c r="OPP15" s="1115"/>
      <c r="OPQ15" s="1115"/>
      <c r="OPR15" s="1115"/>
      <c r="OPS15" s="1115"/>
      <c r="OPT15" s="1115"/>
      <c r="OPU15" s="1115"/>
      <c r="OPV15" s="1115"/>
      <c r="OPW15" s="1115"/>
      <c r="OPX15" s="1115"/>
      <c r="OPY15" s="1115"/>
      <c r="OPZ15" s="1115"/>
      <c r="OQA15" s="1115"/>
      <c r="OQB15" s="1115"/>
      <c r="OQC15" s="1115"/>
      <c r="OQD15" s="1115"/>
      <c r="OQE15" s="1115"/>
      <c r="OQF15" s="1115"/>
      <c r="OQG15" s="1115"/>
      <c r="OQH15" s="1115"/>
      <c r="OQI15" s="1115"/>
      <c r="OQJ15" s="1115"/>
      <c r="OQK15" s="1115"/>
      <c r="OQL15" s="1115"/>
      <c r="OQM15" s="1115"/>
      <c r="OQN15" s="1115"/>
      <c r="OQO15" s="1115"/>
      <c r="OQP15" s="1115"/>
      <c r="OQQ15" s="1115"/>
      <c r="OQR15" s="1115"/>
      <c r="OQS15" s="1115"/>
      <c r="OQT15" s="1115"/>
      <c r="OQU15" s="1115"/>
      <c r="OQV15" s="1115"/>
      <c r="OQW15" s="1115"/>
      <c r="OQX15" s="1115"/>
      <c r="OQY15" s="1115"/>
      <c r="OQZ15" s="1115"/>
      <c r="ORA15" s="1115"/>
      <c r="ORB15" s="1115"/>
      <c r="ORC15" s="1115"/>
      <c r="ORD15" s="1115"/>
      <c r="ORE15" s="1115"/>
      <c r="ORF15" s="1115"/>
      <c r="ORG15" s="1115"/>
      <c r="ORH15" s="1115"/>
      <c r="ORI15" s="1115"/>
      <c r="ORJ15" s="1115"/>
      <c r="ORK15" s="1115"/>
      <c r="ORL15" s="1115"/>
      <c r="ORM15" s="1115"/>
      <c r="ORN15" s="1115"/>
      <c r="ORO15" s="1115"/>
      <c r="ORP15" s="1115"/>
      <c r="ORQ15" s="1115"/>
      <c r="ORR15" s="1115"/>
      <c r="ORS15" s="1115"/>
      <c r="ORT15" s="1115"/>
      <c r="ORU15" s="1115"/>
      <c r="ORV15" s="1115"/>
      <c r="ORW15" s="1115"/>
      <c r="ORX15" s="1115"/>
      <c r="ORY15" s="1115"/>
      <c r="ORZ15" s="1115"/>
      <c r="OSA15" s="1115"/>
      <c r="OSB15" s="1115"/>
      <c r="OSC15" s="1115"/>
      <c r="OSD15" s="1115"/>
      <c r="OSE15" s="1115"/>
      <c r="OSF15" s="1115"/>
      <c r="OSG15" s="1115"/>
      <c r="OSH15" s="1115"/>
      <c r="OSI15" s="1115"/>
      <c r="OSJ15" s="1115"/>
      <c r="OSK15" s="1115"/>
      <c r="OSL15" s="1115"/>
      <c r="OSM15" s="1115"/>
      <c r="OSN15" s="1115"/>
      <c r="OSO15" s="1115"/>
      <c r="OSP15" s="1115"/>
      <c r="OSQ15" s="1115"/>
      <c r="OSR15" s="1115"/>
      <c r="OSS15" s="1115"/>
      <c r="OST15" s="1115"/>
      <c r="OSU15" s="1115"/>
      <c r="OSV15" s="1115"/>
      <c r="OSW15" s="1115"/>
      <c r="OSX15" s="1115"/>
      <c r="OSY15" s="1115"/>
      <c r="OSZ15" s="1115"/>
      <c r="OTA15" s="1115"/>
      <c r="OTB15" s="1115"/>
      <c r="OTC15" s="1115"/>
      <c r="OTD15" s="1115"/>
      <c r="OTE15" s="1115"/>
      <c r="OTF15" s="1115"/>
      <c r="OTG15" s="1115"/>
      <c r="OTH15" s="1115"/>
      <c r="OTI15" s="1115"/>
      <c r="OTJ15" s="1115"/>
      <c r="OTK15" s="1115"/>
      <c r="OTL15" s="1115"/>
      <c r="OTM15" s="1115"/>
      <c r="OTN15" s="1115"/>
      <c r="OTO15" s="1115"/>
      <c r="OTP15" s="1115"/>
      <c r="OTQ15" s="1115"/>
      <c r="OTR15" s="1115"/>
      <c r="OTS15" s="1115"/>
      <c r="OTT15" s="1115"/>
      <c r="OTU15" s="1115"/>
      <c r="OTV15" s="1115"/>
      <c r="OTW15" s="1115"/>
      <c r="OTX15" s="1115"/>
      <c r="OTY15" s="1115"/>
      <c r="OTZ15" s="1115"/>
      <c r="OUA15" s="1115"/>
      <c r="OUB15" s="1115"/>
      <c r="OUC15" s="1115"/>
      <c r="OUD15" s="1115"/>
      <c r="OUE15" s="1115"/>
      <c r="OUF15" s="1115"/>
      <c r="OUG15" s="1115"/>
      <c r="OUH15" s="1115"/>
      <c r="OUI15" s="1115"/>
      <c r="OUJ15" s="1115"/>
      <c r="OUK15" s="1115"/>
      <c r="OUL15" s="1115"/>
      <c r="OUM15" s="1115"/>
      <c r="OUN15" s="1115"/>
      <c r="OUO15" s="1115"/>
      <c r="OUP15" s="1115"/>
      <c r="OUQ15" s="1115"/>
      <c r="OUR15" s="1115"/>
      <c r="OUS15" s="1115"/>
      <c r="OUT15" s="1115"/>
      <c r="OUU15" s="1115"/>
      <c r="OUV15" s="1115"/>
      <c r="OUW15" s="1115"/>
      <c r="OUX15" s="1115"/>
      <c r="OUY15" s="1115"/>
      <c r="OUZ15" s="1115"/>
      <c r="OVA15" s="1115"/>
      <c r="OVB15" s="1115"/>
      <c r="OVC15" s="1115"/>
      <c r="OVD15" s="1115"/>
      <c r="OVE15" s="1115"/>
      <c r="OVF15" s="1115"/>
      <c r="OVG15" s="1115"/>
      <c r="OVH15" s="1115"/>
      <c r="OVI15" s="1115"/>
      <c r="OVJ15" s="1115"/>
      <c r="OVK15" s="1115"/>
      <c r="OVL15" s="1115"/>
      <c r="OVM15" s="1115"/>
      <c r="OVN15" s="1115"/>
      <c r="OVO15" s="1115"/>
      <c r="OVP15" s="1115"/>
      <c r="OVQ15" s="1115"/>
      <c r="OVR15" s="1115"/>
      <c r="OVS15" s="1115"/>
      <c r="OVT15" s="1115"/>
      <c r="OVU15" s="1115"/>
      <c r="OVV15" s="1115"/>
      <c r="OVW15" s="1115"/>
      <c r="OVX15" s="1115"/>
      <c r="OVY15" s="1115"/>
      <c r="OVZ15" s="1115"/>
      <c r="OWA15" s="1115"/>
      <c r="OWB15" s="1115"/>
      <c r="OWC15" s="1115"/>
      <c r="OWD15" s="1115"/>
      <c r="OWE15" s="1115"/>
      <c r="OWF15" s="1115"/>
      <c r="OWG15" s="1115"/>
      <c r="OWH15" s="1115"/>
      <c r="OWI15" s="1115"/>
      <c r="OWJ15" s="1115"/>
      <c r="OWK15" s="1115"/>
      <c r="OWL15" s="1115"/>
      <c r="OWM15" s="1115"/>
      <c r="OWN15" s="1115"/>
      <c r="OWO15" s="1115"/>
      <c r="OWP15" s="1115"/>
      <c r="OWQ15" s="1115"/>
      <c r="OWR15" s="1115"/>
      <c r="OWS15" s="1115"/>
      <c r="OWT15" s="1115"/>
      <c r="OWU15" s="1115"/>
      <c r="OWV15" s="1115"/>
      <c r="OWW15" s="1115"/>
      <c r="OWX15" s="1115"/>
      <c r="OWY15" s="1115"/>
      <c r="OWZ15" s="1115"/>
      <c r="OXA15" s="1115"/>
      <c r="OXB15" s="1115"/>
      <c r="OXC15" s="1115"/>
      <c r="OXD15" s="1115"/>
      <c r="OXE15" s="1115"/>
      <c r="OXF15" s="1115"/>
      <c r="OXG15" s="1115"/>
      <c r="OXH15" s="1115"/>
      <c r="OXI15" s="1115"/>
      <c r="OXJ15" s="1115"/>
      <c r="OXK15" s="1115"/>
      <c r="OXL15" s="1115"/>
      <c r="OXM15" s="1115"/>
      <c r="OXN15" s="1115"/>
      <c r="OXO15" s="1115"/>
      <c r="OXP15" s="1115"/>
      <c r="OXQ15" s="1115"/>
      <c r="OXR15" s="1115"/>
      <c r="OXS15" s="1115"/>
      <c r="OXT15" s="1115"/>
      <c r="OXU15" s="1115"/>
      <c r="OXV15" s="1115"/>
      <c r="OXW15" s="1115"/>
      <c r="OXX15" s="1115"/>
      <c r="OXY15" s="1115"/>
      <c r="OXZ15" s="1115"/>
      <c r="OYA15" s="1115"/>
      <c r="OYB15" s="1115"/>
      <c r="OYC15" s="1115"/>
      <c r="OYD15" s="1115"/>
      <c r="OYE15" s="1115"/>
      <c r="OYF15" s="1115"/>
      <c r="OYG15" s="1115"/>
      <c r="OYH15" s="1115"/>
      <c r="OYI15" s="1115"/>
      <c r="OYJ15" s="1115"/>
      <c r="OYK15" s="1115"/>
      <c r="OYL15" s="1115"/>
      <c r="OYM15" s="1115"/>
      <c r="OYN15" s="1115"/>
      <c r="OYO15" s="1115"/>
      <c r="OYP15" s="1115"/>
      <c r="OYQ15" s="1115"/>
      <c r="OYR15" s="1115"/>
      <c r="OYS15" s="1115"/>
      <c r="OYT15" s="1115"/>
      <c r="OYU15" s="1115"/>
      <c r="OYV15" s="1115"/>
      <c r="OYW15" s="1115"/>
      <c r="OYX15" s="1115"/>
      <c r="OYY15" s="1115"/>
      <c r="OYZ15" s="1115"/>
      <c r="OZA15" s="1115"/>
      <c r="OZB15" s="1115"/>
      <c r="OZC15" s="1115"/>
      <c r="OZD15" s="1115"/>
      <c r="OZE15" s="1115"/>
      <c r="OZF15" s="1115"/>
      <c r="OZG15" s="1115"/>
      <c r="OZH15" s="1115"/>
      <c r="OZI15" s="1115"/>
      <c r="OZJ15" s="1115"/>
      <c r="OZK15" s="1115"/>
      <c r="OZL15" s="1115"/>
      <c r="OZM15" s="1115"/>
      <c r="OZN15" s="1115"/>
      <c r="OZO15" s="1115"/>
      <c r="OZP15" s="1115"/>
      <c r="OZQ15" s="1115"/>
      <c r="OZR15" s="1115"/>
      <c r="OZS15" s="1115"/>
      <c r="OZT15" s="1115"/>
      <c r="OZU15" s="1115"/>
      <c r="OZV15" s="1115"/>
      <c r="OZW15" s="1115"/>
      <c r="OZX15" s="1115"/>
      <c r="OZY15" s="1115"/>
      <c r="OZZ15" s="1115"/>
      <c r="PAA15" s="1115"/>
      <c r="PAB15" s="1115"/>
      <c r="PAC15" s="1115"/>
      <c r="PAD15" s="1115"/>
      <c r="PAE15" s="1115"/>
      <c r="PAF15" s="1115"/>
      <c r="PAG15" s="1115"/>
      <c r="PAH15" s="1115"/>
      <c r="PAI15" s="1115"/>
      <c r="PAJ15" s="1115"/>
      <c r="PAK15" s="1115"/>
      <c r="PAL15" s="1115"/>
      <c r="PAM15" s="1115"/>
      <c r="PAN15" s="1115"/>
      <c r="PAO15" s="1115"/>
      <c r="PAP15" s="1115"/>
      <c r="PAQ15" s="1115"/>
      <c r="PAR15" s="1115"/>
      <c r="PAS15" s="1115"/>
      <c r="PAT15" s="1115"/>
      <c r="PAU15" s="1115"/>
      <c r="PAV15" s="1115"/>
      <c r="PAW15" s="1115"/>
      <c r="PAX15" s="1115"/>
      <c r="PAY15" s="1115"/>
      <c r="PAZ15" s="1115"/>
      <c r="PBA15" s="1115"/>
      <c r="PBB15" s="1115"/>
      <c r="PBC15" s="1115"/>
      <c r="PBD15" s="1115"/>
      <c r="PBE15" s="1115"/>
      <c r="PBF15" s="1115"/>
      <c r="PBG15" s="1115"/>
      <c r="PBH15" s="1115"/>
      <c r="PBI15" s="1115"/>
      <c r="PBJ15" s="1115"/>
      <c r="PBK15" s="1115"/>
      <c r="PBL15" s="1115"/>
      <c r="PBM15" s="1115"/>
      <c r="PBN15" s="1115"/>
      <c r="PBO15" s="1115"/>
      <c r="PBP15" s="1115"/>
      <c r="PBQ15" s="1115"/>
      <c r="PBR15" s="1115"/>
      <c r="PBS15" s="1115"/>
      <c r="PBT15" s="1115"/>
      <c r="PBU15" s="1115"/>
      <c r="PBV15" s="1115"/>
      <c r="PBW15" s="1115"/>
      <c r="PBX15" s="1115"/>
      <c r="PBY15" s="1115"/>
      <c r="PBZ15" s="1115"/>
      <c r="PCA15" s="1115"/>
      <c r="PCB15" s="1115"/>
      <c r="PCC15" s="1115"/>
      <c r="PCD15" s="1115"/>
      <c r="PCE15" s="1115"/>
      <c r="PCF15" s="1115"/>
      <c r="PCG15" s="1115"/>
      <c r="PCH15" s="1115"/>
      <c r="PCI15" s="1115"/>
      <c r="PCJ15" s="1115"/>
      <c r="PCK15" s="1115"/>
      <c r="PCL15" s="1115"/>
      <c r="PCM15" s="1115"/>
      <c r="PCN15" s="1115"/>
      <c r="PCO15" s="1115"/>
      <c r="PCP15" s="1115"/>
      <c r="PCQ15" s="1115"/>
      <c r="PCR15" s="1115"/>
      <c r="PCS15" s="1115"/>
      <c r="PCT15" s="1115"/>
      <c r="PCU15" s="1115"/>
      <c r="PCV15" s="1115"/>
      <c r="PCW15" s="1115"/>
      <c r="PCX15" s="1115"/>
      <c r="PCY15" s="1115"/>
      <c r="PCZ15" s="1115"/>
      <c r="PDA15" s="1115"/>
      <c r="PDB15" s="1115"/>
      <c r="PDC15" s="1115"/>
      <c r="PDD15" s="1115"/>
      <c r="PDE15" s="1115"/>
      <c r="PDF15" s="1115"/>
      <c r="PDG15" s="1115"/>
      <c r="PDH15" s="1115"/>
      <c r="PDI15" s="1115"/>
      <c r="PDJ15" s="1115"/>
      <c r="PDK15" s="1115"/>
      <c r="PDL15" s="1115"/>
      <c r="PDM15" s="1115"/>
      <c r="PDN15" s="1115"/>
      <c r="PDO15" s="1115"/>
      <c r="PDP15" s="1115"/>
      <c r="PDQ15" s="1115"/>
      <c r="PDR15" s="1115"/>
      <c r="PDS15" s="1115"/>
      <c r="PDT15" s="1115"/>
      <c r="PDU15" s="1115"/>
      <c r="PDV15" s="1115"/>
      <c r="PDW15" s="1115"/>
      <c r="PDX15" s="1115"/>
      <c r="PDY15" s="1115"/>
      <c r="PDZ15" s="1115"/>
      <c r="PEA15" s="1115"/>
      <c r="PEB15" s="1115"/>
      <c r="PEC15" s="1115"/>
      <c r="PED15" s="1115"/>
      <c r="PEE15" s="1115"/>
      <c r="PEF15" s="1115"/>
      <c r="PEG15" s="1115"/>
      <c r="PEH15" s="1115"/>
      <c r="PEI15" s="1115"/>
      <c r="PEJ15" s="1115"/>
      <c r="PEK15" s="1115"/>
      <c r="PEL15" s="1115"/>
      <c r="PEM15" s="1115"/>
      <c r="PEN15" s="1115"/>
      <c r="PEO15" s="1115"/>
      <c r="PEP15" s="1115"/>
      <c r="PEQ15" s="1115"/>
      <c r="PER15" s="1115"/>
      <c r="PES15" s="1115"/>
      <c r="PET15" s="1115"/>
      <c r="PEU15" s="1115"/>
      <c r="PEV15" s="1115"/>
      <c r="PEW15" s="1115"/>
      <c r="PEX15" s="1115"/>
      <c r="PEY15" s="1115"/>
      <c r="PEZ15" s="1115"/>
      <c r="PFA15" s="1115"/>
      <c r="PFB15" s="1115"/>
      <c r="PFC15" s="1115"/>
      <c r="PFD15" s="1115"/>
      <c r="PFE15" s="1115"/>
      <c r="PFF15" s="1115"/>
      <c r="PFG15" s="1115"/>
      <c r="PFH15" s="1115"/>
      <c r="PFI15" s="1115"/>
      <c r="PFJ15" s="1115"/>
      <c r="PFK15" s="1115"/>
      <c r="PFL15" s="1115"/>
      <c r="PFM15" s="1115"/>
      <c r="PFN15" s="1115"/>
      <c r="PFO15" s="1115"/>
      <c r="PFP15" s="1115"/>
      <c r="PFQ15" s="1115"/>
      <c r="PFR15" s="1115"/>
      <c r="PFS15" s="1115"/>
      <c r="PFT15" s="1115"/>
      <c r="PFU15" s="1115"/>
      <c r="PFV15" s="1115"/>
      <c r="PFW15" s="1115"/>
      <c r="PFX15" s="1115"/>
      <c r="PFY15" s="1115"/>
      <c r="PFZ15" s="1115"/>
      <c r="PGA15" s="1115"/>
      <c r="PGB15" s="1115"/>
      <c r="PGC15" s="1115"/>
      <c r="PGD15" s="1115"/>
      <c r="PGE15" s="1115"/>
      <c r="PGF15" s="1115"/>
      <c r="PGG15" s="1115"/>
      <c r="PGH15" s="1115"/>
      <c r="PGI15" s="1115"/>
      <c r="PGJ15" s="1115"/>
      <c r="PGK15" s="1115"/>
      <c r="PGL15" s="1115"/>
      <c r="PGM15" s="1115"/>
      <c r="PGN15" s="1115"/>
      <c r="PGO15" s="1115"/>
      <c r="PGP15" s="1115"/>
      <c r="PGQ15" s="1115"/>
      <c r="PGR15" s="1115"/>
      <c r="PGS15" s="1115"/>
      <c r="PGT15" s="1115"/>
      <c r="PGU15" s="1115"/>
      <c r="PGV15" s="1115"/>
      <c r="PGW15" s="1115"/>
      <c r="PGX15" s="1115"/>
      <c r="PGY15" s="1115"/>
      <c r="PGZ15" s="1115"/>
      <c r="PHA15" s="1115"/>
      <c r="PHB15" s="1115"/>
      <c r="PHC15" s="1115"/>
      <c r="PHD15" s="1115"/>
      <c r="PHE15" s="1115"/>
      <c r="PHF15" s="1115"/>
      <c r="PHG15" s="1115"/>
      <c r="PHH15" s="1115"/>
      <c r="PHI15" s="1115"/>
      <c r="PHJ15" s="1115"/>
      <c r="PHK15" s="1115"/>
      <c r="PHL15" s="1115"/>
      <c r="PHM15" s="1115"/>
      <c r="PHN15" s="1115"/>
      <c r="PHO15" s="1115"/>
      <c r="PHP15" s="1115"/>
      <c r="PHQ15" s="1115"/>
      <c r="PHR15" s="1115"/>
      <c r="PHS15" s="1115"/>
      <c r="PHT15" s="1115"/>
      <c r="PHU15" s="1115"/>
      <c r="PHV15" s="1115"/>
      <c r="PHW15" s="1115"/>
      <c r="PHX15" s="1115"/>
      <c r="PHY15" s="1115"/>
      <c r="PHZ15" s="1115"/>
      <c r="PIA15" s="1115"/>
      <c r="PIB15" s="1115"/>
      <c r="PIC15" s="1115"/>
      <c r="PID15" s="1115"/>
      <c r="PIE15" s="1115"/>
      <c r="PIF15" s="1115"/>
      <c r="PIG15" s="1115"/>
      <c r="PIH15" s="1115"/>
      <c r="PII15" s="1115"/>
      <c r="PIJ15" s="1115"/>
      <c r="PIK15" s="1115"/>
      <c r="PIL15" s="1115"/>
      <c r="PIM15" s="1115"/>
      <c r="PIN15" s="1115"/>
      <c r="PIO15" s="1115"/>
      <c r="PIP15" s="1115"/>
      <c r="PIQ15" s="1115"/>
      <c r="PIR15" s="1115"/>
      <c r="PIS15" s="1115"/>
      <c r="PIT15" s="1115"/>
      <c r="PIU15" s="1115"/>
      <c r="PIV15" s="1115"/>
      <c r="PIW15" s="1115"/>
      <c r="PIX15" s="1115"/>
      <c r="PIY15" s="1115"/>
      <c r="PIZ15" s="1115"/>
      <c r="PJA15" s="1115"/>
      <c r="PJB15" s="1115"/>
      <c r="PJC15" s="1115"/>
      <c r="PJD15" s="1115"/>
      <c r="PJE15" s="1115"/>
      <c r="PJF15" s="1115"/>
      <c r="PJG15" s="1115"/>
      <c r="PJH15" s="1115"/>
      <c r="PJI15" s="1115"/>
      <c r="PJJ15" s="1115"/>
      <c r="PJK15" s="1115"/>
      <c r="PJL15" s="1115"/>
      <c r="PJM15" s="1115"/>
      <c r="PJN15" s="1115"/>
      <c r="PJO15" s="1115"/>
      <c r="PJP15" s="1115"/>
      <c r="PJQ15" s="1115"/>
      <c r="PJR15" s="1115"/>
      <c r="PJS15" s="1115"/>
      <c r="PJT15" s="1115"/>
      <c r="PJU15" s="1115"/>
      <c r="PJV15" s="1115"/>
      <c r="PJW15" s="1115"/>
      <c r="PJX15" s="1115"/>
      <c r="PJY15" s="1115"/>
      <c r="PJZ15" s="1115"/>
      <c r="PKA15" s="1115"/>
      <c r="PKB15" s="1115"/>
      <c r="PKC15" s="1115"/>
      <c r="PKD15" s="1115"/>
      <c r="PKE15" s="1115"/>
      <c r="PKF15" s="1115"/>
      <c r="PKG15" s="1115"/>
      <c r="PKH15" s="1115"/>
      <c r="PKI15" s="1115"/>
      <c r="PKJ15" s="1115"/>
      <c r="PKK15" s="1115"/>
      <c r="PKL15" s="1115"/>
      <c r="PKM15" s="1115"/>
      <c r="PKN15" s="1115"/>
      <c r="PKO15" s="1115"/>
      <c r="PKP15" s="1115"/>
      <c r="PKQ15" s="1115"/>
      <c r="PKR15" s="1115"/>
      <c r="PKS15" s="1115"/>
      <c r="PKT15" s="1115"/>
      <c r="PKU15" s="1115"/>
      <c r="PKV15" s="1115"/>
      <c r="PKW15" s="1115"/>
      <c r="PKX15" s="1115"/>
      <c r="PKY15" s="1115"/>
      <c r="PKZ15" s="1115"/>
      <c r="PLA15" s="1115"/>
      <c r="PLB15" s="1115"/>
      <c r="PLC15" s="1115"/>
      <c r="PLD15" s="1115"/>
      <c r="PLE15" s="1115"/>
      <c r="PLF15" s="1115"/>
      <c r="PLG15" s="1115"/>
      <c r="PLH15" s="1115"/>
      <c r="PLI15" s="1115"/>
      <c r="PLJ15" s="1115"/>
      <c r="PLK15" s="1115"/>
      <c r="PLL15" s="1115"/>
      <c r="PLM15" s="1115"/>
      <c r="PLN15" s="1115"/>
      <c r="PLO15" s="1115"/>
      <c r="PLP15" s="1115"/>
      <c r="PLQ15" s="1115"/>
      <c r="PLR15" s="1115"/>
      <c r="PLS15" s="1115"/>
      <c r="PLT15" s="1115"/>
      <c r="PLU15" s="1115"/>
      <c r="PLV15" s="1115"/>
      <c r="PLW15" s="1115"/>
      <c r="PLX15" s="1115"/>
      <c r="PLY15" s="1115"/>
      <c r="PLZ15" s="1115"/>
      <c r="PMA15" s="1115"/>
      <c r="PMB15" s="1115"/>
      <c r="PMC15" s="1115"/>
      <c r="PMD15" s="1115"/>
      <c r="PME15" s="1115"/>
      <c r="PMF15" s="1115"/>
      <c r="PMG15" s="1115"/>
      <c r="PMH15" s="1115"/>
      <c r="PMI15" s="1115"/>
      <c r="PMJ15" s="1115"/>
      <c r="PMK15" s="1115"/>
      <c r="PML15" s="1115"/>
      <c r="PMM15" s="1115"/>
      <c r="PMN15" s="1115"/>
      <c r="PMO15" s="1115"/>
      <c r="PMP15" s="1115"/>
      <c r="PMQ15" s="1115"/>
      <c r="PMR15" s="1115"/>
      <c r="PMS15" s="1115"/>
      <c r="PMT15" s="1115"/>
      <c r="PMU15" s="1115"/>
      <c r="PMV15" s="1115"/>
      <c r="PMW15" s="1115"/>
      <c r="PMX15" s="1115"/>
      <c r="PMY15" s="1115"/>
      <c r="PMZ15" s="1115"/>
      <c r="PNA15" s="1115"/>
      <c r="PNB15" s="1115"/>
      <c r="PNC15" s="1115"/>
      <c r="PND15" s="1115"/>
      <c r="PNE15" s="1115"/>
      <c r="PNF15" s="1115"/>
      <c r="PNG15" s="1115"/>
      <c r="PNH15" s="1115"/>
      <c r="PNI15" s="1115"/>
      <c r="PNJ15" s="1115"/>
      <c r="PNK15" s="1115"/>
      <c r="PNL15" s="1115"/>
      <c r="PNM15" s="1115"/>
      <c r="PNN15" s="1115"/>
      <c r="PNO15" s="1115"/>
      <c r="PNP15" s="1115"/>
      <c r="PNQ15" s="1115"/>
      <c r="PNR15" s="1115"/>
      <c r="PNS15" s="1115"/>
      <c r="PNT15" s="1115"/>
      <c r="PNU15" s="1115"/>
      <c r="PNV15" s="1115"/>
      <c r="PNW15" s="1115"/>
      <c r="PNX15" s="1115"/>
      <c r="PNY15" s="1115"/>
      <c r="PNZ15" s="1115"/>
      <c r="POA15" s="1115"/>
      <c r="POB15" s="1115"/>
      <c r="POC15" s="1115"/>
      <c r="POD15" s="1115"/>
      <c r="POE15" s="1115"/>
      <c r="POF15" s="1115"/>
      <c r="POG15" s="1115"/>
      <c r="POH15" s="1115"/>
      <c r="POI15" s="1115"/>
      <c r="POJ15" s="1115"/>
      <c r="POK15" s="1115"/>
      <c r="POL15" s="1115"/>
      <c r="POM15" s="1115"/>
      <c r="PON15" s="1115"/>
      <c r="POO15" s="1115"/>
      <c r="POP15" s="1115"/>
      <c r="POQ15" s="1115"/>
      <c r="POR15" s="1115"/>
      <c r="POS15" s="1115"/>
      <c r="POT15" s="1115"/>
      <c r="POU15" s="1115"/>
      <c r="POV15" s="1115"/>
      <c r="POW15" s="1115"/>
      <c r="POX15" s="1115"/>
      <c r="POY15" s="1115"/>
      <c r="POZ15" s="1115"/>
      <c r="PPA15" s="1115"/>
      <c r="PPB15" s="1115"/>
      <c r="PPC15" s="1115"/>
      <c r="PPD15" s="1115"/>
      <c r="PPE15" s="1115"/>
      <c r="PPF15" s="1115"/>
      <c r="PPG15" s="1115"/>
      <c r="PPH15" s="1115"/>
      <c r="PPI15" s="1115"/>
      <c r="PPJ15" s="1115"/>
      <c r="PPK15" s="1115"/>
      <c r="PPL15" s="1115"/>
      <c r="PPM15" s="1115"/>
      <c r="PPN15" s="1115"/>
      <c r="PPO15" s="1115"/>
      <c r="PPP15" s="1115"/>
      <c r="PPQ15" s="1115"/>
      <c r="PPR15" s="1115"/>
      <c r="PPS15" s="1115"/>
      <c r="PPT15" s="1115"/>
      <c r="PPU15" s="1115"/>
      <c r="PPV15" s="1115"/>
      <c r="PPW15" s="1115"/>
      <c r="PPX15" s="1115"/>
      <c r="PPY15" s="1115"/>
      <c r="PPZ15" s="1115"/>
      <c r="PQA15" s="1115"/>
      <c r="PQB15" s="1115"/>
      <c r="PQC15" s="1115"/>
      <c r="PQD15" s="1115"/>
      <c r="PQE15" s="1115"/>
      <c r="PQF15" s="1115"/>
      <c r="PQG15" s="1115"/>
      <c r="PQH15" s="1115"/>
      <c r="PQI15" s="1115"/>
      <c r="PQJ15" s="1115"/>
      <c r="PQK15" s="1115"/>
      <c r="PQL15" s="1115"/>
      <c r="PQM15" s="1115"/>
      <c r="PQN15" s="1115"/>
      <c r="PQO15" s="1115"/>
      <c r="PQP15" s="1115"/>
      <c r="PQQ15" s="1115"/>
      <c r="PQR15" s="1115"/>
      <c r="PQS15" s="1115"/>
      <c r="PQT15" s="1115"/>
      <c r="PQU15" s="1115"/>
      <c r="PQV15" s="1115"/>
      <c r="PQW15" s="1115"/>
      <c r="PQX15" s="1115"/>
      <c r="PQY15" s="1115"/>
      <c r="PQZ15" s="1115"/>
      <c r="PRA15" s="1115"/>
      <c r="PRB15" s="1115"/>
      <c r="PRC15" s="1115"/>
      <c r="PRD15" s="1115"/>
      <c r="PRE15" s="1115"/>
      <c r="PRF15" s="1115"/>
      <c r="PRG15" s="1115"/>
      <c r="PRH15" s="1115"/>
      <c r="PRI15" s="1115"/>
      <c r="PRJ15" s="1115"/>
      <c r="PRK15" s="1115"/>
      <c r="PRL15" s="1115"/>
      <c r="PRM15" s="1115"/>
      <c r="PRN15" s="1115"/>
      <c r="PRO15" s="1115"/>
      <c r="PRP15" s="1115"/>
      <c r="PRQ15" s="1115"/>
      <c r="PRR15" s="1115"/>
      <c r="PRS15" s="1115"/>
      <c r="PRT15" s="1115"/>
      <c r="PRU15" s="1115"/>
      <c r="PRV15" s="1115"/>
      <c r="PRW15" s="1115"/>
      <c r="PRX15" s="1115"/>
      <c r="PRY15" s="1115"/>
      <c r="PRZ15" s="1115"/>
      <c r="PSA15" s="1115"/>
      <c r="PSB15" s="1115"/>
      <c r="PSC15" s="1115"/>
      <c r="PSD15" s="1115"/>
      <c r="PSE15" s="1115"/>
      <c r="PSF15" s="1115"/>
      <c r="PSG15" s="1115"/>
      <c r="PSH15" s="1115"/>
      <c r="PSI15" s="1115"/>
      <c r="PSJ15" s="1115"/>
      <c r="PSK15" s="1115"/>
      <c r="PSL15" s="1115"/>
      <c r="PSM15" s="1115"/>
      <c r="PSN15" s="1115"/>
      <c r="PSO15" s="1115"/>
      <c r="PSP15" s="1115"/>
      <c r="PSQ15" s="1115"/>
      <c r="PSR15" s="1115"/>
      <c r="PSS15" s="1115"/>
      <c r="PST15" s="1115"/>
      <c r="PSU15" s="1115"/>
      <c r="PSV15" s="1115"/>
      <c r="PSW15" s="1115"/>
      <c r="PSX15" s="1115"/>
      <c r="PSY15" s="1115"/>
      <c r="PSZ15" s="1115"/>
      <c r="PTA15" s="1115"/>
      <c r="PTB15" s="1115"/>
      <c r="PTC15" s="1115"/>
      <c r="PTD15" s="1115"/>
      <c r="PTE15" s="1115"/>
      <c r="PTF15" s="1115"/>
      <c r="PTG15" s="1115"/>
      <c r="PTH15" s="1115"/>
      <c r="PTI15" s="1115"/>
      <c r="PTJ15" s="1115"/>
      <c r="PTK15" s="1115"/>
      <c r="PTL15" s="1115"/>
      <c r="PTM15" s="1115"/>
      <c r="PTN15" s="1115"/>
      <c r="PTO15" s="1115"/>
      <c r="PTP15" s="1115"/>
      <c r="PTQ15" s="1115"/>
      <c r="PTR15" s="1115"/>
      <c r="PTS15" s="1115"/>
      <c r="PTT15" s="1115"/>
      <c r="PTU15" s="1115"/>
      <c r="PTV15" s="1115"/>
      <c r="PTW15" s="1115"/>
      <c r="PTX15" s="1115"/>
      <c r="PTY15" s="1115"/>
      <c r="PTZ15" s="1115"/>
      <c r="PUA15" s="1115"/>
      <c r="PUB15" s="1115"/>
      <c r="PUC15" s="1115"/>
      <c r="PUD15" s="1115"/>
      <c r="PUE15" s="1115"/>
      <c r="PUF15" s="1115"/>
      <c r="PUG15" s="1115"/>
      <c r="PUH15" s="1115"/>
      <c r="PUI15" s="1115"/>
      <c r="PUJ15" s="1115"/>
      <c r="PUK15" s="1115"/>
      <c r="PUL15" s="1115"/>
      <c r="PUM15" s="1115"/>
      <c r="PUN15" s="1115"/>
      <c r="PUO15" s="1115"/>
      <c r="PUP15" s="1115"/>
      <c r="PUQ15" s="1115"/>
      <c r="PUR15" s="1115"/>
      <c r="PUS15" s="1115"/>
      <c r="PUT15" s="1115"/>
      <c r="PUU15" s="1115"/>
      <c r="PUV15" s="1115"/>
      <c r="PUW15" s="1115"/>
      <c r="PUX15" s="1115"/>
      <c r="PUY15" s="1115"/>
      <c r="PUZ15" s="1115"/>
      <c r="PVA15" s="1115"/>
      <c r="PVB15" s="1115"/>
      <c r="PVC15" s="1115"/>
      <c r="PVD15" s="1115"/>
      <c r="PVE15" s="1115"/>
      <c r="PVF15" s="1115"/>
      <c r="PVG15" s="1115"/>
      <c r="PVH15" s="1115"/>
      <c r="PVI15" s="1115"/>
      <c r="PVJ15" s="1115"/>
      <c r="PVK15" s="1115"/>
      <c r="PVL15" s="1115"/>
      <c r="PVM15" s="1115"/>
      <c r="PVN15" s="1115"/>
      <c r="PVO15" s="1115"/>
      <c r="PVP15" s="1115"/>
      <c r="PVQ15" s="1115"/>
      <c r="PVR15" s="1115"/>
      <c r="PVS15" s="1115"/>
      <c r="PVT15" s="1115"/>
      <c r="PVU15" s="1115"/>
      <c r="PVV15" s="1115"/>
      <c r="PVW15" s="1115"/>
      <c r="PVX15" s="1115"/>
      <c r="PVY15" s="1115"/>
      <c r="PVZ15" s="1115"/>
      <c r="PWA15" s="1115"/>
      <c r="PWB15" s="1115"/>
      <c r="PWC15" s="1115"/>
      <c r="PWD15" s="1115"/>
      <c r="PWE15" s="1115"/>
      <c r="PWF15" s="1115"/>
      <c r="PWG15" s="1115"/>
      <c r="PWH15" s="1115"/>
      <c r="PWI15" s="1115"/>
      <c r="PWJ15" s="1115"/>
      <c r="PWK15" s="1115"/>
      <c r="PWL15" s="1115"/>
      <c r="PWM15" s="1115"/>
      <c r="PWN15" s="1115"/>
      <c r="PWO15" s="1115"/>
      <c r="PWP15" s="1115"/>
      <c r="PWQ15" s="1115"/>
      <c r="PWR15" s="1115"/>
      <c r="PWS15" s="1115"/>
      <c r="PWT15" s="1115"/>
      <c r="PWU15" s="1115"/>
      <c r="PWV15" s="1115"/>
      <c r="PWW15" s="1115"/>
      <c r="PWX15" s="1115"/>
      <c r="PWY15" s="1115"/>
      <c r="PWZ15" s="1115"/>
      <c r="PXA15" s="1115"/>
      <c r="PXB15" s="1115"/>
      <c r="PXC15" s="1115"/>
      <c r="PXD15" s="1115"/>
      <c r="PXE15" s="1115"/>
      <c r="PXF15" s="1115"/>
      <c r="PXG15" s="1115"/>
      <c r="PXH15" s="1115"/>
      <c r="PXI15" s="1115"/>
      <c r="PXJ15" s="1115"/>
      <c r="PXK15" s="1115"/>
      <c r="PXL15" s="1115"/>
      <c r="PXM15" s="1115"/>
      <c r="PXN15" s="1115"/>
      <c r="PXO15" s="1115"/>
      <c r="PXP15" s="1115"/>
      <c r="PXQ15" s="1115"/>
      <c r="PXR15" s="1115"/>
      <c r="PXS15" s="1115"/>
      <c r="PXT15" s="1115"/>
      <c r="PXU15" s="1115"/>
      <c r="PXV15" s="1115"/>
      <c r="PXW15" s="1115"/>
      <c r="PXX15" s="1115"/>
      <c r="PXY15" s="1115"/>
      <c r="PXZ15" s="1115"/>
      <c r="PYA15" s="1115"/>
      <c r="PYB15" s="1115"/>
      <c r="PYC15" s="1115"/>
      <c r="PYD15" s="1115"/>
      <c r="PYE15" s="1115"/>
      <c r="PYF15" s="1115"/>
      <c r="PYG15" s="1115"/>
      <c r="PYH15" s="1115"/>
      <c r="PYI15" s="1115"/>
      <c r="PYJ15" s="1115"/>
      <c r="PYK15" s="1115"/>
      <c r="PYL15" s="1115"/>
      <c r="PYM15" s="1115"/>
      <c r="PYN15" s="1115"/>
      <c r="PYO15" s="1115"/>
      <c r="PYP15" s="1115"/>
      <c r="PYQ15" s="1115"/>
      <c r="PYR15" s="1115"/>
      <c r="PYS15" s="1115"/>
      <c r="PYT15" s="1115"/>
      <c r="PYU15" s="1115"/>
      <c r="PYV15" s="1115"/>
      <c r="PYW15" s="1115"/>
      <c r="PYX15" s="1115"/>
      <c r="PYY15" s="1115"/>
      <c r="PYZ15" s="1115"/>
      <c r="PZA15" s="1115"/>
      <c r="PZB15" s="1115"/>
      <c r="PZC15" s="1115"/>
      <c r="PZD15" s="1115"/>
      <c r="PZE15" s="1115"/>
      <c r="PZF15" s="1115"/>
      <c r="PZG15" s="1115"/>
      <c r="PZH15" s="1115"/>
      <c r="PZI15" s="1115"/>
      <c r="PZJ15" s="1115"/>
      <c r="PZK15" s="1115"/>
      <c r="PZL15" s="1115"/>
      <c r="PZM15" s="1115"/>
      <c r="PZN15" s="1115"/>
      <c r="PZO15" s="1115"/>
      <c r="PZP15" s="1115"/>
      <c r="PZQ15" s="1115"/>
      <c r="PZR15" s="1115"/>
      <c r="PZS15" s="1115"/>
      <c r="PZT15" s="1115"/>
      <c r="PZU15" s="1115"/>
      <c r="PZV15" s="1115"/>
      <c r="PZW15" s="1115"/>
      <c r="PZX15" s="1115"/>
      <c r="PZY15" s="1115"/>
      <c r="PZZ15" s="1115"/>
      <c r="QAA15" s="1115"/>
      <c r="QAB15" s="1115"/>
      <c r="QAC15" s="1115"/>
      <c r="QAD15" s="1115"/>
      <c r="QAE15" s="1115"/>
      <c r="QAF15" s="1115"/>
      <c r="QAG15" s="1115"/>
      <c r="QAH15" s="1115"/>
      <c r="QAI15" s="1115"/>
      <c r="QAJ15" s="1115"/>
      <c r="QAK15" s="1115"/>
      <c r="QAL15" s="1115"/>
      <c r="QAM15" s="1115"/>
      <c r="QAN15" s="1115"/>
      <c r="QAO15" s="1115"/>
      <c r="QAP15" s="1115"/>
      <c r="QAQ15" s="1115"/>
      <c r="QAR15" s="1115"/>
      <c r="QAS15" s="1115"/>
      <c r="QAT15" s="1115"/>
      <c r="QAU15" s="1115"/>
      <c r="QAV15" s="1115"/>
      <c r="QAW15" s="1115"/>
      <c r="QAX15" s="1115"/>
      <c r="QAY15" s="1115"/>
      <c r="QAZ15" s="1115"/>
      <c r="QBA15" s="1115"/>
      <c r="QBB15" s="1115"/>
      <c r="QBC15" s="1115"/>
      <c r="QBD15" s="1115"/>
      <c r="QBE15" s="1115"/>
      <c r="QBF15" s="1115"/>
      <c r="QBG15" s="1115"/>
      <c r="QBH15" s="1115"/>
      <c r="QBI15" s="1115"/>
      <c r="QBJ15" s="1115"/>
      <c r="QBK15" s="1115"/>
      <c r="QBL15" s="1115"/>
      <c r="QBM15" s="1115"/>
      <c r="QBN15" s="1115"/>
      <c r="QBO15" s="1115"/>
      <c r="QBP15" s="1115"/>
      <c r="QBQ15" s="1115"/>
      <c r="QBR15" s="1115"/>
      <c r="QBS15" s="1115"/>
      <c r="QBT15" s="1115"/>
      <c r="QBU15" s="1115"/>
      <c r="QBV15" s="1115"/>
      <c r="QBW15" s="1115"/>
      <c r="QBX15" s="1115"/>
      <c r="QBY15" s="1115"/>
      <c r="QBZ15" s="1115"/>
      <c r="QCA15" s="1115"/>
      <c r="QCB15" s="1115"/>
      <c r="QCC15" s="1115"/>
      <c r="QCD15" s="1115"/>
      <c r="QCE15" s="1115"/>
      <c r="QCF15" s="1115"/>
      <c r="QCG15" s="1115"/>
      <c r="QCH15" s="1115"/>
      <c r="QCI15" s="1115"/>
      <c r="QCJ15" s="1115"/>
      <c r="QCK15" s="1115"/>
      <c r="QCL15" s="1115"/>
      <c r="QCM15" s="1115"/>
      <c r="QCN15" s="1115"/>
      <c r="QCO15" s="1115"/>
      <c r="QCP15" s="1115"/>
      <c r="QCQ15" s="1115"/>
      <c r="QCR15" s="1115"/>
      <c r="QCS15" s="1115"/>
      <c r="QCT15" s="1115"/>
      <c r="QCU15" s="1115"/>
      <c r="QCV15" s="1115"/>
      <c r="QCW15" s="1115"/>
      <c r="QCX15" s="1115"/>
      <c r="QCY15" s="1115"/>
      <c r="QCZ15" s="1115"/>
      <c r="QDA15" s="1115"/>
      <c r="QDB15" s="1115"/>
      <c r="QDC15" s="1115"/>
      <c r="QDD15" s="1115"/>
      <c r="QDE15" s="1115"/>
      <c r="QDF15" s="1115"/>
      <c r="QDG15" s="1115"/>
      <c r="QDH15" s="1115"/>
      <c r="QDI15" s="1115"/>
      <c r="QDJ15" s="1115"/>
      <c r="QDK15" s="1115"/>
      <c r="QDL15" s="1115"/>
      <c r="QDM15" s="1115"/>
      <c r="QDN15" s="1115"/>
      <c r="QDO15" s="1115"/>
      <c r="QDP15" s="1115"/>
      <c r="QDQ15" s="1115"/>
      <c r="QDR15" s="1115"/>
      <c r="QDS15" s="1115"/>
      <c r="QDT15" s="1115"/>
      <c r="QDU15" s="1115"/>
      <c r="QDV15" s="1115"/>
      <c r="QDW15" s="1115"/>
      <c r="QDX15" s="1115"/>
      <c r="QDY15" s="1115"/>
      <c r="QDZ15" s="1115"/>
      <c r="QEA15" s="1115"/>
      <c r="QEB15" s="1115"/>
      <c r="QEC15" s="1115"/>
      <c r="QED15" s="1115"/>
      <c r="QEE15" s="1115"/>
      <c r="QEF15" s="1115"/>
      <c r="QEG15" s="1115"/>
      <c r="QEH15" s="1115"/>
      <c r="QEI15" s="1115"/>
      <c r="QEJ15" s="1115"/>
      <c r="QEK15" s="1115"/>
      <c r="QEL15" s="1115"/>
      <c r="QEM15" s="1115"/>
      <c r="QEN15" s="1115"/>
      <c r="QEO15" s="1115"/>
      <c r="QEP15" s="1115"/>
      <c r="QEQ15" s="1115"/>
      <c r="QER15" s="1115"/>
      <c r="QES15" s="1115"/>
      <c r="QET15" s="1115"/>
      <c r="QEU15" s="1115"/>
      <c r="QEV15" s="1115"/>
      <c r="QEW15" s="1115"/>
      <c r="QEX15" s="1115"/>
      <c r="QEY15" s="1115"/>
      <c r="QEZ15" s="1115"/>
      <c r="QFA15" s="1115"/>
      <c r="QFB15" s="1115"/>
      <c r="QFC15" s="1115"/>
      <c r="QFD15" s="1115"/>
      <c r="QFE15" s="1115"/>
      <c r="QFF15" s="1115"/>
      <c r="QFG15" s="1115"/>
      <c r="QFH15" s="1115"/>
      <c r="QFI15" s="1115"/>
      <c r="QFJ15" s="1115"/>
      <c r="QFK15" s="1115"/>
      <c r="QFL15" s="1115"/>
      <c r="QFM15" s="1115"/>
      <c r="QFN15" s="1115"/>
      <c r="QFO15" s="1115"/>
      <c r="QFP15" s="1115"/>
      <c r="QFQ15" s="1115"/>
      <c r="QFR15" s="1115"/>
      <c r="QFS15" s="1115"/>
      <c r="QFT15" s="1115"/>
      <c r="QFU15" s="1115"/>
      <c r="QFV15" s="1115"/>
      <c r="QFW15" s="1115"/>
      <c r="QFX15" s="1115"/>
      <c r="QFY15" s="1115"/>
      <c r="QFZ15" s="1115"/>
      <c r="QGA15" s="1115"/>
      <c r="QGB15" s="1115"/>
      <c r="QGC15" s="1115"/>
      <c r="QGD15" s="1115"/>
      <c r="QGE15" s="1115"/>
      <c r="QGF15" s="1115"/>
      <c r="QGG15" s="1115"/>
      <c r="QGH15" s="1115"/>
      <c r="QGI15" s="1115"/>
      <c r="QGJ15" s="1115"/>
      <c r="QGK15" s="1115"/>
      <c r="QGL15" s="1115"/>
      <c r="QGM15" s="1115"/>
      <c r="QGN15" s="1115"/>
      <c r="QGO15" s="1115"/>
      <c r="QGP15" s="1115"/>
      <c r="QGQ15" s="1115"/>
      <c r="QGR15" s="1115"/>
      <c r="QGS15" s="1115"/>
      <c r="QGT15" s="1115"/>
      <c r="QGU15" s="1115"/>
      <c r="QGV15" s="1115"/>
      <c r="QGW15" s="1115"/>
      <c r="QGX15" s="1115"/>
      <c r="QGY15" s="1115"/>
      <c r="QGZ15" s="1115"/>
      <c r="QHA15" s="1115"/>
      <c r="QHB15" s="1115"/>
      <c r="QHC15" s="1115"/>
      <c r="QHD15" s="1115"/>
      <c r="QHE15" s="1115"/>
      <c r="QHF15" s="1115"/>
      <c r="QHG15" s="1115"/>
      <c r="QHH15" s="1115"/>
      <c r="QHI15" s="1115"/>
      <c r="QHJ15" s="1115"/>
      <c r="QHK15" s="1115"/>
      <c r="QHL15" s="1115"/>
      <c r="QHM15" s="1115"/>
      <c r="QHN15" s="1115"/>
      <c r="QHO15" s="1115"/>
      <c r="QHP15" s="1115"/>
      <c r="QHQ15" s="1115"/>
      <c r="QHR15" s="1115"/>
      <c r="QHS15" s="1115"/>
      <c r="QHT15" s="1115"/>
      <c r="QHU15" s="1115"/>
      <c r="QHV15" s="1115"/>
      <c r="QHW15" s="1115"/>
      <c r="QHX15" s="1115"/>
      <c r="QHY15" s="1115"/>
      <c r="QHZ15" s="1115"/>
      <c r="QIA15" s="1115"/>
      <c r="QIB15" s="1115"/>
      <c r="QIC15" s="1115"/>
      <c r="QID15" s="1115"/>
      <c r="QIE15" s="1115"/>
      <c r="QIF15" s="1115"/>
      <c r="QIG15" s="1115"/>
      <c r="QIH15" s="1115"/>
      <c r="QII15" s="1115"/>
      <c r="QIJ15" s="1115"/>
      <c r="QIK15" s="1115"/>
      <c r="QIL15" s="1115"/>
      <c r="QIM15" s="1115"/>
      <c r="QIN15" s="1115"/>
      <c r="QIO15" s="1115"/>
      <c r="QIP15" s="1115"/>
      <c r="QIQ15" s="1115"/>
      <c r="QIR15" s="1115"/>
      <c r="QIS15" s="1115"/>
      <c r="QIT15" s="1115"/>
      <c r="QIU15" s="1115"/>
      <c r="QIV15" s="1115"/>
      <c r="QIW15" s="1115"/>
      <c r="QIX15" s="1115"/>
      <c r="QIY15" s="1115"/>
      <c r="QIZ15" s="1115"/>
      <c r="QJA15" s="1115"/>
      <c r="QJB15" s="1115"/>
      <c r="QJC15" s="1115"/>
      <c r="QJD15" s="1115"/>
      <c r="QJE15" s="1115"/>
      <c r="QJF15" s="1115"/>
      <c r="QJG15" s="1115"/>
      <c r="QJH15" s="1115"/>
      <c r="QJI15" s="1115"/>
      <c r="QJJ15" s="1115"/>
      <c r="QJK15" s="1115"/>
      <c r="QJL15" s="1115"/>
      <c r="QJM15" s="1115"/>
      <c r="QJN15" s="1115"/>
      <c r="QJO15" s="1115"/>
      <c r="QJP15" s="1115"/>
      <c r="QJQ15" s="1115"/>
      <c r="QJR15" s="1115"/>
      <c r="QJS15" s="1115"/>
      <c r="QJT15" s="1115"/>
      <c r="QJU15" s="1115"/>
      <c r="QJV15" s="1115"/>
      <c r="QJW15" s="1115"/>
      <c r="QJX15" s="1115"/>
      <c r="QJY15" s="1115"/>
      <c r="QJZ15" s="1115"/>
      <c r="QKA15" s="1115"/>
      <c r="QKB15" s="1115"/>
      <c r="QKC15" s="1115"/>
      <c r="QKD15" s="1115"/>
      <c r="QKE15" s="1115"/>
      <c r="QKF15" s="1115"/>
      <c r="QKG15" s="1115"/>
      <c r="QKH15" s="1115"/>
      <c r="QKI15" s="1115"/>
      <c r="QKJ15" s="1115"/>
      <c r="QKK15" s="1115"/>
      <c r="QKL15" s="1115"/>
      <c r="QKM15" s="1115"/>
      <c r="QKN15" s="1115"/>
      <c r="QKO15" s="1115"/>
      <c r="QKP15" s="1115"/>
      <c r="QKQ15" s="1115"/>
      <c r="QKR15" s="1115"/>
      <c r="QKS15" s="1115"/>
      <c r="QKT15" s="1115"/>
      <c r="QKU15" s="1115"/>
      <c r="QKV15" s="1115"/>
      <c r="QKW15" s="1115"/>
      <c r="QKX15" s="1115"/>
      <c r="QKY15" s="1115"/>
      <c r="QKZ15" s="1115"/>
      <c r="QLA15" s="1115"/>
      <c r="QLB15" s="1115"/>
      <c r="QLC15" s="1115"/>
      <c r="QLD15" s="1115"/>
      <c r="QLE15" s="1115"/>
      <c r="QLF15" s="1115"/>
      <c r="QLG15" s="1115"/>
      <c r="QLH15" s="1115"/>
      <c r="QLI15" s="1115"/>
      <c r="QLJ15" s="1115"/>
      <c r="QLK15" s="1115"/>
      <c r="QLL15" s="1115"/>
      <c r="QLM15" s="1115"/>
      <c r="QLN15" s="1115"/>
      <c r="QLO15" s="1115"/>
      <c r="QLP15" s="1115"/>
      <c r="QLQ15" s="1115"/>
      <c r="QLR15" s="1115"/>
      <c r="QLS15" s="1115"/>
      <c r="QLT15" s="1115"/>
      <c r="QLU15" s="1115"/>
      <c r="QLV15" s="1115"/>
      <c r="QLW15" s="1115"/>
      <c r="QLX15" s="1115"/>
      <c r="QLY15" s="1115"/>
      <c r="QLZ15" s="1115"/>
      <c r="QMA15" s="1115"/>
      <c r="QMB15" s="1115"/>
      <c r="QMC15" s="1115"/>
      <c r="QMD15" s="1115"/>
      <c r="QME15" s="1115"/>
      <c r="QMF15" s="1115"/>
      <c r="QMG15" s="1115"/>
      <c r="QMH15" s="1115"/>
      <c r="QMI15" s="1115"/>
      <c r="QMJ15" s="1115"/>
      <c r="QMK15" s="1115"/>
      <c r="QML15" s="1115"/>
      <c r="QMM15" s="1115"/>
      <c r="QMN15" s="1115"/>
      <c r="QMO15" s="1115"/>
      <c r="QMP15" s="1115"/>
      <c r="QMQ15" s="1115"/>
      <c r="QMR15" s="1115"/>
      <c r="QMS15" s="1115"/>
      <c r="QMT15" s="1115"/>
      <c r="QMU15" s="1115"/>
      <c r="QMV15" s="1115"/>
      <c r="QMW15" s="1115"/>
      <c r="QMX15" s="1115"/>
      <c r="QMY15" s="1115"/>
      <c r="QMZ15" s="1115"/>
      <c r="QNA15" s="1115"/>
      <c r="QNB15" s="1115"/>
      <c r="QNC15" s="1115"/>
      <c r="QND15" s="1115"/>
      <c r="QNE15" s="1115"/>
      <c r="QNF15" s="1115"/>
      <c r="QNG15" s="1115"/>
      <c r="QNH15" s="1115"/>
      <c r="QNI15" s="1115"/>
      <c r="QNJ15" s="1115"/>
      <c r="QNK15" s="1115"/>
      <c r="QNL15" s="1115"/>
      <c r="QNM15" s="1115"/>
      <c r="QNN15" s="1115"/>
      <c r="QNO15" s="1115"/>
      <c r="QNP15" s="1115"/>
      <c r="QNQ15" s="1115"/>
      <c r="QNR15" s="1115"/>
      <c r="QNS15" s="1115"/>
      <c r="QNT15" s="1115"/>
      <c r="QNU15" s="1115"/>
      <c r="QNV15" s="1115"/>
      <c r="QNW15" s="1115"/>
      <c r="QNX15" s="1115"/>
      <c r="QNY15" s="1115"/>
      <c r="QNZ15" s="1115"/>
      <c r="QOA15" s="1115"/>
      <c r="QOB15" s="1115"/>
      <c r="QOC15" s="1115"/>
      <c r="QOD15" s="1115"/>
      <c r="QOE15" s="1115"/>
      <c r="QOF15" s="1115"/>
      <c r="QOG15" s="1115"/>
      <c r="QOH15" s="1115"/>
      <c r="QOI15" s="1115"/>
      <c r="QOJ15" s="1115"/>
      <c r="QOK15" s="1115"/>
      <c r="QOL15" s="1115"/>
      <c r="QOM15" s="1115"/>
      <c r="QON15" s="1115"/>
      <c r="QOO15" s="1115"/>
      <c r="QOP15" s="1115"/>
      <c r="QOQ15" s="1115"/>
      <c r="QOR15" s="1115"/>
      <c r="QOS15" s="1115"/>
      <c r="QOT15" s="1115"/>
      <c r="QOU15" s="1115"/>
      <c r="QOV15" s="1115"/>
      <c r="QOW15" s="1115"/>
      <c r="QOX15" s="1115"/>
      <c r="QOY15" s="1115"/>
      <c r="QOZ15" s="1115"/>
      <c r="QPA15" s="1115"/>
      <c r="QPB15" s="1115"/>
      <c r="QPC15" s="1115"/>
      <c r="QPD15" s="1115"/>
      <c r="QPE15" s="1115"/>
      <c r="QPF15" s="1115"/>
      <c r="QPG15" s="1115"/>
      <c r="QPH15" s="1115"/>
      <c r="QPI15" s="1115"/>
      <c r="QPJ15" s="1115"/>
      <c r="QPK15" s="1115"/>
      <c r="QPL15" s="1115"/>
      <c r="QPM15" s="1115"/>
      <c r="QPN15" s="1115"/>
      <c r="QPO15" s="1115"/>
      <c r="QPP15" s="1115"/>
      <c r="QPQ15" s="1115"/>
      <c r="QPR15" s="1115"/>
      <c r="QPS15" s="1115"/>
      <c r="QPT15" s="1115"/>
      <c r="QPU15" s="1115"/>
      <c r="QPV15" s="1115"/>
      <c r="QPW15" s="1115"/>
      <c r="QPX15" s="1115"/>
      <c r="QPY15" s="1115"/>
      <c r="QPZ15" s="1115"/>
      <c r="QQA15" s="1115"/>
      <c r="QQB15" s="1115"/>
      <c r="QQC15" s="1115"/>
      <c r="QQD15" s="1115"/>
      <c r="QQE15" s="1115"/>
      <c r="QQF15" s="1115"/>
      <c r="QQG15" s="1115"/>
      <c r="QQH15" s="1115"/>
      <c r="QQI15" s="1115"/>
      <c r="QQJ15" s="1115"/>
      <c r="QQK15" s="1115"/>
      <c r="QQL15" s="1115"/>
      <c r="QQM15" s="1115"/>
      <c r="QQN15" s="1115"/>
      <c r="QQO15" s="1115"/>
      <c r="QQP15" s="1115"/>
      <c r="QQQ15" s="1115"/>
      <c r="QQR15" s="1115"/>
      <c r="QQS15" s="1115"/>
      <c r="QQT15" s="1115"/>
      <c r="QQU15" s="1115"/>
      <c r="QQV15" s="1115"/>
      <c r="QQW15" s="1115"/>
      <c r="QQX15" s="1115"/>
      <c r="QQY15" s="1115"/>
      <c r="QQZ15" s="1115"/>
      <c r="QRA15" s="1115"/>
      <c r="QRB15" s="1115"/>
      <c r="QRC15" s="1115"/>
      <c r="QRD15" s="1115"/>
      <c r="QRE15" s="1115"/>
      <c r="QRF15" s="1115"/>
      <c r="QRG15" s="1115"/>
      <c r="QRH15" s="1115"/>
      <c r="QRI15" s="1115"/>
      <c r="QRJ15" s="1115"/>
      <c r="QRK15" s="1115"/>
      <c r="QRL15" s="1115"/>
      <c r="QRM15" s="1115"/>
      <c r="QRN15" s="1115"/>
      <c r="QRO15" s="1115"/>
      <c r="QRP15" s="1115"/>
      <c r="QRQ15" s="1115"/>
      <c r="QRR15" s="1115"/>
      <c r="QRS15" s="1115"/>
      <c r="QRT15" s="1115"/>
      <c r="QRU15" s="1115"/>
      <c r="QRV15" s="1115"/>
      <c r="QRW15" s="1115"/>
      <c r="QRX15" s="1115"/>
      <c r="QRY15" s="1115"/>
      <c r="QRZ15" s="1115"/>
      <c r="QSA15" s="1115"/>
      <c r="QSB15" s="1115"/>
      <c r="QSC15" s="1115"/>
      <c r="QSD15" s="1115"/>
      <c r="QSE15" s="1115"/>
      <c r="QSF15" s="1115"/>
      <c r="QSG15" s="1115"/>
      <c r="QSH15" s="1115"/>
      <c r="QSI15" s="1115"/>
      <c r="QSJ15" s="1115"/>
      <c r="QSK15" s="1115"/>
      <c r="QSL15" s="1115"/>
      <c r="QSM15" s="1115"/>
      <c r="QSN15" s="1115"/>
      <c r="QSO15" s="1115"/>
      <c r="QSP15" s="1115"/>
      <c r="QSQ15" s="1115"/>
      <c r="QSR15" s="1115"/>
      <c r="QSS15" s="1115"/>
      <c r="QST15" s="1115"/>
      <c r="QSU15" s="1115"/>
      <c r="QSV15" s="1115"/>
      <c r="QSW15" s="1115"/>
      <c r="QSX15" s="1115"/>
      <c r="QSY15" s="1115"/>
      <c r="QSZ15" s="1115"/>
      <c r="QTA15" s="1115"/>
      <c r="QTB15" s="1115"/>
      <c r="QTC15" s="1115"/>
      <c r="QTD15" s="1115"/>
      <c r="QTE15" s="1115"/>
      <c r="QTF15" s="1115"/>
      <c r="QTG15" s="1115"/>
      <c r="QTH15" s="1115"/>
      <c r="QTI15" s="1115"/>
      <c r="QTJ15" s="1115"/>
      <c r="QTK15" s="1115"/>
      <c r="QTL15" s="1115"/>
      <c r="QTM15" s="1115"/>
      <c r="QTN15" s="1115"/>
      <c r="QTO15" s="1115"/>
      <c r="QTP15" s="1115"/>
      <c r="QTQ15" s="1115"/>
      <c r="QTR15" s="1115"/>
      <c r="QTS15" s="1115"/>
      <c r="QTT15" s="1115"/>
      <c r="QTU15" s="1115"/>
      <c r="QTV15" s="1115"/>
      <c r="QTW15" s="1115"/>
      <c r="QTX15" s="1115"/>
      <c r="QTY15" s="1115"/>
      <c r="QTZ15" s="1115"/>
      <c r="QUA15" s="1115"/>
      <c r="QUB15" s="1115"/>
      <c r="QUC15" s="1115"/>
      <c r="QUD15" s="1115"/>
      <c r="QUE15" s="1115"/>
      <c r="QUF15" s="1115"/>
      <c r="QUG15" s="1115"/>
      <c r="QUH15" s="1115"/>
      <c r="QUI15" s="1115"/>
      <c r="QUJ15" s="1115"/>
      <c r="QUK15" s="1115"/>
      <c r="QUL15" s="1115"/>
      <c r="QUM15" s="1115"/>
      <c r="QUN15" s="1115"/>
      <c r="QUO15" s="1115"/>
      <c r="QUP15" s="1115"/>
      <c r="QUQ15" s="1115"/>
      <c r="QUR15" s="1115"/>
      <c r="QUS15" s="1115"/>
      <c r="QUT15" s="1115"/>
      <c r="QUU15" s="1115"/>
      <c r="QUV15" s="1115"/>
      <c r="QUW15" s="1115"/>
      <c r="QUX15" s="1115"/>
      <c r="QUY15" s="1115"/>
      <c r="QUZ15" s="1115"/>
      <c r="QVA15" s="1115"/>
      <c r="QVB15" s="1115"/>
      <c r="QVC15" s="1115"/>
      <c r="QVD15" s="1115"/>
      <c r="QVE15" s="1115"/>
      <c r="QVF15" s="1115"/>
      <c r="QVG15" s="1115"/>
      <c r="QVH15" s="1115"/>
      <c r="QVI15" s="1115"/>
      <c r="QVJ15" s="1115"/>
      <c r="QVK15" s="1115"/>
      <c r="QVL15" s="1115"/>
      <c r="QVM15" s="1115"/>
      <c r="QVN15" s="1115"/>
      <c r="QVO15" s="1115"/>
      <c r="QVP15" s="1115"/>
      <c r="QVQ15" s="1115"/>
      <c r="QVR15" s="1115"/>
      <c r="QVS15" s="1115"/>
      <c r="QVT15" s="1115"/>
      <c r="QVU15" s="1115"/>
      <c r="QVV15" s="1115"/>
      <c r="QVW15" s="1115"/>
      <c r="QVX15" s="1115"/>
      <c r="QVY15" s="1115"/>
      <c r="QVZ15" s="1115"/>
      <c r="QWA15" s="1115"/>
      <c r="QWB15" s="1115"/>
      <c r="QWC15" s="1115"/>
      <c r="QWD15" s="1115"/>
      <c r="QWE15" s="1115"/>
      <c r="QWF15" s="1115"/>
      <c r="QWG15" s="1115"/>
      <c r="QWH15" s="1115"/>
      <c r="QWI15" s="1115"/>
      <c r="QWJ15" s="1115"/>
      <c r="QWK15" s="1115"/>
      <c r="QWL15" s="1115"/>
      <c r="QWM15" s="1115"/>
      <c r="QWN15" s="1115"/>
      <c r="QWO15" s="1115"/>
      <c r="QWP15" s="1115"/>
      <c r="QWQ15" s="1115"/>
      <c r="QWR15" s="1115"/>
      <c r="QWS15" s="1115"/>
      <c r="QWT15" s="1115"/>
      <c r="QWU15" s="1115"/>
      <c r="QWV15" s="1115"/>
      <c r="QWW15" s="1115"/>
      <c r="QWX15" s="1115"/>
      <c r="QWY15" s="1115"/>
      <c r="QWZ15" s="1115"/>
      <c r="QXA15" s="1115"/>
      <c r="QXB15" s="1115"/>
      <c r="QXC15" s="1115"/>
      <c r="QXD15" s="1115"/>
      <c r="QXE15" s="1115"/>
      <c r="QXF15" s="1115"/>
      <c r="QXG15" s="1115"/>
      <c r="QXH15" s="1115"/>
      <c r="QXI15" s="1115"/>
      <c r="QXJ15" s="1115"/>
      <c r="QXK15" s="1115"/>
      <c r="QXL15" s="1115"/>
      <c r="QXM15" s="1115"/>
      <c r="QXN15" s="1115"/>
      <c r="QXO15" s="1115"/>
      <c r="QXP15" s="1115"/>
      <c r="QXQ15" s="1115"/>
      <c r="QXR15" s="1115"/>
      <c r="QXS15" s="1115"/>
      <c r="QXT15" s="1115"/>
      <c r="QXU15" s="1115"/>
      <c r="QXV15" s="1115"/>
      <c r="QXW15" s="1115"/>
      <c r="QXX15" s="1115"/>
      <c r="QXY15" s="1115"/>
      <c r="QXZ15" s="1115"/>
      <c r="QYA15" s="1115"/>
      <c r="QYB15" s="1115"/>
      <c r="QYC15" s="1115"/>
      <c r="QYD15" s="1115"/>
      <c r="QYE15" s="1115"/>
      <c r="QYF15" s="1115"/>
      <c r="QYG15" s="1115"/>
      <c r="QYH15" s="1115"/>
      <c r="QYI15" s="1115"/>
      <c r="QYJ15" s="1115"/>
      <c r="QYK15" s="1115"/>
      <c r="QYL15" s="1115"/>
      <c r="QYM15" s="1115"/>
      <c r="QYN15" s="1115"/>
      <c r="QYO15" s="1115"/>
      <c r="QYP15" s="1115"/>
      <c r="QYQ15" s="1115"/>
      <c r="QYR15" s="1115"/>
      <c r="QYS15" s="1115"/>
      <c r="QYT15" s="1115"/>
      <c r="QYU15" s="1115"/>
      <c r="QYV15" s="1115"/>
      <c r="QYW15" s="1115"/>
      <c r="QYX15" s="1115"/>
      <c r="QYY15" s="1115"/>
      <c r="QYZ15" s="1115"/>
      <c r="QZA15" s="1115"/>
      <c r="QZB15" s="1115"/>
      <c r="QZC15" s="1115"/>
      <c r="QZD15" s="1115"/>
      <c r="QZE15" s="1115"/>
      <c r="QZF15" s="1115"/>
      <c r="QZG15" s="1115"/>
      <c r="QZH15" s="1115"/>
      <c r="QZI15" s="1115"/>
      <c r="QZJ15" s="1115"/>
      <c r="QZK15" s="1115"/>
      <c r="QZL15" s="1115"/>
      <c r="QZM15" s="1115"/>
      <c r="QZN15" s="1115"/>
      <c r="QZO15" s="1115"/>
      <c r="QZP15" s="1115"/>
      <c r="QZQ15" s="1115"/>
      <c r="QZR15" s="1115"/>
      <c r="QZS15" s="1115"/>
      <c r="QZT15" s="1115"/>
      <c r="QZU15" s="1115"/>
      <c r="QZV15" s="1115"/>
      <c r="QZW15" s="1115"/>
      <c r="QZX15" s="1115"/>
      <c r="QZY15" s="1115"/>
      <c r="QZZ15" s="1115"/>
      <c r="RAA15" s="1115"/>
      <c r="RAB15" s="1115"/>
      <c r="RAC15" s="1115"/>
      <c r="RAD15" s="1115"/>
      <c r="RAE15" s="1115"/>
      <c r="RAF15" s="1115"/>
      <c r="RAG15" s="1115"/>
      <c r="RAH15" s="1115"/>
      <c r="RAI15" s="1115"/>
      <c r="RAJ15" s="1115"/>
      <c r="RAK15" s="1115"/>
      <c r="RAL15" s="1115"/>
      <c r="RAM15" s="1115"/>
      <c r="RAN15" s="1115"/>
      <c r="RAO15" s="1115"/>
      <c r="RAP15" s="1115"/>
      <c r="RAQ15" s="1115"/>
      <c r="RAR15" s="1115"/>
      <c r="RAS15" s="1115"/>
      <c r="RAT15" s="1115"/>
      <c r="RAU15" s="1115"/>
      <c r="RAV15" s="1115"/>
      <c r="RAW15" s="1115"/>
      <c r="RAX15" s="1115"/>
      <c r="RAY15" s="1115"/>
      <c r="RAZ15" s="1115"/>
      <c r="RBA15" s="1115"/>
      <c r="RBB15" s="1115"/>
      <c r="RBC15" s="1115"/>
      <c r="RBD15" s="1115"/>
      <c r="RBE15" s="1115"/>
      <c r="RBF15" s="1115"/>
      <c r="RBG15" s="1115"/>
      <c r="RBH15" s="1115"/>
      <c r="RBI15" s="1115"/>
      <c r="RBJ15" s="1115"/>
      <c r="RBK15" s="1115"/>
      <c r="RBL15" s="1115"/>
      <c r="RBM15" s="1115"/>
      <c r="RBN15" s="1115"/>
      <c r="RBO15" s="1115"/>
      <c r="RBP15" s="1115"/>
      <c r="RBQ15" s="1115"/>
      <c r="RBR15" s="1115"/>
      <c r="RBS15" s="1115"/>
      <c r="RBT15" s="1115"/>
      <c r="RBU15" s="1115"/>
      <c r="RBV15" s="1115"/>
      <c r="RBW15" s="1115"/>
      <c r="RBX15" s="1115"/>
      <c r="RBY15" s="1115"/>
      <c r="RBZ15" s="1115"/>
      <c r="RCA15" s="1115"/>
      <c r="RCB15" s="1115"/>
      <c r="RCC15" s="1115"/>
      <c r="RCD15" s="1115"/>
      <c r="RCE15" s="1115"/>
      <c r="RCF15" s="1115"/>
      <c r="RCG15" s="1115"/>
      <c r="RCH15" s="1115"/>
      <c r="RCI15" s="1115"/>
      <c r="RCJ15" s="1115"/>
      <c r="RCK15" s="1115"/>
      <c r="RCL15" s="1115"/>
      <c r="RCM15" s="1115"/>
      <c r="RCN15" s="1115"/>
      <c r="RCO15" s="1115"/>
      <c r="RCP15" s="1115"/>
      <c r="RCQ15" s="1115"/>
      <c r="RCR15" s="1115"/>
      <c r="RCS15" s="1115"/>
      <c r="RCT15" s="1115"/>
      <c r="RCU15" s="1115"/>
      <c r="RCV15" s="1115"/>
      <c r="RCW15" s="1115"/>
      <c r="RCX15" s="1115"/>
      <c r="RCY15" s="1115"/>
      <c r="RCZ15" s="1115"/>
      <c r="RDA15" s="1115"/>
      <c r="RDB15" s="1115"/>
      <c r="RDC15" s="1115"/>
      <c r="RDD15" s="1115"/>
      <c r="RDE15" s="1115"/>
      <c r="RDF15" s="1115"/>
      <c r="RDG15" s="1115"/>
      <c r="RDH15" s="1115"/>
      <c r="RDI15" s="1115"/>
      <c r="RDJ15" s="1115"/>
      <c r="RDK15" s="1115"/>
      <c r="RDL15" s="1115"/>
      <c r="RDM15" s="1115"/>
      <c r="RDN15" s="1115"/>
      <c r="RDO15" s="1115"/>
      <c r="RDP15" s="1115"/>
      <c r="RDQ15" s="1115"/>
      <c r="RDR15" s="1115"/>
      <c r="RDS15" s="1115"/>
      <c r="RDT15" s="1115"/>
      <c r="RDU15" s="1115"/>
      <c r="RDV15" s="1115"/>
      <c r="RDW15" s="1115"/>
      <c r="RDX15" s="1115"/>
      <c r="RDY15" s="1115"/>
      <c r="RDZ15" s="1115"/>
      <c r="REA15" s="1115"/>
      <c r="REB15" s="1115"/>
      <c r="REC15" s="1115"/>
      <c r="RED15" s="1115"/>
      <c r="REE15" s="1115"/>
      <c r="REF15" s="1115"/>
      <c r="REG15" s="1115"/>
      <c r="REH15" s="1115"/>
      <c r="REI15" s="1115"/>
      <c r="REJ15" s="1115"/>
      <c r="REK15" s="1115"/>
      <c r="REL15" s="1115"/>
      <c r="REM15" s="1115"/>
      <c r="REN15" s="1115"/>
      <c r="REO15" s="1115"/>
      <c r="REP15" s="1115"/>
      <c r="REQ15" s="1115"/>
      <c r="RER15" s="1115"/>
      <c r="RES15" s="1115"/>
      <c r="RET15" s="1115"/>
      <c r="REU15" s="1115"/>
      <c r="REV15" s="1115"/>
      <c r="REW15" s="1115"/>
      <c r="REX15" s="1115"/>
      <c r="REY15" s="1115"/>
      <c r="REZ15" s="1115"/>
      <c r="RFA15" s="1115"/>
      <c r="RFB15" s="1115"/>
      <c r="RFC15" s="1115"/>
      <c r="RFD15" s="1115"/>
      <c r="RFE15" s="1115"/>
      <c r="RFF15" s="1115"/>
      <c r="RFG15" s="1115"/>
      <c r="RFH15" s="1115"/>
      <c r="RFI15" s="1115"/>
      <c r="RFJ15" s="1115"/>
      <c r="RFK15" s="1115"/>
      <c r="RFL15" s="1115"/>
      <c r="RFM15" s="1115"/>
      <c r="RFN15" s="1115"/>
      <c r="RFO15" s="1115"/>
      <c r="RFP15" s="1115"/>
      <c r="RFQ15" s="1115"/>
      <c r="RFR15" s="1115"/>
      <c r="RFS15" s="1115"/>
      <c r="RFT15" s="1115"/>
      <c r="RFU15" s="1115"/>
      <c r="RFV15" s="1115"/>
      <c r="RFW15" s="1115"/>
      <c r="RFX15" s="1115"/>
      <c r="RFY15" s="1115"/>
      <c r="RFZ15" s="1115"/>
      <c r="RGA15" s="1115"/>
      <c r="RGB15" s="1115"/>
      <c r="RGC15" s="1115"/>
      <c r="RGD15" s="1115"/>
      <c r="RGE15" s="1115"/>
      <c r="RGF15" s="1115"/>
      <c r="RGG15" s="1115"/>
      <c r="RGH15" s="1115"/>
      <c r="RGI15" s="1115"/>
      <c r="RGJ15" s="1115"/>
      <c r="RGK15" s="1115"/>
      <c r="RGL15" s="1115"/>
      <c r="RGM15" s="1115"/>
      <c r="RGN15" s="1115"/>
      <c r="RGO15" s="1115"/>
      <c r="RGP15" s="1115"/>
      <c r="RGQ15" s="1115"/>
      <c r="RGR15" s="1115"/>
      <c r="RGS15" s="1115"/>
      <c r="RGT15" s="1115"/>
      <c r="RGU15" s="1115"/>
      <c r="RGV15" s="1115"/>
      <c r="RGW15" s="1115"/>
      <c r="RGX15" s="1115"/>
      <c r="RGY15" s="1115"/>
      <c r="RGZ15" s="1115"/>
      <c r="RHA15" s="1115"/>
      <c r="RHB15" s="1115"/>
      <c r="RHC15" s="1115"/>
      <c r="RHD15" s="1115"/>
      <c r="RHE15" s="1115"/>
      <c r="RHF15" s="1115"/>
      <c r="RHG15" s="1115"/>
      <c r="RHH15" s="1115"/>
      <c r="RHI15" s="1115"/>
      <c r="RHJ15" s="1115"/>
      <c r="RHK15" s="1115"/>
      <c r="RHL15" s="1115"/>
      <c r="RHM15" s="1115"/>
      <c r="RHN15" s="1115"/>
      <c r="RHO15" s="1115"/>
      <c r="RHP15" s="1115"/>
      <c r="RHQ15" s="1115"/>
      <c r="RHR15" s="1115"/>
      <c r="RHS15" s="1115"/>
      <c r="RHT15" s="1115"/>
      <c r="RHU15" s="1115"/>
      <c r="RHV15" s="1115"/>
      <c r="RHW15" s="1115"/>
      <c r="RHX15" s="1115"/>
      <c r="RHY15" s="1115"/>
      <c r="RHZ15" s="1115"/>
      <c r="RIA15" s="1115"/>
      <c r="RIB15" s="1115"/>
      <c r="RIC15" s="1115"/>
      <c r="RID15" s="1115"/>
      <c r="RIE15" s="1115"/>
      <c r="RIF15" s="1115"/>
      <c r="RIG15" s="1115"/>
      <c r="RIH15" s="1115"/>
      <c r="RII15" s="1115"/>
      <c r="RIJ15" s="1115"/>
      <c r="RIK15" s="1115"/>
      <c r="RIL15" s="1115"/>
      <c r="RIM15" s="1115"/>
      <c r="RIN15" s="1115"/>
      <c r="RIO15" s="1115"/>
      <c r="RIP15" s="1115"/>
      <c r="RIQ15" s="1115"/>
      <c r="RIR15" s="1115"/>
      <c r="RIS15" s="1115"/>
      <c r="RIT15" s="1115"/>
      <c r="RIU15" s="1115"/>
      <c r="RIV15" s="1115"/>
      <c r="RIW15" s="1115"/>
      <c r="RIX15" s="1115"/>
      <c r="RIY15" s="1115"/>
      <c r="RIZ15" s="1115"/>
      <c r="RJA15" s="1115"/>
      <c r="RJB15" s="1115"/>
      <c r="RJC15" s="1115"/>
      <c r="RJD15" s="1115"/>
      <c r="RJE15" s="1115"/>
      <c r="RJF15" s="1115"/>
      <c r="RJG15" s="1115"/>
      <c r="RJH15" s="1115"/>
      <c r="RJI15" s="1115"/>
      <c r="RJJ15" s="1115"/>
      <c r="RJK15" s="1115"/>
      <c r="RJL15" s="1115"/>
      <c r="RJM15" s="1115"/>
      <c r="RJN15" s="1115"/>
      <c r="RJO15" s="1115"/>
      <c r="RJP15" s="1115"/>
      <c r="RJQ15" s="1115"/>
      <c r="RJR15" s="1115"/>
      <c r="RJS15" s="1115"/>
      <c r="RJT15" s="1115"/>
      <c r="RJU15" s="1115"/>
      <c r="RJV15" s="1115"/>
      <c r="RJW15" s="1115"/>
      <c r="RJX15" s="1115"/>
      <c r="RJY15" s="1115"/>
      <c r="RJZ15" s="1115"/>
      <c r="RKA15" s="1115"/>
      <c r="RKB15" s="1115"/>
      <c r="RKC15" s="1115"/>
      <c r="RKD15" s="1115"/>
      <c r="RKE15" s="1115"/>
      <c r="RKF15" s="1115"/>
      <c r="RKG15" s="1115"/>
      <c r="RKH15" s="1115"/>
      <c r="RKI15" s="1115"/>
      <c r="RKJ15" s="1115"/>
      <c r="RKK15" s="1115"/>
      <c r="RKL15" s="1115"/>
      <c r="RKM15" s="1115"/>
      <c r="RKN15" s="1115"/>
      <c r="RKO15" s="1115"/>
      <c r="RKP15" s="1115"/>
      <c r="RKQ15" s="1115"/>
      <c r="RKR15" s="1115"/>
      <c r="RKS15" s="1115"/>
      <c r="RKT15" s="1115"/>
      <c r="RKU15" s="1115"/>
      <c r="RKV15" s="1115"/>
      <c r="RKW15" s="1115"/>
      <c r="RKX15" s="1115"/>
      <c r="RKY15" s="1115"/>
      <c r="RKZ15" s="1115"/>
      <c r="RLA15" s="1115"/>
      <c r="RLB15" s="1115"/>
      <c r="RLC15" s="1115"/>
      <c r="RLD15" s="1115"/>
      <c r="RLE15" s="1115"/>
      <c r="RLF15" s="1115"/>
      <c r="RLG15" s="1115"/>
      <c r="RLH15" s="1115"/>
      <c r="RLI15" s="1115"/>
      <c r="RLJ15" s="1115"/>
      <c r="RLK15" s="1115"/>
      <c r="RLL15" s="1115"/>
      <c r="RLM15" s="1115"/>
      <c r="RLN15" s="1115"/>
      <c r="RLO15" s="1115"/>
      <c r="RLP15" s="1115"/>
      <c r="RLQ15" s="1115"/>
      <c r="RLR15" s="1115"/>
      <c r="RLS15" s="1115"/>
      <c r="RLT15" s="1115"/>
      <c r="RLU15" s="1115"/>
      <c r="RLV15" s="1115"/>
      <c r="RLW15" s="1115"/>
      <c r="RLX15" s="1115"/>
      <c r="RLY15" s="1115"/>
      <c r="RLZ15" s="1115"/>
      <c r="RMA15" s="1115"/>
      <c r="RMB15" s="1115"/>
      <c r="RMC15" s="1115"/>
      <c r="RMD15" s="1115"/>
      <c r="RME15" s="1115"/>
      <c r="RMF15" s="1115"/>
      <c r="RMG15" s="1115"/>
      <c r="RMH15" s="1115"/>
      <c r="RMI15" s="1115"/>
      <c r="RMJ15" s="1115"/>
      <c r="RMK15" s="1115"/>
      <c r="RML15" s="1115"/>
      <c r="RMM15" s="1115"/>
      <c r="RMN15" s="1115"/>
      <c r="RMO15" s="1115"/>
      <c r="RMP15" s="1115"/>
      <c r="RMQ15" s="1115"/>
      <c r="RMR15" s="1115"/>
      <c r="RMS15" s="1115"/>
      <c r="RMT15" s="1115"/>
      <c r="RMU15" s="1115"/>
      <c r="RMV15" s="1115"/>
      <c r="RMW15" s="1115"/>
      <c r="RMX15" s="1115"/>
      <c r="RMY15" s="1115"/>
      <c r="RMZ15" s="1115"/>
      <c r="RNA15" s="1115"/>
      <c r="RNB15" s="1115"/>
      <c r="RNC15" s="1115"/>
      <c r="RND15" s="1115"/>
      <c r="RNE15" s="1115"/>
      <c r="RNF15" s="1115"/>
      <c r="RNG15" s="1115"/>
      <c r="RNH15" s="1115"/>
      <c r="RNI15" s="1115"/>
      <c r="RNJ15" s="1115"/>
      <c r="RNK15" s="1115"/>
      <c r="RNL15" s="1115"/>
      <c r="RNM15" s="1115"/>
      <c r="RNN15" s="1115"/>
      <c r="RNO15" s="1115"/>
      <c r="RNP15" s="1115"/>
      <c r="RNQ15" s="1115"/>
      <c r="RNR15" s="1115"/>
      <c r="RNS15" s="1115"/>
      <c r="RNT15" s="1115"/>
      <c r="RNU15" s="1115"/>
      <c r="RNV15" s="1115"/>
      <c r="RNW15" s="1115"/>
      <c r="RNX15" s="1115"/>
      <c r="RNY15" s="1115"/>
      <c r="RNZ15" s="1115"/>
      <c r="ROA15" s="1115"/>
      <c r="ROB15" s="1115"/>
      <c r="ROC15" s="1115"/>
      <c r="ROD15" s="1115"/>
      <c r="ROE15" s="1115"/>
      <c r="ROF15" s="1115"/>
      <c r="ROG15" s="1115"/>
      <c r="ROH15" s="1115"/>
      <c r="ROI15" s="1115"/>
      <c r="ROJ15" s="1115"/>
      <c r="ROK15" s="1115"/>
      <c r="ROL15" s="1115"/>
      <c r="ROM15" s="1115"/>
      <c r="RON15" s="1115"/>
      <c r="ROO15" s="1115"/>
      <c r="ROP15" s="1115"/>
      <c r="ROQ15" s="1115"/>
      <c r="ROR15" s="1115"/>
      <c r="ROS15" s="1115"/>
      <c r="ROT15" s="1115"/>
      <c r="ROU15" s="1115"/>
      <c r="ROV15" s="1115"/>
      <c r="ROW15" s="1115"/>
      <c r="ROX15" s="1115"/>
      <c r="ROY15" s="1115"/>
      <c r="ROZ15" s="1115"/>
      <c r="RPA15" s="1115"/>
      <c r="RPB15" s="1115"/>
      <c r="RPC15" s="1115"/>
      <c r="RPD15" s="1115"/>
      <c r="RPE15" s="1115"/>
      <c r="RPF15" s="1115"/>
      <c r="RPG15" s="1115"/>
      <c r="RPH15" s="1115"/>
      <c r="RPI15" s="1115"/>
      <c r="RPJ15" s="1115"/>
      <c r="RPK15" s="1115"/>
      <c r="RPL15" s="1115"/>
      <c r="RPM15" s="1115"/>
      <c r="RPN15" s="1115"/>
      <c r="RPO15" s="1115"/>
      <c r="RPP15" s="1115"/>
      <c r="RPQ15" s="1115"/>
      <c r="RPR15" s="1115"/>
      <c r="RPS15" s="1115"/>
      <c r="RPT15" s="1115"/>
      <c r="RPU15" s="1115"/>
      <c r="RPV15" s="1115"/>
      <c r="RPW15" s="1115"/>
      <c r="RPX15" s="1115"/>
      <c r="RPY15" s="1115"/>
      <c r="RPZ15" s="1115"/>
      <c r="RQA15" s="1115"/>
      <c r="RQB15" s="1115"/>
      <c r="RQC15" s="1115"/>
      <c r="RQD15" s="1115"/>
      <c r="RQE15" s="1115"/>
      <c r="RQF15" s="1115"/>
      <c r="RQG15" s="1115"/>
      <c r="RQH15" s="1115"/>
      <c r="RQI15" s="1115"/>
      <c r="RQJ15" s="1115"/>
      <c r="RQK15" s="1115"/>
      <c r="RQL15" s="1115"/>
      <c r="RQM15" s="1115"/>
      <c r="RQN15" s="1115"/>
      <c r="RQO15" s="1115"/>
      <c r="RQP15" s="1115"/>
      <c r="RQQ15" s="1115"/>
      <c r="RQR15" s="1115"/>
      <c r="RQS15" s="1115"/>
      <c r="RQT15" s="1115"/>
      <c r="RQU15" s="1115"/>
      <c r="RQV15" s="1115"/>
      <c r="RQW15" s="1115"/>
      <c r="RQX15" s="1115"/>
      <c r="RQY15" s="1115"/>
      <c r="RQZ15" s="1115"/>
      <c r="RRA15" s="1115"/>
      <c r="RRB15" s="1115"/>
      <c r="RRC15" s="1115"/>
      <c r="RRD15" s="1115"/>
      <c r="RRE15" s="1115"/>
      <c r="RRF15" s="1115"/>
      <c r="RRG15" s="1115"/>
      <c r="RRH15" s="1115"/>
      <c r="RRI15" s="1115"/>
      <c r="RRJ15" s="1115"/>
      <c r="RRK15" s="1115"/>
      <c r="RRL15" s="1115"/>
      <c r="RRM15" s="1115"/>
      <c r="RRN15" s="1115"/>
      <c r="RRO15" s="1115"/>
      <c r="RRP15" s="1115"/>
      <c r="RRQ15" s="1115"/>
      <c r="RRR15" s="1115"/>
      <c r="RRS15" s="1115"/>
      <c r="RRT15" s="1115"/>
      <c r="RRU15" s="1115"/>
      <c r="RRV15" s="1115"/>
      <c r="RRW15" s="1115"/>
      <c r="RRX15" s="1115"/>
      <c r="RRY15" s="1115"/>
      <c r="RRZ15" s="1115"/>
      <c r="RSA15" s="1115"/>
      <c r="RSB15" s="1115"/>
      <c r="RSC15" s="1115"/>
      <c r="RSD15" s="1115"/>
      <c r="RSE15" s="1115"/>
      <c r="RSF15" s="1115"/>
      <c r="RSG15" s="1115"/>
      <c r="RSH15" s="1115"/>
      <c r="RSI15" s="1115"/>
      <c r="RSJ15" s="1115"/>
      <c r="RSK15" s="1115"/>
      <c r="RSL15" s="1115"/>
      <c r="RSM15" s="1115"/>
      <c r="RSN15" s="1115"/>
      <c r="RSO15" s="1115"/>
      <c r="RSP15" s="1115"/>
      <c r="RSQ15" s="1115"/>
      <c r="RSR15" s="1115"/>
      <c r="RSS15" s="1115"/>
      <c r="RST15" s="1115"/>
      <c r="RSU15" s="1115"/>
      <c r="RSV15" s="1115"/>
      <c r="RSW15" s="1115"/>
      <c r="RSX15" s="1115"/>
      <c r="RSY15" s="1115"/>
      <c r="RSZ15" s="1115"/>
      <c r="RTA15" s="1115"/>
      <c r="RTB15" s="1115"/>
      <c r="RTC15" s="1115"/>
      <c r="RTD15" s="1115"/>
      <c r="RTE15" s="1115"/>
      <c r="RTF15" s="1115"/>
      <c r="RTG15" s="1115"/>
      <c r="RTH15" s="1115"/>
      <c r="RTI15" s="1115"/>
      <c r="RTJ15" s="1115"/>
      <c r="RTK15" s="1115"/>
      <c r="RTL15" s="1115"/>
      <c r="RTM15" s="1115"/>
      <c r="RTN15" s="1115"/>
      <c r="RTO15" s="1115"/>
      <c r="RTP15" s="1115"/>
      <c r="RTQ15" s="1115"/>
      <c r="RTR15" s="1115"/>
      <c r="RTS15" s="1115"/>
      <c r="RTT15" s="1115"/>
      <c r="RTU15" s="1115"/>
      <c r="RTV15" s="1115"/>
      <c r="RTW15" s="1115"/>
      <c r="RTX15" s="1115"/>
      <c r="RTY15" s="1115"/>
      <c r="RTZ15" s="1115"/>
      <c r="RUA15" s="1115"/>
      <c r="RUB15" s="1115"/>
      <c r="RUC15" s="1115"/>
      <c r="RUD15" s="1115"/>
      <c r="RUE15" s="1115"/>
      <c r="RUF15" s="1115"/>
      <c r="RUG15" s="1115"/>
      <c r="RUH15" s="1115"/>
      <c r="RUI15" s="1115"/>
      <c r="RUJ15" s="1115"/>
      <c r="RUK15" s="1115"/>
      <c r="RUL15" s="1115"/>
      <c r="RUM15" s="1115"/>
      <c r="RUN15" s="1115"/>
      <c r="RUO15" s="1115"/>
      <c r="RUP15" s="1115"/>
      <c r="RUQ15" s="1115"/>
      <c r="RUR15" s="1115"/>
      <c r="RUS15" s="1115"/>
      <c r="RUT15" s="1115"/>
      <c r="RUU15" s="1115"/>
      <c r="RUV15" s="1115"/>
      <c r="RUW15" s="1115"/>
      <c r="RUX15" s="1115"/>
      <c r="RUY15" s="1115"/>
      <c r="RUZ15" s="1115"/>
      <c r="RVA15" s="1115"/>
      <c r="RVB15" s="1115"/>
      <c r="RVC15" s="1115"/>
      <c r="RVD15" s="1115"/>
      <c r="RVE15" s="1115"/>
      <c r="RVF15" s="1115"/>
      <c r="RVG15" s="1115"/>
      <c r="RVH15" s="1115"/>
      <c r="RVI15" s="1115"/>
      <c r="RVJ15" s="1115"/>
      <c r="RVK15" s="1115"/>
      <c r="RVL15" s="1115"/>
      <c r="RVM15" s="1115"/>
      <c r="RVN15" s="1115"/>
      <c r="RVO15" s="1115"/>
      <c r="RVP15" s="1115"/>
      <c r="RVQ15" s="1115"/>
      <c r="RVR15" s="1115"/>
      <c r="RVS15" s="1115"/>
      <c r="RVT15" s="1115"/>
      <c r="RVU15" s="1115"/>
      <c r="RVV15" s="1115"/>
      <c r="RVW15" s="1115"/>
      <c r="RVX15" s="1115"/>
      <c r="RVY15" s="1115"/>
      <c r="RVZ15" s="1115"/>
      <c r="RWA15" s="1115"/>
      <c r="RWB15" s="1115"/>
      <c r="RWC15" s="1115"/>
      <c r="RWD15" s="1115"/>
      <c r="RWE15" s="1115"/>
      <c r="RWF15" s="1115"/>
      <c r="RWG15" s="1115"/>
      <c r="RWH15" s="1115"/>
      <c r="RWI15" s="1115"/>
      <c r="RWJ15" s="1115"/>
      <c r="RWK15" s="1115"/>
      <c r="RWL15" s="1115"/>
      <c r="RWM15" s="1115"/>
      <c r="RWN15" s="1115"/>
      <c r="RWO15" s="1115"/>
      <c r="RWP15" s="1115"/>
      <c r="RWQ15" s="1115"/>
      <c r="RWR15" s="1115"/>
      <c r="RWS15" s="1115"/>
      <c r="RWT15" s="1115"/>
      <c r="RWU15" s="1115"/>
      <c r="RWV15" s="1115"/>
      <c r="RWW15" s="1115"/>
      <c r="RWX15" s="1115"/>
      <c r="RWY15" s="1115"/>
      <c r="RWZ15" s="1115"/>
      <c r="RXA15" s="1115"/>
      <c r="RXB15" s="1115"/>
      <c r="RXC15" s="1115"/>
      <c r="RXD15" s="1115"/>
      <c r="RXE15" s="1115"/>
      <c r="RXF15" s="1115"/>
      <c r="RXG15" s="1115"/>
      <c r="RXH15" s="1115"/>
      <c r="RXI15" s="1115"/>
      <c r="RXJ15" s="1115"/>
      <c r="RXK15" s="1115"/>
      <c r="RXL15" s="1115"/>
      <c r="RXM15" s="1115"/>
      <c r="RXN15" s="1115"/>
      <c r="RXO15" s="1115"/>
      <c r="RXP15" s="1115"/>
      <c r="RXQ15" s="1115"/>
      <c r="RXR15" s="1115"/>
      <c r="RXS15" s="1115"/>
      <c r="RXT15" s="1115"/>
      <c r="RXU15" s="1115"/>
      <c r="RXV15" s="1115"/>
      <c r="RXW15" s="1115"/>
      <c r="RXX15" s="1115"/>
      <c r="RXY15" s="1115"/>
      <c r="RXZ15" s="1115"/>
      <c r="RYA15" s="1115"/>
      <c r="RYB15" s="1115"/>
      <c r="RYC15" s="1115"/>
      <c r="RYD15" s="1115"/>
      <c r="RYE15" s="1115"/>
      <c r="RYF15" s="1115"/>
      <c r="RYG15" s="1115"/>
      <c r="RYH15" s="1115"/>
      <c r="RYI15" s="1115"/>
      <c r="RYJ15" s="1115"/>
      <c r="RYK15" s="1115"/>
      <c r="RYL15" s="1115"/>
      <c r="RYM15" s="1115"/>
      <c r="RYN15" s="1115"/>
      <c r="RYO15" s="1115"/>
      <c r="RYP15" s="1115"/>
      <c r="RYQ15" s="1115"/>
      <c r="RYR15" s="1115"/>
      <c r="RYS15" s="1115"/>
      <c r="RYT15" s="1115"/>
      <c r="RYU15" s="1115"/>
      <c r="RYV15" s="1115"/>
      <c r="RYW15" s="1115"/>
      <c r="RYX15" s="1115"/>
      <c r="RYY15" s="1115"/>
      <c r="RYZ15" s="1115"/>
      <c r="RZA15" s="1115"/>
      <c r="RZB15" s="1115"/>
      <c r="RZC15" s="1115"/>
      <c r="RZD15" s="1115"/>
      <c r="RZE15" s="1115"/>
      <c r="RZF15" s="1115"/>
      <c r="RZG15" s="1115"/>
      <c r="RZH15" s="1115"/>
      <c r="RZI15" s="1115"/>
      <c r="RZJ15" s="1115"/>
      <c r="RZK15" s="1115"/>
      <c r="RZL15" s="1115"/>
      <c r="RZM15" s="1115"/>
      <c r="RZN15" s="1115"/>
      <c r="RZO15" s="1115"/>
      <c r="RZP15" s="1115"/>
      <c r="RZQ15" s="1115"/>
      <c r="RZR15" s="1115"/>
      <c r="RZS15" s="1115"/>
      <c r="RZT15" s="1115"/>
      <c r="RZU15" s="1115"/>
      <c r="RZV15" s="1115"/>
      <c r="RZW15" s="1115"/>
      <c r="RZX15" s="1115"/>
      <c r="RZY15" s="1115"/>
      <c r="RZZ15" s="1115"/>
      <c r="SAA15" s="1115"/>
      <c r="SAB15" s="1115"/>
      <c r="SAC15" s="1115"/>
      <c r="SAD15" s="1115"/>
      <c r="SAE15" s="1115"/>
      <c r="SAF15" s="1115"/>
      <c r="SAG15" s="1115"/>
      <c r="SAH15" s="1115"/>
      <c r="SAI15" s="1115"/>
      <c r="SAJ15" s="1115"/>
      <c r="SAK15" s="1115"/>
      <c r="SAL15" s="1115"/>
      <c r="SAM15" s="1115"/>
      <c r="SAN15" s="1115"/>
      <c r="SAO15" s="1115"/>
      <c r="SAP15" s="1115"/>
      <c r="SAQ15" s="1115"/>
      <c r="SAR15" s="1115"/>
      <c r="SAS15" s="1115"/>
      <c r="SAT15" s="1115"/>
      <c r="SAU15" s="1115"/>
      <c r="SAV15" s="1115"/>
      <c r="SAW15" s="1115"/>
      <c r="SAX15" s="1115"/>
      <c r="SAY15" s="1115"/>
      <c r="SAZ15" s="1115"/>
      <c r="SBA15" s="1115"/>
      <c r="SBB15" s="1115"/>
      <c r="SBC15" s="1115"/>
      <c r="SBD15" s="1115"/>
      <c r="SBE15" s="1115"/>
      <c r="SBF15" s="1115"/>
      <c r="SBG15" s="1115"/>
      <c r="SBH15" s="1115"/>
      <c r="SBI15" s="1115"/>
      <c r="SBJ15" s="1115"/>
      <c r="SBK15" s="1115"/>
      <c r="SBL15" s="1115"/>
      <c r="SBM15" s="1115"/>
      <c r="SBN15" s="1115"/>
      <c r="SBO15" s="1115"/>
      <c r="SBP15" s="1115"/>
      <c r="SBQ15" s="1115"/>
      <c r="SBR15" s="1115"/>
      <c r="SBS15" s="1115"/>
      <c r="SBT15" s="1115"/>
      <c r="SBU15" s="1115"/>
      <c r="SBV15" s="1115"/>
      <c r="SBW15" s="1115"/>
      <c r="SBX15" s="1115"/>
      <c r="SBY15" s="1115"/>
      <c r="SBZ15" s="1115"/>
      <c r="SCA15" s="1115"/>
      <c r="SCB15" s="1115"/>
      <c r="SCC15" s="1115"/>
      <c r="SCD15" s="1115"/>
      <c r="SCE15" s="1115"/>
      <c r="SCF15" s="1115"/>
      <c r="SCG15" s="1115"/>
      <c r="SCH15" s="1115"/>
      <c r="SCI15" s="1115"/>
      <c r="SCJ15" s="1115"/>
      <c r="SCK15" s="1115"/>
      <c r="SCL15" s="1115"/>
      <c r="SCM15" s="1115"/>
      <c r="SCN15" s="1115"/>
      <c r="SCO15" s="1115"/>
      <c r="SCP15" s="1115"/>
      <c r="SCQ15" s="1115"/>
      <c r="SCR15" s="1115"/>
      <c r="SCS15" s="1115"/>
      <c r="SCT15" s="1115"/>
      <c r="SCU15" s="1115"/>
      <c r="SCV15" s="1115"/>
      <c r="SCW15" s="1115"/>
      <c r="SCX15" s="1115"/>
      <c r="SCY15" s="1115"/>
      <c r="SCZ15" s="1115"/>
      <c r="SDA15" s="1115"/>
      <c r="SDB15" s="1115"/>
      <c r="SDC15" s="1115"/>
      <c r="SDD15" s="1115"/>
      <c r="SDE15" s="1115"/>
      <c r="SDF15" s="1115"/>
      <c r="SDG15" s="1115"/>
      <c r="SDH15" s="1115"/>
      <c r="SDI15" s="1115"/>
      <c r="SDJ15" s="1115"/>
      <c r="SDK15" s="1115"/>
      <c r="SDL15" s="1115"/>
      <c r="SDM15" s="1115"/>
      <c r="SDN15" s="1115"/>
      <c r="SDO15" s="1115"/>
      <c r="SDP15" s="1115"/>
      <c r="SDQ15" s="1115"/>
      <c r="SDR15" s="1115"/>
      <c r="SDS15" s="1115"/>
      <c r="SDT15" s="1115"/>
      <c r="SDU15" s="1115"/>
      <c r="SDV15" s="1115"/>
      <c r="SDW15" s="1115"/>
      <c r="SDX15" s="1115"/>
      <c r="SDY15" s="1115"/>
      <c r="SDZ15" s="1115"/>
      <c r="SEA15" s="1115"/>
      <c r="SEB15" s="1115"/>
      <c r="SEC15" s="1115"/>
      <c r="SED15" s="1115"/>
      <c r="SEE15" s="1115"/>
      <c r="SEF15" s="1115"/>
      <c r="SEG15" s="1115"/>
      <c r="SEH15" s="1115"/>
      <c r="SEI15" s="1115"/>
      <c r="SEJ15" s="1115"/>
      <c r="SEK15" s="1115"/>
      <c r="SEL15" s="1115"/>
      <c r="SEM15" s="1115"/>
      <c r="SEN15" s="1115"/>
      <c r="SEO15" s="1115"/>
      <c r="SEP15" s="1115"/>
      <c r="SEQ15" s="1115"/>
      <c r="SER15" s="1115"/>
      <c r="SES15" s="1115"/>
      <c r="SET15" s="1115"/>
      <c r="SEU15" s="1115"/>
      <c r="SEV15" s="1115"/>
      <c r="SEW15" s="1115"/>
      <c r="SEX15" s="1115"/>
      <c r="SEY15" s="1115"/>
      <c r="SEZ15" s="1115"/>
      <c r="SFA15" s="1115"/>
      <c r="SFB15" s="1115"/>
      <c r="SFC15" s="1115"/>
      <c r="SFD15" s="1115"/>
      <c r="SFE15" s="1115"/>
      <c r="SFF15" s="1115"/>
      <c r="SFG15" s="1115"/>
      <c r="SFH15" s="1115"/>
      <c r="SFI15" s="1115"/>
      <c r="SFJ15" s="1115"/>
      <c r="SFK15" s="1115"/>
      <c r="SFL15" s="1115"/>
      <c r="SFM15" s="1115"/>
      <c r="SFN15" s="1115"/>
      <c r="SFO15" s="1115"/>
      <c r="SFP15" s="1115"/>
      <c r="SFQ15" s="1115"/>
      <c r="SFR15" s="1115"/>
      <c r="SFS15" s="1115"/>
      <c r="SFT15" s="1115"/>
      <c r="SFU15" s="1115"/>
      <c r="SFV15" s="1115"/>
      <c r="SFW15" s="1115"/>
      <c r="SFX15" s="1115"/>
      <c r="SFY15" s="1115"/>
      <c r="SFZ15" s="1115"/>
      <c r="SGA15" s="1115"/>
      <c r="SGB15" s="1115"/>
      <c r="SGC15" s="1115"/>
      <c r="SGD15" s="1115"/>
      <c r="SGE15" s="1115"/>
      <c r="SGF15" s="1115"/>
      <c r="SGG15" s="1115"/>
      <c r="SGH15" s="1115"/>
      <c r="SGI15" s="1115"/>
      <c r="SGJ15" s="1115"/>
      <c r="SGK15" s="1115"/>
      <c r="SGL15" s="1115"/>
      <c r="SGM15" s="1115"/>
      <c r="SGN15" s="1115"/>
      <c r="SGO15" s="1115"/>
      <c r="SGP15" s="1115"/>
      <c r="SGQ15" s="1115"/>
      <c r="SGR15" s="1115"/>
      <c r="SGS15" s="1115"/>
      <c r="SGT15" s="1115"/>
      <c r="SGU15" s="1115"/>
      <c r="SGV15" s="1115"/>
      <c r="SGW15" s="1115"/>
      <c r="SGX15" s="1115"/>
      <c r="SGY15" s="1115"/>
      <c r="SGZ15" s="1115"/>
      <c r="SHA15" s="1115"/>
      <c r="SHB15" s="1115"/>
      <c r="SHC15" s="1115"/>
      <c r="SHD15" s="1115"/>
      <c r="SHE15" s="1115"/>
      <c r="SHF15" s="1115"/>
      <c r="SHG15" s="1115"/>
      <c r="SHH15" s="1115"/>
      <c r="SHI15" s="1115"/>
      <c r="SHJ15" s="1115"/>
      <c r="SHK15" s="1115"/>
      <c r="SHL15" s="1115"/>
      <c r="SHM15" s="1115"/>
      <c r="SHN15" s="1115"/>
      <c r="SHO15" s="1115"/>
      <c r="SHP15" s="1115"/>
      <c r="SHQ15" s="1115"/>
      <c r="SHR15" s="1115"/>
      <c r="SHS15" s="1115"/>
      <c r="SHT15" s="1115"/>
      <c r="SHU15" s="1115"/>
      <c r="SHV15" s="1115"/>
      <c r="SHW15" s="1115"/>
      <c r="SHX15" s="1115"/>
      <c r="SHY15" s="1115"/>
      <c r="SHZ15" s="1115"/>
      <c r="SIA15" s="1115"/>
      <c r="SIB15" s="1115"/>
      <c r="SIC15" s="1115"/>
      <c r="SID15" s="1115"/>
      <c r="SIE15" s="1115"/>
      <c r="SIF15" s="1115"/>
      <c r="SIG15" s="1115"/>
      <c r="SIH15" s="1115"/>
      <c r="SII15" s="1115"/>
      <c r="SIJ15" s="1115"/>
      <c r="SIK15" s="1115"/>
      <c r="SIL15" s="1115"/>
      <c r="SIM15" s="1115"/>
      <c r="SIN15" s="1115"/>
      <c r="SIO15" s="1115"/>
      <c r="SIP15" s="1115"/>
      <c r="SIQ15" s="1115"/>
      <c r="SIR15" s="1115"/>
      <c r="SIS15" s="1115"/>
      <c r="SIT15" s="1115"/>
      <c r="SIU15" s="1115"/>
      <c r="SIV15" s="1115"/>
      <c r="SIW15" s="1115"/>
      <c r="SIX15" s="1115"/>
      <c r="SIY15" s="1115"/>
      <c r="SIZ15" s="1115"/>
      <c r="SJA15" s="1115"/>
      <c r="SJB15" s="1115"/>
      <c r="SJC15" s="1115"/>
      <c r="SJD15" s="1115"/>
      <c r="SJE15" s="1115"/>
      <c r="SJF15" s="1115"/>
      <c r="SJG15" s="1115"/>
      <c r="SJH15" s="1115"/>
      <c r="SJI15" s="1115"/>
      <c r="SJJ15" s="1115"/>
      <c r="SJK15" s="1115"/>
      <c r="SJL15" s="1115"/>
      <c r="SJM15" s="1115"/>
      <c r="SJN15" s="1115"/>
      <c r="SJO15" s="1115"/>
      <c r="SJP15" s="1115"/>
      <c r="SJQ15" s="1115"/>
      <c r="SJR15" s="1115"/>
      <c r="SJS15" s="1115"/>
      <c r="SJT15" s="1115"/>
      <c r="SJU15" s="1115"/>
      <c r="SJV15" s="1115"/>
      <c r="SJW15" s="1115"/>
      <c r="SJX15" s="1115"/>
      <c r="SJY15" s="1115"/>
      <c r="SJZ15" s="1115"/>
      <c r="SKA15" s="1115"/>
      <c r="SKB15" s="1115"/>
      <c r="SKC15" s="1115"/>
      <c r="SKD15" s="1115"/>
      <c r="SKE15" s="1115"/>
      <c r="SKF15" s="1115"/>
      <c r="SKG15" s="1115"/>
      <c r="SKH15" s="1115"/>
      <c r="SKI15" s="1115"/>
      <c r="SKJ15" s="1115"/>
      <c r="SKK15" s="1115"/>
      <c r="SKL15" s="1115"/>
      <c r="SKM15" s="1115"/>
      <c r="SKN15" s="1115"/>
      <c r="SKO15" s="1115"/>
      <c r="SKP15" s="1115"/>
      <c r="SKQ15" s="1115"/>
      <c r="SKR15" s="1115"/>
      <c r="SKS15" s="1115"/>
      <c r="SKT15" s="1115"/>
      <c r="SKU15" s="1115"/>
      <c r="SKV15" s="1115"/>
      <c r="SKW15" s="1115"/>
      <c r="SKX15" s="1115"/>
      <c r="SKY15" s="1115"/>
      <c r="SKZ15" s="1115"/>
      <c r="SLA15" s="1115"/>
      <c r="SLB15" s="1115"/>
      <c r="SLC15" s="1115"/>
      <c r="SLD15" s="1115"/>
      <c r="SLE15" s="1115"/>
      <c r="SLF15" s="1115"/>
      <c r="SLG15" s="1115"/>
      <c r="SLH15" s="1115"/>
      <c r="SLI15" s="1115"/>
      <c r="SLJ15" s="1115"/>
      <c r="SLK15" s="1115"/>
      <c r="SLL15" s="1115"/>
      <c r="SLM15" s="1115"/>
      <c r="SLN15" s="1115"/>
      <c r="SLO15" s="1115"/>
      <c r="SLP15" s="1115"/>
      <c r="SLQ15" s="1115"/>
      <c r="SLR15" s="1115"/>
      <c r="SLS15" s="1115"/>
      <c r="SLT15" s="1115"/>
      <c r="SLU15" s="1115"/>
      <c r="SLV15" s="1115"/>
      <c r="SLW15" s="1115"/>
      <c r="SLX15" s="1115"/>
      <c r="SLY15" s="1115"/>
      <c r="SLZ15" s="1115"/>
      <c r="SMA15" s="1115"/>
      <c r="SMB15" s="1115"/>
      <c r="SMC15" s="1115"/>
      <c r="SMD15" s="1115"/>
      <c r="SME15" s="1115"/>
      <c r="SMF15" s="1115"/>
      <c r="SMG15" s="1115"/>
      <c r="SMH15" s="1115"/>
      <c r="SMI15" s="1115"/>
      <c r="SMJ15" s="1115"/>
      <c r="SMK15" s="1115"/>
      <c r="SML15" s="1115"/>
      <c r="SMM15" s="1115"/>
      <c r="SMN15" s="1115"/>
      <c r="SMO15" s="1115"/>
      <c r="SMP15" s="1115"/>
      <c r="SMQ15" s="1115"/>
      <c r="SMR15" s="1115"/>
      <c r="SMS15" s="1115"/>
      <c r="SMT15" s="1115"/>
      <c r="SMU15" s="1115"/>
      <c r="SMV15" s="1115"/>
      <c r="SMW15" s="1115"/>
      <c r="SMX15" s="1115"/>
      <c r="SMY15" s="1115"/>
      <c r="SMZ15" s="1115"/>
      <c r="SNA15" s="1115"/>
      <c r="SNB15" s="1115"/>
      <c r="SNC15" s="1115"/>
      <c r="SND15" s="1115"/>
      <c r="SNE15" s="1115"/>
      <c r="SNF15" s="1115"/>
      <c r="SNG15" s="1115"/>
      <c r="SNH15" s="1115"/>
      <c r="SNI15" s="1115"/>
      <c r="SNJ15" s="1115"/>
      <c r="SNK15" s="1115"/>
      <c r="SNL15" s="1115"/>
      <c r="SNM15" s="1115"/>
      <c r="SNN15" s="1115"/>
      <c r="SNO15" s="1115"/>
      <c r="SNP15" s="1115"/>
      <c r="SNQ15" s="1115"/>
      <c r="SNR15" s="1115"/>
      <c r="SNS15" s="1115"/>
      <c r="SNT15" s="1115"/>
      <c r="SNU15" s="1115"/>
      <c r="SNV15" s="1115"/>
      <c r="SNW15" s="1115"/>
      <c r="SNX15" s="1115"/>
      <c r="SNY15" s="1115"/>
      <c r="SNZ15" s="1115"/>
      <c r="SOA15" s="1115"/>
      <c r="SOB15" s="1115"/>
      <c r="SOC15" s="1115"/>
      <c r="SOD15" s="1115"/>
      <c r="SOE15" s="1115"/>
      <c r="SOF15" s="1115"/>
      <c r="SOG15" s="1115"/>
      <c r="SOH15" s="1115"/>
      <c r="SOI15" s="1115"/>
      <c r="SOJ15" s="1115"/>
      <c r="SOK15" s="1115"/>
      <c r="SOL15" s="1115"/>
      <c r="SOM15" s="1115"/>
      <c r="SON15" s="1115"/>
      <c r="SOO15" s="1115"/>
      <c r="SOP15" s="1115"/>
      <c r="SOQ15" s="1115"/>
      <c r="SOR15" s="1115"/>
      <c r="SOS15" s="1115"/>
      <c r="SOT15" s="1115"/>
      <c r="SOU15" s="1115"/>
      <c r="SOV15" s="1115"/>
      <c r="SOW15" s="1115"/>
      <c r="SOX15" s="1115"/>
      <c r="SOY15" s="1115"/>
      <c r="SOZ15" s="1115"/>
      <c r="SPA15" s="1115"/>
      <c r="SPB15" s="1115"/>
      <c r="SPC15" s="1115"/>
      <c r="SPD15" s="1115"/>
      <c r="SPE15" s="1115"/>
      <c r="SPF15" s="1115"/>
      <c r="SPG15" s="1115"/>
      <c r="SPH15" s="1115"/>
      <c r="SPI15" s="1115"/>
      <c r="SPJ15" s="1115"/>
      <c r="SPK15" s="1115"/>
      <c r="SPL15" s="1115"/>
      <c r="SPM15" s="1115"/>
      <c r="SPN15" s="1115"/>
      <c r="SPO15" s="1115"/>
      <c r="SPP15" s="1115"/>
      <c r="SPQ15" s="1115"/>
      <c r="SPR15" s="1115"/>
      <c r="SPS15" s="1115"/>
      <c r="SPT15" s="1115"/>
      <c r="SPU15" s="1115"/>
      <c r="SPV15" s="1115"/>
      <c r="SPW15" s="1115"/>
      <c r="SPX15" s="1115"/>
      <c r="SPY15" s="1115"/>
      <c r="SPZ15" s="1115"/>
      <c r="SQA15" s="1115"/>
      <c r="SQB15" s="1115"/>
      <c r="SQC15" s="1115"/>
      <c r="SQD15" s="1115"/>
      <c r="SQE15" s="1115"/>
      <c r="SQF15" s="1115"/>
      <c r="SQG15" s="1115"/>
      <c r="SQH15" s="1115"/>
      <c r="SQI15" s="1115"/>
      <c r="SQJ15" s="1115"/>
      <c r="SQK15" s="1115"/>
      <c r="SQL15" s="1115"/>
      <c r="SQM15" s="1115"/>
      <c r="SQN15" s="1115"/>
      <c r="SQO15" s="1115"/>
      <c r="SQP15" s="1115"/>
      <c r="SQQ15" s="1115"/>
      <c r="SQR15" s="1115"/>
      <c r="SQS15" s="1115"/>
      <c r="SQT15" s="1115"/>
      <c r="SQU15" s="1115"/>
      <c r="SQV15" s="1115"/>
      <c r="SQW15" s="1115"/>
      <c r="SQX15" s="1115"/>
      <c r="SQY15" s="1115"/>
      <c r="SQZ15" s="1115"/>
      <c r="SRA15" s="1115"/>
      <c r="SRB15" s="1115"/>
      <c r="SRC15" s="1115"/>
      <c r="SRD15" s="1115"/>
      <c r="SRE15" s="1115"/>
      <c r="SRF15" s="1115"/>
      <c r="SRG15" s="1115"/>
      <c r="SRH15" s="1115"/>
      <c r="SRI15" s="1115"/>
      <c r="SRJ15" s="1115"/>
      <c r="SRK15" s="1115"/>
      <c r="SRL15" s="1115"/>
      <c r="SRM15" s="1115"/>
      <c r="SRN15" s="1115"/>
      <c r="SRO15" s="1115"/>
      <c r="SRP15" s="1115"/>
      <c r="SRQ15" s="1115"/>
      <c r="SRR15" s="1115"/>
      <c r="SRS15" s="1115"/>
      <c r="SRT15" s="1115"/>
      <c r="SRU15" s="1115"/>
      <c r="SRV15" s="1115"/>
      <c r="SRW15" s="1115"/>
      <c r="SRX15" s="1115"/>
      <c r="SRY15" s="1115"/>
      <c r="SRZ15" s="1115"/>
      <c r="SSA15" s="1115"/>
      <c r="SSB15" s="1115"/>
      <c r="SSC15" s="1115"/>
      <c r="SSD15" s="1115"/>
      <c r="SSE15" s="1115"/>
      <c r="SSF15" s="1115"/>
      <c r="SSG15" s="1115"/>
      <c r="SSH15" s="1115"/>
      <c r="SSI15" s="1115"/>
      <c r="SSJ15" s="1115"/>
      <c r="SSK15" s="1115"/>
      <c r="SSL15" s="1115"/>
      <c r="SSM15" s="1115"/>
      <c r="SSN15" s="1115"/>
      <c r="SSO15" s="1115"/>
      <c r="SSP15" s="1115"/>
      <c r="SSQ15" s="1115"/>
      <c r="SSR15" s="1115"/>
      <c r="SSS15" s="1115"/>
      <c r="SST15" s="1115"/>
      <c r="SSU15" s="1115"/>
      <c r="SSV15" s="1115"/>
      <c r="SSW15" s="1115"/>
      <c r="SSX15" s="1115"/>
      <c r="SSY15" s="1115"/>
      <c r="SSZ15" s="1115"/>
      <c r="STA15" s="1115"/>
      <c r="STB15" s="1115"/>
      <c r="STC15" s="1115"/>
      <c r="STD15" s="1115"/>
      <c r="STE15" s="1115"/>
      <c r="STF15" s="1115"/>
      <c r="STG15" s="1115"/>
      <c r="STH15" s="1115"/>
      <c r="STI15" s="1115"/>
      <c r="STJ15" s="1115"/>
      <c r="STK15" s="1115"/>
      <c r="STL15" s="1115"/>
      <c r="STM15" s="1115"/>
      <c r="STN15" s="1115"/>
      <c r="STO15" s="1115"/>
      <c r="STP15" s="1115"/>
      <c r="STQ15" s="1115"/>
      <c r="STR15" s="1115"/>
      <c r="STS15" s="1115"/>
      <c r="STT15" s="1115"/>
      <c r="STU15" s="1115"/>
      <c r="STV15" s="1115"/>
      <c r="STW15" s="1115"/>
      <c r="STX15" s="1115"/>
      <c r="STY15" s="1115"/>
      <c r="STZ15" s="1115"/>
      <c r="SUA15" s="1115"/>
      <c r="SUB15" s="1115"/>
      <c r="SUC15" s="1115"/>
      <c r="SUD15" s="1115"/>
      <c r="SUE15" s="1115"/>
      <c r="SUF15" s="1115"/>
      <c r="SUG15" s="1115"/>
      <c r="SUH15" s="1115"/>
      <c r="SUI15" s="1115"/>
      <c r="SUJ15" s="1115"/>
      <c r="SUK15" s="1115"/>
      <c r="SUL15" s="1115"/>
      <c r="SUM15" s="1115"/>
      <c r="SUN15" s="1115"/>
      <c r="SUO15" s="1115"/>
      <c r="SUP15" s="1115"/>
      <c r="SUQ15" s="1115"/>
      <c r="SUR15" s="1115"/>
      <c r="SUS15" s="1115"/>
      <c r="SUT15" s="1115"/>
      <c r="SUU15" s="1115"/>
      <c r="SUV15" s="1115"/>
      <c r="SUW15" s="1115"/>
      <c r="SUX15" s="1115"/>
      <c r="SUY15" s="1115"/>
      <c r="SUZ15" s="1115"/>
      <c r="SVA15" s="1115"/>
      <c r="SVB15" s="1115"/>
      <c r="SVC15" s="1115"/>
      <c r="SVD15" s="1115"/>
      <c r="SVE15" s="1115"/>
      <c r="SVF15" s="1115"/>
      <c r="SVG15" s="1115"/>
      <c r="SVH15" s="1115"/>
      <c r="SVI15" s="1115"/>
      <c r="SVJ15" s="1115"/>
      <c r="SVK15" s="1115"/>
      <c r="SVL15" s="1115"/>
      <c r="SVM15" s="1115"/>
      <c r="SVN15" s="1115"/>
      <c r="SVO15" s="1115"/>
      <c r="SVP15" s="1115"/>
      <c r="SVQ15" s="1115"/>
      <c r="SVR15" s="1115"/>
      <c r="SVS15" s="1115"/>
      <c r="SVT15" s="1115"/>
      <c r="SVU15" s="1115"/>
      <c r="SVV15" s="1115"/>
      <c r="SVW15" s="1115"/>
      <c r="SVX15" s="1115"/>
      <c r="SVY15" s="1115"/>
      <c r="SVZ15" s="1115"/>
      <c r="SWA15" s="1115"/>
      <c r="SWB15" s="1115"/>
      <c r="SWC15" s="1115"/>
      <c r="SWD15" s="1115"/>
      <c r="SWE15" s="1115"/>
      <c r="SWF15" s="1115"/>
      <c r="SWG15" s="1115"/>
      <c r="SWH15" s="1115"/>
      <c r="SWI15" s="1115"/>
      <c r="SWJ15" s="1115"/>
      <c r="SWK15" s="1115"/>
      <c r="SWL15" s="1115"/>
      <c r="SWM15" s="1115"/>
      <c r="SWN15" s="1115"/>
      <c r="SWO15" s="1115"/>
      <c r="SWP15" s="1115"/>
      <c r="SWQ15" s="1115"/>
      <c r="SWR15" s="1115"/>
      <c r="SWS15" s="1115"/>
      <c r="SWT15" s="1115"/>
      <c r="SWU15" s="1115"/>
      <c r="SWV15" s="1115"/>
      <c r="SWW15" s="1115"/>
      <c r="SWX15" s="1115"/>
      <c r="SWY15" s="1115"/>
      <c r="SWZ15" s="1115"/>
      <c r="SXA15" s="1115"/>
      <c r="SXB15" s="1115"/>
      <c r="SXC15" s="1115"/>
      <c r="SXD15" s="1115"/>
      <c r="SXE15" s="1115"/>
      <c r="SXF15" s="1115"/>
      <c r="SXG15" s="1115"/>
      <c r="SXH15" s="1115"/>
      <c r="SXI15" s="1115"/>
      <c r="SXJ15" s="1115"/>
      <c r="SXK15" s="1115"/>
      <c r="SXL15" s="1115"/>
      <c r="SXM15" s="1115"/>
      <c r="SXN15" s="1115"/>
      <c r="SXO15" s="1115"/>
      <c r="SXP15" s="1115"/>
      <c r="SXQ15" s="1115"/>
      <c r="SXR15" s="1115"/>
      <c r="SXS15" s="1115"/>
      <c r="SXT15" s="1115"/>
      <c r="SXU15" s="1115"/>
      <c r="SXV15" s="1115"/>
      <c r="SXW15" s="1115"/>
      <c r="SXX15" s="1115"/>
      <c r="SXY15" s="1115"/>
      <c r="SXZ15" s="1115"/>
      <c r="SYA15" s="1115"/>
      <c r="SYB15" s="1115"/>
      <c r="SYC15" s="1115"/>
      <c r="SYD15" s="1115"/>
      <c r="SYE15" s="1115"/>
      <c r="SYF15" s="1115"/>
      <c r="SYG15" s="1115"/>
      <c r="SYH15" s="1115"/>
      <c r="SYI15" s="1115"/>
      <c r="SYJ15" s="1115"/>
      <c r="SYK15" s="1115"/>
      <c r="SYL15" s="1115"/>
      <c r="SYM15" s="1115"/>
      <c r="SYN15" s="1115"/>
      <c r="SYO15" s="1115"/>
      <c r="SYP15" s="1115"/>
      <c r="SYQ15" s="1115"/>
      <c r="SYR15" s="1115"/>
      <c r="SYS15" s="1115"/>
      <c r="SYT15" s="1115"/>
      <c r="SYU15" s="1115"/>
      <c r="SYV15" s="1115"/>
      <c r="SYW15" s="1115"/>
      <c r="SYX15" s="1115"/>
      <c r="SYY15" s="1115"/>
      <c r="SYZ15" s="1115"/>
      <c r="SZA15" s="1115"/>
      <c r="SZB15" s="1115"/>
      <c r="SZC15" s="1115"/>
      <c r="SZD15" s="1115"/>
      <c r="SZE15" s="1115"/>
      <c r="SZF15" s="1115"/>
      <c r="SZG15" s="1115"/>
      <c r="SZH15" s="1115"/>
      <c r="SZI15" s="1115"/>
      <c r="SZJ15" s="1115"/>
      <c r="SZK15" s="1115"/>
      <c r="SZL15" s="1115"/>
      <c r="SZM15" s="1115"/>
      <c r="SZN15" s="1115"/>
      <c r="SZO15" s="1115"/>
      <c r="SZP15" s="1115"/>
      <c r="SZQ15" s="1115"/>
      <c r="SZR15" s="1115"/>
      <c r="SZS15" s="1115"/>
      <c r="SZT15" s="1115"/>
      <c r="SZU15" s="1115"/>
      <c r="SZV15" s="1115"/>
      <c r="SZW15" s="1115"/>
      <c r="SZX15" s="1115"/>
      <c r="SZY15" s="1115"/>
      <c r="SZZ15" s="1115"/>
      <c r="TAA15" s="1115"/>
      <c r="TAB15" s="1115"/>
      <c r="TAC15" s="1115"/>
      <c r="TAD15" s="1115"/>
      <c r="TAE15" s="1115"/>
      <c r="TAF15" s="1115"/>
      <c r="TAG15" s="1115"/>
      <c r="TAH15" s="1115"/>
      <c r="TAI15" s="1115"/>
      <c r="TAJ15" s="1115"/>
      <c r="TAK15" s="1115"/>
      <c r="TAL15" s="1115"/>
      <c r="TAM15" s="1115"/>
      <c r="TAN15" s="1115"/>
      <c r="TAO15" s="1115"/>
      <c r="TAP15" s="1115"/>
      <c r="TAQ15" s="1115"/>
      <c r="TAR15" s="1115"/>
      <c r="TAS15" s="1115"/>
      <c r="TAT15" s="1115"/>
      <c r="TAU15" s="1115"/>
      <c r="TAV15" s="1115"/>
      <c r="TAW15" s="1115"/>
      <c r="TAX15" s="1115"/>
      <c r="TAY15" s="1115"/>
      <c r="TAZ15" s="1115"/>
      <c r="TBA15" s="1115"/>
      <c r="TBB15" s="1115"/>
      <c r="TBC15" s="1115"/>
      <c r="TBD15" s="1115"/>
      <c r="TBE15" s="1115"/>
      <c r="TBF15" s="1115"/>
      <c r="TBG15" s="1115"/>
      <c r="TBH15" s="1115"/>
      <c r="TBI15" s="1115"/>
      <c r="TBJ15" s="1115"/>
      <c r="TBK15" s="1115"/>
      <c r="TBL15" s="1115"/>
      <c r="TBM15" s="1115"/>
      <c r="TBN15" s="1115"/>
      <c r="TBO15" s="1115"/>
      <c r="TBP15" s="1115"/>
      <c r="TBQ15" s="1115"/>
      <c r="TBR15" s="1115"/>
      <c r="TBS15" s="1115"/>
      <c r="TBT15" s="1115"/>
      <c r="TBU15" s="1115"/>
      <c r="TBV15" s="1115"/>
      <c r="TBW15" s="1115"/>
      <c r="TBX15" s="1115"/>
      <c r="TBY15" s="1115"/>
      <c r="TBZ15" s="1115"/>
      <c r="TCA15" s="1115"/>
      <c r="TCB15" s="1115"/>
      <c r="TCC15" s="1115"/>
      <c r="TCD15" s="1115"/>
      <c r="TCE15" s="1115"/>
      <c r="TCF15" s="1115"/>
      <c r="TCG15" s="1115"/>
      <c r="TCH15" s="1115"/>
      <c r="TCI15" s="1115"/>
      <c r="TCJ15" s="1115"/>
      <c r="TCK15" s="1115"/>
      <c r="TCL15" s="1115"/>
      <c r="TCM15" s="1115"/>
      <c r="TCN15" s="1115"/>
      <c r="TCO15" s="1115"/>
      <c r="TCP15" s="1115"/>
      <c r="TCQ15" s="1115"/>
      <c r="TCR15" s="1115"/>
      <c r="TCS15" s="1115"/>
      <c r="TCT15" s="1115"/>
      <c r="TCU15" s="1115"/>
      <c r="TCV15" s="1115"/>
      <c r="TCW15" s="1115"/>
      <c r="TCX15" s="1115"/>
      <c r="TCY15" s="1115"/>
      <c r="TCZ15" s="1115"/>
      <c r="TDA15" s="1115"/>
      <c r="TDB15" s="1115"/>
      <c r="TDC15" s="1115"/>
      <c r="TDD15" s="1115"/>
      <c r="TDE15" s="1115"/>
      <c r="TDF15" s="1115"/>
      <c r="TDG15" s="1115"/>
      <c r="TDH15" s="1115"/>
      <c r="TDI15" s="1115"/>
      <c r="TDJ15" s="1115"/>
      <c r="TDK15" s="1115"/>
      <c r="TDL15" s="1115"/>
      <c r="TDM15" s="1115"/>
      <c r="TDN15" s="1115"/>
      <c r="TDO15" s="1115"/>
      <c r="TDP15" s="1115"/>
      <c r="TDQ15" s="1115"/>
      <c r="TDR15" s="1115"/>
      <c r="TDS15" s="1115"/>
      <c r="TDT15" s="1115"/>
      <c r="TDU15" s="1115"/>
      <c r="TDV15" s="1115"/>
      <c r="TDW15" s="1115"/>
      <c r="TDX15" s="1115"/>
      <c r="TDY15" s="1115"/>
      <c r="TDZ15" s="1115"/>
      <c r="TEA15" s="1115"/>
      <c r="TEB15" s="1115"/>
      <c r="TEC15" s="1115"/>
      <c r="TED15" s="1115"/>
      <c r="TEE15" s="1115"/>
      <c r="TEF15" s="1115"/>
      <c r="TEG15" s="1115"/>
      <c r="TEH15" s="1115"/>
      <c r="TEI15" s="1115"/>
      <c r="TEJ15" s="1115"/>
      <c r="TEK15" s="1115"/>
      <c r="TEL15" s="1115"/>
      <c r="TEM15" s="1115"/>
      <c r="TEN15" s="1115"/>
      <c r="TEO15" s="1115"/>
      <c r="TEP15" s="1115"/>
      <c r="TEQ15" s="1115"/>
      <c r="TER15" s="1115"/>
      <c r="TES15" s="1115"/>
      <c r="TET15" s="1115"/>
      <c r="TEU15" s="1115"/>
      <c r="TEV15" s="1115"/>
      <c r="TEW15" s="1115"/>
      <c r="TEX15" s="1115"/>
      <c r="TEY15" s="1115"/>
      <c r="TEZ15" s="1115"/>
      <c r="TFA15" s="1115"/>
      <c r="TFB15" s="1115"/>
      <c r="TFC15" s="1115"/>
      <c r="TFD15" s="1115"/>
      <c r="TFE15" s="1115"/>
      <c r="TFF15" s="1115"/>
      <c r="TFG15" s="1115"/>
      <c r="TFH15" s="1115"/>
      <c r="TFI15" s="1115"/>
      <c r="TFJ15" s="1115"/>
      <c r="TFK15" s="1115"/>
      <c r="TFL15" s="1115"/>
      <c r="TFM15" s="1115"/>
      <c r="TFN15" s="1115"/>
      <c r="TFO15" s="1115"/>
      <c r="TFP15" s="1115"/>
      <c r="TFQ15" s="1115"/>
      <c r="TFR15" s="1115"/>
      <c r="TFS15" s="1115"/>
      <c r="TFT15" s="1115"/>
      <c r="TFU15" s="1115"/>
      <c r="TFV15" s="1115"/>
      <c r="TFW15" s="1115"/>
      <c r="TFX15" s="1115"/>
      <c r="TFY15" s="1115"/>
      <c r="TFZ15" s="1115"/>
      <c r="TGA15" s="1115"/>
      <c r="TGB15" s="1115"/>
      <c r="TGC15" s="1115"/>
      <c r="TGD15" s="1115"/>
      <c r="TGE15" s="1115"/>
      <c r="TGF15" s="1115"/>
      <c r="TGG15" s="1115"/>
      <c r="TGH15" s="1115"/>
      <c r="TGI15" s="1115"/>
      <c r="TGJ15" s="1115"/>
      <c r="TGK15" s="1115"/>
      <c r="TGL15" s="1115"/>
      <c r="TGM15" s="1115"/>
      <c r="TGN15" s="1115"/>
      <c r="TGO15" s="1115"/>
      <c r="TGP15" s="1115"/>
      <c r="TGQ15" s="1115"/>
      <c r="TGR15" s="1115"/>
      <c r="TGS15" s="1115"/>
      <c r="TGT15" s="1115"/>
      <c r="TGU15" s="1115"/>
      <c r="TGV15" s="1115"/>
      <c r="TGW15" s="1115"/>
      <c r="TGX15" s="1115"/>
      <c r="TGY15" s="1115"/>
      <c r="TGZ15" s="1115"/>
      <c r="THA15" s="1115"/>
      <c r="THB15" s="1115"/>
      <c r="THC15" s="1115"/>
      <c r="THD15" s="1115"/>
      <c r="THE15" s="1115"/>
      <c r="THF15" s="1115"/>
      <c r="THG15" s="1115"/>
      <c r="THH15" s="1115"/>
      <c r="THI15" s="1115"/>
      <c r="THJ15" s="1115"/>
      <c r="THK15" s="1115"/>
      <c r="THL15" s="1115"/>
      <c r="THM15" s="1115"/>
      <c r="THN15" s="1115"/>
      <c r="THO15" s="1115"/>
      <c r="THP15" s="1115"/>
      <c r="THQ15" s="1115"/>
      <c r="THR15" s="1115"/>
      <c r="THS15" s="1115"/>
      <c r="THT15" s="1115"/>
      <c r="THU15" s="1115"/>
      <c r="THV15" s="1115"/>
      <c r="THW15" s="1115"/>
      <c r="THX15" s="1115"/>
      <c r="THY15" s="1115"/>
      <c r="THZ15" s="1115"/>
      <c r="TIA15" s="1115"/>
      <c r="TIB15" s="1115"/>
      <c r="TIC15" s="1115"/>
      <c r="TID15" s="1115"/>
      <c r="TIE15" s="1115"/>
      <c r="TIF15" s="1115"/>
      <c r="TIG15" s="1115"/>
      <c r="TIH15" s="1115"/>
      <c r="TII15" s="1115"/>
      <c r="TIJ15" s="1115"/>
      <c r="TIK15" s="1115"/>
      <c r="TIL15" s="1115"/>
      <c r="TIM15" s="1115"/>
      <c r="TIN15" s="1115"/>
      <c r="TIO15" s="1115"/>
      <c r="TIP15" s="1115"/>
      <c r="TIQ15" s="1115"/>
      <c r="TIR15" s="1115"/>
      <c r="TIS15" s="1115"/>
      <c r="TIT15" s="1115"/>
      <c r="TIU15" s="1115"/>
      <c r="TIV15" s="1115"/>
      <c r="TIW15" s="1115"/>
      <c r="TIX15" s="1115"/>
      <c r="TIY15" s="1115"/>
      <c r="TIZ15" s="1115"/>
      <c r="TJA15" s="1115"/>
      <c r="TJB15" s="1115"/>
      <c r="TJC15" s="1115"/>
      <c r="TJD15" s="1115"/>
      <c r="TJE15" s="1115"/>
      <c r="TJF15" s="1115"/>
      <c r="TJG15" s="1115"/>
      <c r="TJH15" s="1115"/>
      <c r="TJI15" s="1115"/>
      <c r="TJJ15" s="1115"/>
      <c r="TJK15" s="1115"/>
      <c r="TJL15" s="1115"/>
      <c r="TJM15" s="1115"/>
      <c r="TJN15" s="1115"/>
      <c r="TJO15" s="1115"/>
      <c r="TJP15" s="1115"/>
      <c r="TJQ15" s="1115"/>
      <c r="TJR15" s="1115"/>
      <c r="TJS15" s="1115"/>
      <c r="TJT15" s="1115"/>
      <c r="TJU15" s="1115"/>
      <c r="TJV15" s="1115"/>
      <c r="TJW15" s="1115"/>
      <c r="TJX15" s="1115"/>
      <c r="TJY15" s="1115"/>
      <c r="TJZ15" s="1115"/>
      <c r="TKA15" s="1115"/>
      <c r="TKB15" s="1115"/>
      <c r="TKC15" s="1115"/>
      <c r="TKD15" s="1115"/>
      <c r="TKE15" s="1115"/>
      <c r="TKF15" s="1115"/>
      <c r="TKG15" s="1115"/>
      <c r="TKH15" s="1115"/>
      <c r="TKI15" s="1115"/>
      <c r="TKJ15" s="1115"/>
      <c r="TKK15" s="1115"/>
      <c r="TKL15" s="1115"/>
      <c r="TKM15" s="1115"/>
      <c r="TKN15" s="1115"/>
      <c r="TKO15" s="1115"/>
      <c r="TKP15" s="1115"/>
      <c r="TKQ15" s="1115"/>
      <c r="TKR15" s="1115"/>
      <c r="TKS15" s="1115"/>
      <c r="TKT15" s="1115"/>
      <c r="TKU15" s="1115"/>
      <c r="TKV15" s="1115"/>
      <c r="TKW15" s="1115"/>
      <c r="TKX15" s="1115"/>
      <c r="TKY15" s="1115"/>
      <c r="TKZ15" s="1115"/>
      <c r="TLA15" s="1115"/>
      <c r="TLB15" s="1115"/>
      <c r="TLC15" s="1115"/>
      <c r="TLD15" s="1115"/>
      <c r="TLE15" s="1115"/>
      <c r="TLF15" s="1115"/>
      <c r="TLG15" s="1115"/>
      <c r="TLH15" s="1115"/>
      <c r="TLI15" s="1115"/>
      <c r="TLJ15" s="1115"/>
      <c r="TLK15" s="1115"/>
      <c r="TLL15" s="1115"/>
      <c r="TLM15" s="1115"/>
      <c r="TLN15" s="1115"/>
      <c r="TLO15" s="1115"/>
      <c r="TLP15" s="1115"/>
      <c r="TLQ15" s="1115"/>
      <c r="TLR15" s="1115"/>
      <c r="TLS15" s="1115"/>
      <c r="TLT15" s="1115"/>
      <c r="TLU15" s="1115"/>
      <c r="TLV15" s="1115"/>
      <c r="TLW15" s="1115"/>
      <c r="TLX15" s="1115"/>
      <c r="TLY15" s="1115"/>
      <c r="TLZ15" s="1115"/>
      <c r="TMA15" s="1115"/>
      <c r="TMB15" s="1115"/>
      <c r="TMC15" s="1115"/>
      <c r="TMD15" s="1115"/>
      <c r="TME15" s="1115"/>
      <c r="TMF15" s="1115"/>
      <c r="TMG15" s="1115"/>
      <c r="TMH15" s="1115"/>
      <c r="TMI15" s="1115"/>
      <c r="TMJ15" s="1115"/>
      <c r="TMK15" s="1115"/>
      <c r="TML15" s="1115"/>
      <c r="TMM15" s="1115"/>
      <c r="TMN15" s="1115"/>
      <c r="TMO15" s="1115"/>
      <c r="TMP15" s="1115"/>
      <c r="TMQ15" s="1115"/>
      <c r="TMR15" s="1115"/>
      <c r="TMS15" s="1115"/>
      <c r="TMT15" s="1115"/>
      <c r="TMU15" s="1115"/>
      <c r="TMV15" s="1115"/>
      <c r="TMW15" s="1115"/>
      <c r="TMX15" s="1115"/>
      <c r="TMY15" s="1115"/>
      <c r="TMZ15" s="1115"/>
      <c r="TNA15" s="1115"/>
      <c r="TNB15" s="1115"/>
      <c r="TNC15" s="1115"/>
      <c r="TND15" s="1115"/>
      <c r="TNE15" s="1115"/>
      <c r="TNF15" s="1115"/>
      <c r="TNG15" s="1115"/>
      <c r="TNH15" s="1115"/>
      <c r="TNI15" s="1115"/>
      <c r="TNJ15" s="1115"/>
      <c r="TNK15" s="1115"/>
      <c r="TNL15" s="1115"/>
      <c r="TNM15" s="1115"/>
      <c r="TNN15" s="1115"/>
      <c r="TNO15" s="1115"/>
      <c r="TNP15" s="1115"/>
      <c r="TNQ15" s="1115"/>
      <c r="TNR15" s="1115"/>
      <c r="TNS15" s="1115"/>
      <c r="TNT15" s="1115"/>
      <c r="TNU15" s="1115"/>
      <c r="TNV15" s="1115"/>
      <c r="TNW15" s="1115"/>
      <c r="TNX15" s="1115"/>
      <c r="TNY15" s="1115"/>
      <c r="TNZ15" s="1115"/>
      <c r="TOA15" s="1115"/>
      <c r="TOB15" s="1115"/>
      <c r="TOC15" s="1115"/>
      <c r="TOD15" s="1115"/>
      <c r="TOE15" s="1115"/>
      <c r="TOF15" s="1115"/>
      <c r="TOG15" s="1115"/>
      <c r="TOH15" s="1115"/>
      <c r="TOI15" s="1115"/>
      <c r="TOJ15" s="1115"/>
      <c r="TOK15" s="1115"/>
      <c r="TOL15" s="1115"/>
      <c r="TOM15" s="1115"/>
      <c r="TON15" s="1115"/>
      <c r="TOO15" s="1115"/>
      <c r="TOP15" s="1115"/>
      <c r="TOQ15" s="1115"/>
      <c r="TOR15" s="1115"/>
      <c r="TOS15" s="1115"/>
      <c r="TOT15" s="1115"/>
      <c r="TOU15" s="1115"/>
      <c r="TOV15" s="1115"/>
      <c r="TOW15" s="1115"/>
      <c r="TOX15" s="1115"/>
      <c r="TOY15" s="1115"/>
      <c r="TOZ15" s="1115"/>
      <c r="TPA15" s="1115"/>
      <c r="TPB15" s="1115"/>
      <c r="TPC15" s="1115"/>
      <c r="TPD15" s="1115"/>
      <c r="TPE15" s="1115"/>
      <c r="TPF15" s="1115"/>
      <c r="TPG15" s="1115"/>
      <c r="TPH15" s="1115"/>
      <c r="TPI15" s="1115"/>
      <c r="TPJ15" s="1115"/>
      <c r="TPK15" s="1115"/>
      <c r="TPL15" s="1115"/>
      <c r="TPM15" s="1115"/>
      <c r="TPN15" s="1115"/>
      <c r="TPO15" s="1115"/>
      <c r="TPP15" s="1115"/>
      <c r="TPQ15" s="1115"/>
      <c r="TPR15" s="1115"/>
      <c r="TPS15" s="1115"/>
      <c r="TPT15" s="1115"/>
      <c r="TPU15" s="1115"/>
      <c r="TPV15" s="1115"/>
      <c r="TPW15" s="1115"/>
      <c r="TPX15" s="1115"/>
      <c r="TPY15" s="1115"/>
      <c r="TPZ15" s="1115"/>
      <c r="TQA15" s="1115"/>
      <c r="TQB15" s="1115"/>
      <c r="TQC15" s="1115"/>
      <c r="TQD15" s="1115"/>
      <c r="TQE15" s="1115"/>
      <c r="TQF15" s="1115"/>
      <c r="TQG15" s="1115"/>
      <c r="TQH15" s="1115"/>
      <c r="TQI15" s="1115"/>
      <c r="TQJ15" s="1115"/>
      <c r="TQK15" s="1115"/>
      <c r="TQL15" s="1115"/>
      <c r="TQM15" s="1115"/>
      <c r="TQN15" s="1115"/>
      <c r="TQO15" s="1115"/>
      <c r="TQP15" s="1115"/>
      <c r="TQQ15" s="1115"/>
      <c r="TQR15" s="1115"/>
      <c r="TQS15" s="1115"/>
      <c r="TQT15" s="1115"/>
      <c r="TQU15" s="1115"/>
      <c r="TQV15" s="1115"/>
      <c r="TQW15" s="1115"/>
      <c r="TQX15" s="1115"/>
      <c r="TQY15" s="1115"/>
      <c r="TQZ15" s="1115"/>
      <c r="TRA15" s="1115"/>
      <c r="TRB15" s="1115"/>
      <c r="TRC15" s="1115"/>
      <c r="TRD15" s="1115"/>
      <c r="TRE15" s="1115"/>
      <c r="TRF15" s="1115"/>
      <c r="TRG15" s="1115"/>
      <c r="TRH15" s="1115"/>
      <c r="TRI15" s="1115"/>
      <c r="TRJ15" s="1115"/>
      <c r="TRK15" s="1115"/>
      <c r="TRL15" s="1115"/>
      <c r="TRM15" s="1115"/>
      <c r="TRN15" s="1115"/>
      <c r="TRO15" s="1115"/>
      <c r="TRP15" s="1115"/>
      <c r="TRQ15" s="1115"/>
      <c r="TRR15" s="1115"/>
      <c r="TRS15" s="1115"/>
      <c r="TRT15" s="1115"/>
      <c r="TRU15" s="1115"/>
      <c r="TRV15" s="1115"/>
      <c r="TRW15" s="1115"/>
      <c r="TRX15" s="1115"/>
      <c r="TRY15" s="1115"/>
      <c r="TRZ15" s="1115"/>
      <c r="TSA15" s="1115"/>
      <c r="TSB15" s="1115"/>
      <c r="TSC15" s="1115"/>
      <c r="TSD15" s="1115"/>
      <c r="TSE15" s="1115"/>
      <c r="TSF15" s="1115"/>
      <c r="TSG15" s="1115"/>
      <c r="TSH15" s="1115"/>
      <c r="TSI15" s="1115"/>
      <c r="TSJ15" s="1115"/>
      <c r="TSK15" s="1115"/>
      <c r="TSL15" s="1115"/>
      <c r="TSM15" s="1115"/>
      <c r="TSN15" s="1115"/>
      <c r="TSO15" s="1115"/>
      <c r="TSP15" s="1115"/>
      <c r="TSQ15" s="1115"/>
      <c r="TSR15" s="1115"/>
      <c r="TSS15" s="1115"/>
      <c r="TST15" s="1115"/>
      <c r="TSU15" s="1115"/>
      <c r="TSV15" s="1115"/>
      <c r="TSW15" s="1115"/>
      <c r="TSX15" s="1115"/>
      <c r="TSY15" s="1115"/>
      <c r="TSZ15" s="1115"/>
      <c r="TTA15" s="1115"/>
      <c r="TTB15" s="1115"/>
      <c r="TTC15" s="1115"/>
      <c r="TTD15" s="1115"/>
      <c r="TTE15" s="1115"/>
      <c r="TTF15" s="1115"/>
      <c r="TTG15" s="1115"/>
      <c r="TTH15" s="1115"/>
      <c r="TTI15" s="1115"/>
      <c r="TTJ15" s="1115"/>
      <c r="TTK15" s="1115"/>
      <c r="TTL15" s="1115"/>
      <c r="TTM15" s="1115"/>
      <c r="TTN15" s="1115"/>
      <c r="TTO15" s="1115"/>
      <c r="TTP15" s="1115"/>
      <c r="TTQ15" s="1115"/>
      <c r="TTR15" s="1115"/>
      <c r="TTS15" s="1115"/>
      <c r="TTT15" s="1115"/>
      <c r="TTU15" s="1115"/>
      <c r="TTV15" s="1115"/>
      <c r="TTW15" s="1115"/>
      <c r="TTX15" s="1115"/>
      <c r="TTY15" s="1115"/>
      <c r="TTZ15" s="1115"/>
      <c r="TUA15" s="1115"/>
      <c r="TUB15" s="1115"/>
      <c r="TUC15" s="1115"/>
      <c r="TUD15" s="1115"/>
      <c r="TUE15" s="1115"/>
      <c r="TUF15" s="1115"/>
      <c r="TUG15" s="1115"/>
      <c r="TUH15" s="1115"/>
      <c r="TUI15" s="1115"/>
      <c r="TUJ15" s="1115"/>
      <c r="TUK15" s="1115"/>
      <c r="TUL15" s="1115"/>
      <c r="TUM15" s="1115"/>
      <c r="TUN15" s="1115"/>
      <c r="TUO15" s="1115"/>
      <c r="TUP15" s="1115"/>
      <c r="TUQ15" s="1115"/>
      <c r="TUR15" s="1115"/>
      <c r="TUS15" s="1115"/>
      <c r="TUT15" s="1115"/>
      <c r="TUU15" s="1115"/>
      <c r="TUV15" s="1115"/>
      <c r="TUW15" s="1115"/>
      <c r="TUX15" s="1115"/>
      <c r="TUY15" s="1115"/>
      <c r="TUZ15" s="1115"/>
      <c r="TVA15" s="1115"/>
      <c r="TVB15" s="1115"/>
      <c r="TVC15" s="1115"/>
      <c r="TVD15" s="1115"/>
      <c r="TVE15" s="1115"/>
      <c r="TVF15" s="1115"/>
      <c r="TVG15" s="1115"/>
      <c r="TVH15" s="1115"/>
      <c r="TVI15" s="1115"/>
      <c r="TVJ15" s="1115"/>
      <c r="TVK15" s="1115"/>
      <c r="TVL15" s="1115"/>
      <c r="TVM15" s="1115"/>
      <c r="TVN15" s="1115"/>
      <c r="TVO15" s="1115"/>
      <c r="TVP15" s="1115"/>
      <c r="TVQ15" s="1115"/>
      <c r="TVR15" s="1115"/>
      <c r="TVS15" s="1115"/>
      <c r="TVT15" s="1115"/>
      <c r="TVU15" s="1115"/>
      <c r="TVV15" s="1115"/>
      <c r="TVW15" s="1115"/>
      <c r="TVX15" s="1115"/>
      <c r="TVY15" s="1115"/>
      <c r="TVZ15" s="1115"/>
      <c r="TWA15" s="1115"/>
      <c r="TWB15" s="1115"/>
      <c r="TWC15" s="1115"/>
      <c r="TWD15" s="1115"/>
      <c r="TWE15" s="1115"/>
      <c r="TWF15" s="1115"/>
      <c r="TWG15" s="1115"/>
      <c r="TWH15" s="1115"/>
      <c r="TWI15" s="1115"/>
      <c r="TWJ15" s="1115"/>
      <c r="TWK15" s="1115"/>
      <c r="TWL15" s="1115"/>
      <c r="TWM15" s="1115"/>
      <c r="TWN15" s="1115"/>
      <c r="TWO15" s="1115"/>
      <c r="TWP15" s="1115"/>
      <c r="TWQ15" s="1115"/>
      <c r="TWR15" s="1115"/>
      <c r="TWS15" s="1115"/>
      <c r="TWT15" s="1115"/>
      <c r="TWU15" s="1115"/>
      <c r="TWV15" s="1115"/>
      <c r="TWW15" s="1115"/>
      <c r="TWX15" s="1115"/>
      <c r="TWY15" s="1115"/>
      <c r="TWZ15" s="1115"/>
      <c r="TXA15" s="1115"/>
      <c r="TXB15" s="1115"/>
      <c r="TXC15" s="1115"/>
      <c r="TXD15" s="1115"/>
      <c r="TXE15" s="1115"/>
      <c r="TXF15" s="1115"/>
      <c r="TXG15" s="1115"/>
      <c r="TXH15" s="1115"/>
      <c r="TXI15" s="1115"/>
      <c r="TXJ15" s="1115"/>
      <c r="TXK15" s="1115"/>
      <c r="TXL15" s="1115"/>
      <c r="TXM15" s="1115"/>
      <c r="TXN15" s="1115"/>
      <c r="TXO15" s="1115"/>
      <c r="TXP15" s="1115"/>
      <c r="TXQ15" s="1115"/>
      <c r="TXR15" s="1115"/>
      <c r="TXS15" s="1115"/>
      <c r="TXT15" s="1115"/>
      <c r="TXU15" s="1115"/>
      <c r="TXV15" s="1115"/>
      <c r="TXW15" s="1115"/>
      <c r="TXX15" s="1115"/>
      <c r="TXY15" s="1115"/>
      <c r="TXZ15" s="1115"/>
      <c r="TYA15" s="1115"/>
      <c r="TYB15" s="1115"/>
      <c r="TYC15" s="1115"/>
      <c r="TYD15" s="1115"/>
      <c r="TYE15" s="1115"/>
      <c r="TYF15" s="1115"/>
      <c r="TYG15" s="1115"/>
      <c r="TYH15" s="1115"/>
      <c r="TYI15" s="1115"/>
      <c r="TYJ15" s="1115"/>
      <c r="TYK15" s="1115"/>
      <c r="TYL15" s="1115"/>
      <c r="TYM15" s="1115"/>
      <c r="TYN15" s="1115"/>
      <c r="TYO15" s="1115"/>
      <c r="TYP15" s="1115"/>
      <c r="TYQ15" s="1115"/>
      <c r="TYR15" s="1115"/>
      <c r="TYS15" s="1115"/>
      <c r="TYT15" s="1115"/>
      <c r="TYU15" s="1115"/>
      <c r="TYV15" s="1115"/>
      <c r="TYW15" s="1115"/>
      <c r="TYX15" s="1115"/>
      <c r="TYY15" s="1115"/>
      <c r="TYZ15" s="1115"/>
      <c r="TZA15" s="1115"/>
      <c r="TZB15" s="1115"/>
      <c r="TZC15" s="1115"/>
      <c r="TZD15" s="1115"/>
      <c r="TZE15" s="1115"/>
      <c r="TZF15" s="1115"/>
      <c r="TZG15" s="1115"/>
      <c r="TZH15" s="1115"/>
      <c r="TZI15" s="1115"/>
      <c r="TZJ15" s="1115"/>
      <c r="TZK15" s="1115"/>
      <c r="TZL15" s="1115"/>
      <c r="TZM15" s="1115"/>
      <c r="TZN15" s="1115"/>
      <c r="TZO15" s="1115"/>
      <c r="TZP15" s="1115"/>
      <c r="TZQ15" s="1115"/>
      <c r="TZR15" s="1115"/>
      <c r="TZS15" s="1115"/>
      <c r="TZT15" s="1115"/>
      <c r="TZU15" s="1115"/>
      <c r="TZV15" s="1115"/>
      <c r="TZW15" s="1115"/>
      <c r="TZX15" s="1115"/>
      <c r="TZY15" s="1115"/>
      <c r="TZZ15" s="1115"/>
      <c r="UAA15" s="1115"/>
      <c r="UAB15" s="1115"/>
      <c r="UAC15" s="1115"/>
      <c r="UAD15" s="1115"/>
      <c r="UAE15" s="1115"/>
      <c r="UAF15" s="1115"/>
      <c r="UAG15" s="1115"/>
      <c r="UAH15" s="1115"/>
      <c r="UAI15" s="1115"/>
      <c r="UAJ15" s="1115"/>
      <c r="UAK15" s="1115"/>
      <c r="UAL15" s="1115"/>
      <c r="UAM15" s="1115"/>
      <c r="UAN15" s="1115"/>
      <c r="UAO15" s="1115"/>
      <c r="UAP15" s="1115"/>
      <c r="UAQ15" s="1115"/>
      <c r="UAR15" s="1115"/>
      <c r="UAS15" s="1115"/>
      <c r="UAT15" s="1115"/>
      <c r="UAU15" s="1115"/>
      <c r="UAV15" s="1115"/>
      <c r="UAW15" s="1115"/>
      <c r="UAX15" s="1115"/>
      <c r="UAY15" s="1115"/>
      <c r="UAZ15" s="1115"/>
      <c r="UBA15" s="1115"/>
      <c r="UBB15" s="1115"/>
      <c r="UBC15" s="1115"/>
      <c r="UBD15" s="1115"/>
      <c r="UBE15" s="1115"/>
      <c r="UBF15" s="1115"/>
      <c r="UBG15" s="1115"/>
      <c r="UBH15" s="1115"/>
      <c r="UBI15" s="1115"/>
      <c r="UBJ15" s="1115"/>
      <c r="UBK15" s="1115"/>
      <c r="UBL15" s="1115"/>
      <c r="UBM15" s="1115"/>
      <c r="UBN15" s="1115"/>
      <c r="UBO15" s="1115"/>
      <c r="UBP15" s="1115"/>
      <c r="UBQ15" s="1115"/>
      <c r="UBR15" s="1115"/>
      <c r="UBS15" s="1115"/>
      <c r="UBT15" s="1115"/>
      <c r="UBU15" s="1115"/>
      <c r="UBV15" s="1115"/>
      <c r="UBW15" s="1115"/>
      <c r="UBX15" s="1115"/>
      <c r="UBY15" s="1115"/>
      <c r="UBZ15" s="1115"/>
      <c r="UCA15" s="1115"/>
      <c r="UCB15" s="1115"/>
      <c r="UCC15" s="1115"/>
      <c r="UCD15" s="1115"/>
      <c r="UCE15" s="1115"/>
      <c r="UCF15" s="1115"/>
      <c r="UCG15" s="1115"/>
      <c r="UCH15" s="1115"/>
      <c r="UCI15" s="1115"/>
      <c r="UCJ15" s="1115"/>
      <c r="UCK15" s="1115"/>
      <c r="UCL15" s="1115"/>
      <c r="UCM15" s="1115"/>
      <c r="UCN15" s="1115"/>
      <c r="UCO15" s="1115"/>
      <c r="UCP15" s="1115"/>
      <c r="UCQ15" s="1115"/>
      <c r="UCR15" s="1115"/>
      <c r="UCS15" s="1115"/>
      <c r="UCT15" s="1115"/>
      <c r="UCU15" s="1115"/>
      <c r="UCV15" s="1115"/>
      <c r="UCW15" s="1115"/>
      <c r="UCX15" s="1115"/>
      <c r="UCY15" s="1115"/>
      <c r="UCZ15" s="1115"/>
      <c r="UDA15" s="1115"/>
      <c r="UDB15" s="1115"/>
      <c r="UDC15" s="1115"/>
      <c r="UDD15" s="1115"/>
      <c r="UDE15" s="1115"/>
      <c r="UDF15" s="1115"/>
      <c r="UDG15" s="1115"/>
      <c r="UDH15" s="1115"/>
      <c r="UDI15" s="1115"/>
      <c r="UDJ15" s="1115"/>
      <c r="UDK15" s="1115"/>
      <c r="UDL15" s="1115"/>
      <c r="UDM15" s="1115"/>
      <c r="UDN15" s="1115"/>
      <c r="UDO15" s="1115"/>
      <c r="UDP15" s="1115"/>
      <c r="UDQ15" s="1115"/>
      <c r="UDR15" s="1115"/>
      <c r="UDS15" s="1115"/>
      <c r="UDT15" s="1115"/>
      <c r="UDU15" s="1115"/>
      <c r="UDV15" s="1115"/>
      <c r="UDW15" s="1115"/>
      <c r="UDX15" s="1115"/>
      <c r="UDY15" s="1115"/>
      <c r="UDZ15" s="1115"/>
      <c r="UEA15" s="1115"/>
      <c r="UEB15" s="1115"/>
      <c r="UEC15" s="1115"/>
      <c r="UED15" s="1115"/>
      <c r="UEE15" s="1115"/>
      <c r="UEF15" s="1115"/>
      <c r="UEG15" s="1115"/>
      <c r="UEH15" s="1115"/>
      <c r="UEI15" s="1115"/>
      <c r="UEJ15" s="1115"/>
      <c r="UEK15" s="1115"/>
      <c r="UEL15" s="1115"/>
      <c r="UEM15" s="1115"/>
      <c r="UEN15" s="1115"/>
      <c r="UEO15" s="1115"/>
      <c r="UEP15" s="1115"/>
      <c r="UEQ15" s="1115"/>
      <c r="UER15" s="1115"/>
      <c r="UES15" s="1115"/>
      <c r="UET15" s="1115"/>
      <c r="UEU15" s="1115"/>
      <c r="UEV15" s="1115"/>
      <c r="UEW15" s="1115"/>
      <c r="UEX15" s="1115"/>
      <c r="UEY15" s="1115"/>
      <c r="UEZ15" s="1115"/>
      <c r="UFA15" s="1115"/>
      <c r="UFB15" s="1115"/>
      <c r="UFC15" s="1115"/>
      <c r="UFD15" s="1115"/>
      <c r="UFE15" s="1115"/>
      <c r="UFF15" s="1115"/>
      <c r="UFG15" s="1115"/>
      <c r="UFH15" s="1115"/>
      <c r="UFI15" s="1115"/>
      <c r="UFJ15" s="1115"/>
      <c r="UFK15" s="1115"/>
      <c r="UFL15" s="1115"/>
      <c r="UFM15" s="1115"/>
      <c r="UFN15" s="1115"/>
      <c r="UFO15" s="1115"/>
      <c r="UFP15" s="1115"/>
      <c r="UFQ15" s="1115"/>
      <c r="UFR15" s="1115"/>
      <c r="UFS15" s="1115"/>
      <c r="UFT15" s="1115"/>
      <c r="UFU15" s="1115"/>
      <c r="UFV15" s="1115"/>
      <c r="UFW15" s="1115"/>
      <c r="UFX15" s="1115"/>
      <c r="UFY15" s="1115"/>
      <c r="UFZ15" s="1115"/>
      <c r="UGA15" s="1115"/>
      <c r="UGB15" s="1115"/>
      <c r="UGC15" s="1115"/>
      <c r="UGD15" s="1115"/>
      <c r="UGE15" s="1115"/>
      <c r="UGF15" s="1115"/>
      <c r="UGG15" s="1115"/>
      <c r="UGH15" s="1115"/>
      <c r="UGI15" s="1115"/>
      <c r="UGJ15" s="1115"/>
      <c r="UGK15" s="1115"/>
      <c r="UGL15" s="1115"/>
      <c r="UGM15" s="1115"/>
      <c r="UGN15" s="1115"/>
      <c r="UGO15" s="1115"/>
      <c r="UGP15" s="1115"/>
      <c r="UGQ15" s="1115"/>
      <c r="UGR15" s="1115"/>
      <c r="UGS15" s="1115"/>
      <c r="UGT15" s="1115"/>
      <c r="UGU15" s="1115"/>
      <c r="UGV15" s="1115"/>
      <c r="UGW15" s="1115"/>
      <c r="UGX15" s="1115"/>
      <c r="UGY15" s="1115"/>
      <c r="UGZ15" s="1115"/>
      <c r="UHA15" s="1115"/>
      <c r="UHB15" s="1115"/>
      <c r="UHC15" s="1115"/>
      <c r="UHD15" s="1115"/>
      <c r="UHE15" s="1115"/>
      <c r="UHF15" s="1115"/>
      <c r="UHG15" s="1115"/>
      <c r="UHH15" s="1115"/>
      <c r="UHI15" s="1115"/>
      <c r="UHJ15" s="1115"/>
      <c r="UHK15" s="1115"/>
      <c r="UHL15" s="1115"/>
      <c r="UHM15" s="1115"/>
      <c r="UHN15" s="1115"/>
      <c r="UHO15" s="1115"/>
      <c r="UHP15" s="1115"/>
      <c r="UHQ15" s="1115"/>
      <c r="UHR15" s="1115"/>
      <c r="UHS15" s="1115"/>
      <c r="UHT15" s="1115"/>
      <c r="UHU15" s="1115"/>
      <c r="UHV15" s="1115"/>
      <c r="UHW15" s="1115"/>
      <c r="UHX15" s="1115"/>
      <c r="UHY15" s="1115"/>
      <c r="UHZ15" s="1115"/>
      <c r="UIA15" s="1115"/>
      <c r="UIB15" s="1115"/>
      <c r="UIC15" s="1115"/>
      <c r="UID15" s="1115"/>
      <c r="UIE15" s="1115"/>
      <c r="UIF15" s="1115"/>
      <c r="UIG15" s="1115"/>
      <c r="UIH15" s="1115"/>
      <c r="UII15" s="1115"/>
      <c r="UIJ15" s="1115"/>
      <c r="UIK15" s="1115"/>
      <c r="UIL15" s="1115"/>
      <c r="UIM15" s="1115"/>
      <c r="UIN15" s="1115"/>
      <c r="UIO15" s="1115"/>
      <c r="UIP15" s="1115"/>
      <c r="UIQ15" s="1115"/>
      <c r="UIR15" s="1115"/>
      <c r="UIS15" s="1115"/>
      <c r="UIT15" s="1115"/>
      <c r="UIU15" s="1115"/>
      <c r="UIV15" s="1115"/>
      <c r="UIW15" s="1115"/>
      <c r="UIX15" s="1115"/>
      <c r="UIY15" s="1115"/>
      <c r="UIZ15" s="1115"/>
      <c r="UJA15" s="1115"/>
      <c r="UJB15" s="1115"/>
      <c r="UJC15" s="1115"/>
      <c r="UJD15" s="1115"/>
      <c r="UJE15" s="1115"/>
      <c r="UJF15" s="1115"/>
      <c r="UJG15" s="1115"/>
      <c r="UJH15" s="1115"/>
      <c r="UJI15" s="1115"/>
      <c r="UJJ15" s="1115"/>
      <c r="UJK15" s="1115"/>
      <c r="UJL15" s="1115"/>
      <c r="UJM15" s="1115"/>
      <c r="UJN15" s="1115"/>
      <c r="UJO15" s="1115"/>
      <c r="UJP15" s="1115"/>
      <c r="UJQ15" s="1115"/>
      <c r="UJR15" s="1115"/>
      <c r="UJS15" s="1115"/>
      <c r="UJT15" s="1115"/>
      <c r="UJU15" s="1115"/>
      <c r="UJV15" s="1115"/>
      <c r="UJW15" s="1115"/>
      <c r="UJX15" s="1115"/>
      <c r="UJY15" s="1115"/>
      <c r="UJZ15" s="1115"/>
      <c r="UKA15" s="1115"/>
      <c r="UKB15" s="1115"/>
      <c r="UKC15" s="1115"/>
      <c r="UKD15" s="1115"/>
      <c r="UKE15" s="1115"/>
      <c r="UKF15" s="1115"/>
      <c r="UKG15" s="1115"/>
      <c r="UKH15" s="1115"/>
      <c r="UKI15" s="1115"/>
      <c r="UKJ15" s="1115"/>
      <c r="UKK15" s="1115"/>
      <c r="UKL15" s="1115"/>
      <c r="UKM15" s="1115"/>
      <c r="UKN15" s="1115"/>
      <c r="UKO15" s="1115"/>
      <c r="UKP15" s="1115"/>
      <c r="UKQ15" s="1115"/>
      <c r="UKR15" s="1115"/>
      <c r="UKS15" s="1115"/>
      <c r="UKT15" s="1115"/>
      <c r="UKU15" s="1115"/>
      <c r="UKV15" s="1115"/>
      <c r="UKW15" s="1115"/>
      <c r="UKX15" s="1115"/>
      <c r="UKY15" s="1115"/>
      <c r="UKZ15" s="1115"/>
      <c r="ULA15" s="1115"/>
      <c r="ULB15" s="1115"/>
      <c r="ULC15" s="1115"/>
      <c r="ULD15" s="1115"/>
      <c r="ULE15" s="1115"/>
      <c r="ULF15" s="1115"/>
      <c r="ULG15" s="1115"/>
      <c r="ULH15" s="1115"/>
      <c r="ULI15" s="1115"/>
      <c r="ULJ15" s="1115"/>
      <c r="ULK15" s="1115"/>
      <c r="ULL15" s="1115"/>
      <c r="ULM15" s="1115"/>
      <c r="ULN15" s="1115"/>
      <c r="ULO15" s="1115"/>
      <c r="ULP15" s="1115"/>
      <c r="ULQ15" s="1115"/>
      <c r="ULR15" s="1115"/>
      <c r="ULS15" s="1115"/>
      <c r="ULT15" s="1115"/>
      <c r="ULU15" s="1115"/>
      <c r="ULV15" s="1115"/>
      <c r="ULW15" s="1115"/>
      <c r="ULX15" s="1115"/>
      <c r="ULY15" s="1115"/>
      <c r="ULZ15" s="1115"/>
      <c r="UMA15" s="1115"/>
      <c r="UMB15" s="1115"/>
      <c r="UMC15" s="1115"/>
      <c r="UMD15" s="1115"/>
      <c r="UME15" s="1115"/>
      <c r="UMF15" s="1115"/>
      <c r="UMG15" s="1115"/>
      <c r="UMH15" s="1115"/>
      <c r="UMI15" s="1115"/>
      <c r="UMJ15" s="1115"/>
      <c r="UMK15" s="1115"/>
      <c r="UML15" s="1115"/>
      <c r="UMM15" s="1115"/>
      <c r="UMN15" s="1115"/>
      <c r="UMO15" s="1115"/>
      <c r="UMP15" s="1115"/>
      <c r="UMQ15" s="1115"/>
      <c r="UMR15" s="1115"/>
      <c r="UMS15" s="1115"/>
      <c r="UMT15" s="1115"/>
      <c r="UMU15" s="1115"/>
      <c r="UMV15" s="1115"/>
      <c r="UMW15" s="1115"/>
      <c r="UMX15" s="1115"/>
      <c r="UMY15" s="1115"/>
      <c r="UMZ15" s="1115"/>
      <c r="UNA15" s="1115"/>
      <c r="UNB15" s="1115"/>
      <c r="UNC15" s="1115"/>
      <c r="UND15" s="1115"/>
      <c r="UNE15" s="1115"/>
      <c r="UNF15" s="1115"/>
      <c r="UNG15" s="1115"/>
      <c r="UNH15" s="1115"/>
      <c r="UNI15" s="1115"/>
      <c r="UNJ15" s="1115"/>
      <c r="UNK15" s="1115"/>
      <c r="UNL15" s="1115"/>
      <c r="UNM15" s="1115"/>
      <c r="UNN15" s="1115"/>
      <c r="UNO15" s="1115"/>
      <c r="UNP15" s="1115"/>
      <c r="UNQ15" s="1115"/>
      <c r="UNR15" s="1115"/>
      <c r="UNS15" s="1115"/>
      <c r="UNT15" s="1115"/>
      <c r="UNU15" s="1115"/>
      <c r="UNV15" s="1115"/>
      <c r="UNW15" s="1115"/>
      <c r="UNX15" s="1115"/>
      <c r="UNY15" s="1115"/>
      <c r="UNZ15" s="1115"/>
      <c r="UOA15" s="1115"/>
      <c r="UOB15" s="1115"/>
      <c r="UOC15" s="1115"/>
      <c r="UOD15" s="1115"/>
      <c r="UOE15" s="1115"/>
      <c r="UOF15" s="1115"/>
      <c r="UOG15" s="1115"/>
      <c r="UOH15" s="1115"/>
      <c r="UOI15" s="1115"/>
      <c r="UOJ15" s="1115"/>
      <c r="UOK15" s="1115"/>
      <c r="UOL15" s="1115"/>
      <c r="UOM15" s="1115"/>
      <c r="UON15" s="1115"/>
      <c r="UOO15" s="1115"/>
      <c r="UOP15" s="1115"/>
      <c r="UOQ15" s="1115"/>
      <c r="UOR15" s="1115"/>
      <c r="UOS15" s="1115"/>
      <c r="UOT15" s="1115"/>
      <c r="UOU15" s="1115"/>
      <c r="UOV15" s="1115"/>
      <c r="UOW15" s="1115"/>
      <c r="UOX15" s="1115"/>
      <c r="UOY15" s="1115"/>
      <c r="UOZ15" s="1115"/>
      <c r="UPA15" s="1115"/>
      <c r="UPB15" s="1115"/>
      <c r="UPC15" s="1115"/>
      <c r="UPD15" s="1115"/>
      <c r="UPE15" s="1115"/>
      <c r="UPF15" s="1115"/>
      <c r="UPG15" s="1115"/>
      <c r="UPH15" s="1115"/>
      <c r="UPI15" s="1115"/>
      <c r="UPJ15" s="1115"/>
      <c r="UPK15" s="1115"/>
      <c r="UPL15" s="1115"/>
      <c r="UPM15" s="1115"/>
      <c r="UPN15" s="1115"/>
      <c r="UPO15" s="1115"/>
      <c r="UPP15" s="1115"/>
      <c r="UPQ15" s="1115"/>
      <c r="UPR15" s="1115"/>
      <c r="UPS15" s="1115"/>
      <c r="UPT15" s="1115"/>
      <c r="UPU15" s="1115"/>
      <c r="UPV15" s="1115"/>
      <c r="UPW15" s="1115"/>
      <c r="UPX15" s="1115"/>
      <c r="UPY15" s="1115"/>
      <c r="UPZ15" s="1115"/>
      <c r="UQA15" s="1115"/>
      <c r="UQB15" s="1115"/>
      <c r="UQC15" s="1115"/>
      <c r="UQD15" s="1115"/>
      <c r="UQE15" s="1115"/>
      <c r="UQF15" s="1115"/>
      <c r="UQG15" s="1115"/>
      <c r="UQH15" s="1115"/>
      <c r="UQI15" s="1115"/>
      <c r="UQJ15" s="1115"/>
      <c r="UQK15" s="1115"/>
      <c r="UQL15" s="1115"/>
      <c r="UQM15" s="1115"/>
      <c r="UQN15" s="1115"/>
      <c r="UQO15" s="1115"/>
      <c r="UQP15" s="1115"/>
      <c r="UQQ15" s="1115"/>
      <c r="UQR15" s="1115"/>
      <c r="UQS15" s="1115"/>
      <c r="UQT15" s="1115"/>
      <c r="UQU15" s="1115"/>
      <c r="UQV15" s="1115"/>
      <c r="UQW15" s="1115"/>
      <c r="UQX15" s="1115"/>
      <c r="UQY15" s="1115"/>
      <c r="UQZ15" s="1115"/>
      <c r="URA15" s="1115"/>
      <c r="URB15" s="1115"/>
      <c r="URC15" s="1115"/>
      <c r="URD15" s="1115"/>
      <c r="URE15" s="1115"/>
      <c r="URF15" s="1115"/>
      <c r="URG15" s="1115"/>
      <c r="URH15" s="1115"/>
      <c r="URI15" s="1115"/>
      <c r="URJ15" s="1115"/>
      <c r="URK15" s="1115"/>
      <c r="URL15" s="1115"/>
      <c r="URM15" s="1115"/>
      <c r="URN15" s="1115"/>
      <c r="URO15" s="1115"/>
      <c r="URP15" s="1115"/>
      <c r="URQ15" s="1115"/>
      <c r="URR15" s="1115"/>
      <c r="URS15" s="1115"/>
      <c r="URT15" s="1115"/>
      <c r="URU15" s="1115"/>
      <c r="URV15" s="1115"/>
      <c r="URW15" s="1115"/>
      <c r="URX15" s="1115"/>
      <c r="URY15" s="1115"/>
      <c r="URZ15" s="1115"/>
      <c r="USA15" s="1115"/>
      <c r="USB15" s="1115"/>
      <c r="USC15" s="1115"/>
      <c r="USD15" s="1115"/>
      <c r="USE15" s="1115"/>
      <c r="USF15" s="1115"/>
      <c r="USG15" s="1115"/>
      <c r="USH15" s="1115"/>
      <c r="USI15" s="1115"/>
      <c r="USJ15" s="1115"/>
      <c r="USK15" s="1115"/>
      <c r="USL15" s="1115"/>
      <c r="USM15" s="1115"/>
      <c r="USN15" s="1115"/>
      <c r="USO15" s="1115"/>
      <c r="USP15" s="1115"/>
      <c r="USQ15" s="1115"/>
      <c r="USR15" s="1115"/>
      <c r="USS15" s="1115"/>
      <c r="UST15" s="1115"/>
      <c r="USU15" s="1115"/>
      <c r="USV15" s="1115"/>
      <c r="USW15" s="1115"/>
      <c r="USX15" s="1115"/>
      <c r="USY15" s="1115"/>
      <c r="USZ15" s="1115"/>
      <c r="UTA15" s="1115"/>
      <c r="UTB15" s="1115"/>
      <c r="UTC15" s="1115"/>
      <c r="UTD15" s="1115"/>
      <c r="UTE15" s="1115"/>
      <c r="UTF15" s="1115"/>
      <c r="UTG15" s="1115"/>
      <c r="UTH15" s="1115"/>
      <c r="UTI15" s="1115"/>
      <c r="UTJ15" s="1115"/>
      <c r="UTK15" s="1115"/>
      <c r="UTL15" s="1115"/>
      <c r="UTM15" s="1115"/>
      <c r="UTN15" s="1115"/>
      <c r="UTO15" s="1115"/>
      <c r="UTP15" s="1115"/>
      <c r="UTQ15" s="1115"/>
      <c r="UTR15" s="1115"/>
      <c r="UTS15" s="1115"/>
      <c r="UTT15" s="1115"/>
      <c r="UTU15" s="1115"/>
      <c r="UTV15" s="1115"/>
      <c r="UTW15" s="1115"/>
      <c r="UTX15" s="1115"/>
      <c r="UTY15" s="1115"/>
      <c r="UTZ15" s="1115"/>
      <c r="UUA15" s="1115"/>
      <c r="UUB15" s="1115"/>
      <c r="UUC15" s="1115"/>
      <c r="UUD15" s="1115"/>
      <c r="UUE15" s="1115"/>
      <c r="UUF15" s="1115"/>
      <c r="UUG15" s="1115"/>
      <c r="UUH15" s="1115"/>
      <c r="UUI15" s="1115"/>
      <c r="UUJ15" s="1115"/>
      <c r="UUK15" s="1115"/>
      <c r="UUL15" s="1115"/>
      <c r="UUM15" s="1115"/>
      <c r="UUN15" s="1115"/>
      <c r="UUO15" s="1115"/>
      <c r="UUP15" s="1115"/>
      <c r="UUQ15" s="1115"/>
      <c r="UUR15" s="1115"/>
      <c r="UUS15" s="1115"/>
      <c r="UUT15" s="1115"/>
      <c r="UUU15" s="1115"/>
      <c r="UUV15" s="1115"/>
      <c r="UUW15" s="1115"/>
      <c r="UUX15" s="1115"/>
      <c r="UUY15" s="1115"/>
      <c r="UUZ15" s="1115"/>
      <c r="UVA15" s="1115"/>
      <c r="UVB15" s="1115"/>
      <c r="UVC15" s="1115"/>
      <c r="UVD15" s="1115"/>
      <c r="UVE15" s="1115"/>
      <c r="UVF15" s="1115"/>
      <c r="UVG15" s="1115"/>
      <c r="UVH15" s="1115"/>
      <c r="UVI15" s="1115"/>
      <c r="UVJ15" s="1115"/>
      <c r="UVK15" s="1115"/>
      <c r="UVL15" s="1115"/>
      <c r="UVM15" s="1115"/>
      <c r="UVN15" s="1115"/>
      <c r="UVO15" s="1115"/>
      <c r="UVP15" s="1115"/>
      <c r="UVQ15" s="1115"/>
      <c r="UVR15" s="1115"/>
      <c r="UVS15" s="1115"/>
      <c r="UVT15" s="1115"/>
      <c r="UVU15" s="1115"/>
      <c r="UVV15" s="1115"/>
      <c r="UVW15" s="1115"/>
      <c r="UVX15" s="1115"/>
      <c r="UVY15" s="1115"/>
      <c r="UVZ15" s="1115"/>
      <c r="UWA15" s="1115"/>
      <c r="UWB15" s="1115"/>
      <c r="UWC15" s="1115"/>
      <c r="UWD15" s="1115"/>
      <c r="UWE15" s="1115"/>
      <c r="UWF15" s="1115"/>
      <c r="UWG15" s="1115"/>
      <c r="UWH15" s="1115"/>
      <c r="UWI15" s="1115"/>
      <c r="UWJ15" s="1115"/>
      <c r="UWK15" s="1115"/>
      <c r="UWL15" s="1115"/>
      <c r="UWM15" s="1115"/>
      <c r="UWN15" s="1115"/>
      <c r="UWO15" s="1115"/>
      <c r="UWP15" s="1115"/>
      <c r="UWQ15" s="1115"/>
      <c r="UWR15" s="1115"/>
      <c r="UWS15" s="1115"/>
      <c r="UWT15" s="1115"/>
      <c r="UWU15" s="1115"/>
      <c r="UWV15" s="1115"/>
      <c r="UWW15" s="1115"/>
      <c r="UWX15" s="1115"/>
      <c r="UWY15" s="1115"/>
      <c r="UWZ15" s="1115"/>
      <c r="UXA15" s="1115"/>
      <c r="UXB15" s="1115"/>
      <c r="UXC15" s="1115"/>
      <c r="UXD15" s="1115"/>
      <c r="UXE15" s="1115"/>
      <c r="UXF15" s="1115"/>
      <c r="UXG15" s="1115"/>
      <c r="UXH15" s="1115"/>
      <c r="UXI15" s="1115"/>
      <c r="UXJ15" s="1115"/>
      <c r="UXK15" s="1115"/>
      <c r="UXL15" s="1115"/>
      <c r="UXM15" s="1115"/>
      <c r="UXN15" s="1115"/>
      <c r="UXO15" s="1115"/>
      <c r="UXP15" s="1115"/>
      <c r="UXQ15" s="1115"/>
      <c r="UXR15" s="1115"/>
      <c r="UXS15" s="1115"/>
      <c r="UXT15" s="1115"/>
      <c r="UXU15" s="1115"/>
      <c r="UXV15" s="1115"/>
      <c r="UXW15" s="1115"/>
      <c r="UXX15" s="1115"/>
      <c r="UXY15" s="1115"/>
      <c r="UXZ15" s="1115"/>
      <c r="UYA15" s="1115"/>
      <c r="UYB15" s="1115"/>
      <c r="UYC15" s="1115"/>
      <c r="UYD15" s="1115"/>
      <c r="UYE15" s="1115"/>
      <c r="UYF15" s="1115"/>
      <c r="UYG15" s="1115"/>
      <c r="UYH15" s="1115"/>
      <c r="UYI15" s="1115"/>
      <c r="UYJ15" s="1115"/>
      <c r="UYK15" s="1115"/>
      <c r="UYL15" s="1115"/>
      <c r="UYM15" s="1115"/>
      <c r="UYN15" s="1115"/>
      <c r="UYO15" s="1115"/>
      <c r="UYP15" s="1115"/>
      <c r="UYQ15" s="1115"/>
      <c r="UYR15" s="1115"/>
      <c r="UYS15" s="1115"/>
      <c r="UYT15" s="1115"/>
      <c r="UYU15" s="1115"/>
      <c r="UYV15" s="1115"/>
      <c r="UYW15" s="1115"/>
      <c r="UYX15" s="1115"/>
      <c r="UYY15" s="1115"/>
      <c r="UYZ15" s="1115"/>
      <c r="UZA15" s="1115"/>
      <c r="UZB15" s="1115"/>
      <c r="UZC15" s="1115"/>
      <c r="UZD15" s="1115"/>
      <c r="UZE15" s="1115"/>
      <c r="UZF15" s="1115"/>
      <c r="UZG15" s="1115"/>
      <c r="UZH15" s="1115"/>
      <c r="UZI15" s="1115"/>
      <c r="UZJ15" s="1115"/>
      <c r="UZK15" s="1115"/>
      <c r="UZL15" s="1115"/>
      <c r="UZM15" s="1115"/>
      <c r="UZN15" s="1115"/>
      <c r="UZO15" s="1115"/>
      <c r="UZP15" s="1115"/>
      <c r="UZQ15" s="1115"/>
      <c r="UZR15" s="1115"/>
      <c r="UZS15" s="1115"/>
      <c r="UZT15" s="1115"/>
      <c r="UZU15" s="1115"/>
      <c r="UZV15" s="1115"/>
      <c r="UZW15" s="1115"/>
      <c r="UZX15" s="1115"/>
      <c r="UZY15" s="1115"/>
      <c r="UZZ15" s="1115"/>
      <c r="VAA15" s="1115"/>
      <c r="VAB15" s="1115"/>
      <c r="VAC15" s="1115"/>
      <c r="VAD15" s="1115"/>
      <c r="VAE15" s="1115"/>
      <c r="VAF15" s="1115"/>
      <c r="VAG15" s="1115"/>
      <c r="VAH15" s="1115"/>
      <c r="VAI15" s="1115"/>
      <c r="VAJ15" s="1115"/>
      <c r="VAK15" s="1115"/>
      <c r="VAL15" s="1115"/>
      <c r="VAM15" s="1115"/>
      <c r="VAN15" s="1115"/>
      <c r="VAO15" s="1115"/>
      <c r="VAP15" s="1115"/>
      <c r="VAQ15" s="1115"/>
      <c r="VAR15" s="1115"/>
      <c r="VAS15" s="1115"/>
      <c r="VAT15" s="1115"/>
      <c r="VAU15" s="1115"/>
      <c r="VAV15" s="1115"/>
      <c r="VAW15" s="1115"/>
      <c r="VAX15" s="1115"/>
      <c r="VAY15" s="1115"/>
      <c r="VAZ15" s="1115"/>
      <c r="VBA15" s="1115"/>
      <c r="VBB15" s="1115"/>
      <c r="VBC15" s="1115"/>
      <c r="VBD15" s="1115"/>
      <c r="VBE15" s="1115"/>
      <c r="VBF15" s="1115"/>
      <c r="VBG15" s="1115"/>
      <c r="VBH15" s="1115"/>
      <c r="VBI15" s="1115"/>
      <c r="VBJ15" s="1115"/>
      <c r="VBK15" s="1115"/>
      <c r="VBL15" s="1115"/>
      <c r="VBM15" s="1115"/>
      <c r="VBN15" s="1115"/>
      <c r="VBO15" s="1115"/>
      <c r="VBP15" s="1115"/>
      <c r="VBQ15" s="1115"/>
      <c r="VBR15" s="1115"/>
      <c r="VBS15" s="1115"/>
      <c r="VBT15" s="1115"/>
      <c r="VBU15" s="1115"/>
      <c r="VBV15" s="1115"/>
      <c r="VBW15" s="1115"/>
      <c r="VBX15" s="1115"/>
      <c r="VBY15" s="1115"/>
      <c r="VBZ15" s="1115"/>
      <c r="VCA15" s="1115"/>
      <c r="VCB15" s="1115"/>
      <c r="VCC15" s="1115"/>
      <c r="VCD15" s="1115"/>
      <c r="VCE15" s="1115"/>
      <c r="VCF15" s="1115"/>
      <c r="VCG15" s="1115"/>
      <c r="VCH15" s="1115"/>
      <c r="VCI15" s="1115"/>
      <c r="VCJ15" s="1115"/>
      <c r="VCK15" s="1115"/>
      <c r="VCL15" s="1115"/>
      <c r="VCM15" s="1115"/>
      <c r="VCN15" s="1115"/>
      <c r="VCO15" s="1115"/>
      <c r="VCP15" s="1115"/>
      <c r="VCQ15" s="1115"/>
      <c r="VCR15" s="1115"/>
      <c r="VCS15" s="1115"/>
      <c r="VCT15" s="1115"/>
      <c r="VCU15" s="1115"/>
      <c r="VCV15" s="1115"/>
      <c r="VCW15" s="1115"/>
      <c r="VCX15" s="1115"/>
      <c r="VCY15" s="1115"/>
      <c r="VCZ15" s="1115"/>
      <c r="VDA15" s="1115"/>
      <c r="VDB15" s="1115"/>
      <c r="VDC15" s="1115"/>
      <c r="VDD15" s="1115"/>
      <c r="VDE15" s="1115"/>
      <c r="VDF15" s="1115"/>
      <c r="VDG15" s="1115"/>
      <c r="VDH15" s="1115"/>
      <c r="VDI15" s="1115"/>
      <c r="VDJ15" s="1115"/>
      <c r="VDK15" s="1115"/>
      <c r="VDL15" s="1115"/>
      <c r="VDM15" s="1115"/>
      <c r="VDN15" s="1115"/>
      <c r="VDO15" s="1115"/>
      <c r="VDP15" s="1115"/>
      <c r="VDQ15" s="1115"/>
      <c r="VDR15" s="1115"/>
      <c r="VDS15" s="1115"/>
      <c r="VDT15" s="1115"/>
      <c r="VDU15" s="1115"/>
      <c r="VDV15" s="1115"/>
      <c r="VDW15" s="1115"/>
      <c r="VDX15" s="1115"/>
      <c r="VDY15" s="1115"/>
      <c r="VDZ15" s="1115"/>
      <c r="VEA15" s="1115"/>
      <c r="VEB15" s="1115"/>
      <c r="VEC15" s="1115"/>
      <c r="VED15" s="1115"/>
      <c r="VEE15" s="1115"/>
      <c r="VEF15" s="1115"/>
      <c r="VEG15" s="1115"/>
      <c r="VEH15" s="1115"/>
      <c r="VEI15" s="1115"/>
      <c r="VEJ15" s="1115"/>
      <c r="VEK15" s="1115"/>
      <c r="VEL15" s="1115"/>
      <c r="VEM15" s="1115"/>
      <c r="VEN15" s="1115"/>
      <c r="VEO15" s="1115"/>
      <c r="VEP15" s="1115"/>
      <c r="VEQ15" s="1115"/>
      <c r="VER15" s="1115"/>
      <c r="VES15" s="1115"/>
      <c r="VET15" s="1115"/>
      <c r="VEU15" s="1115"/>
      <c r="VEV15" s="1115"/>
      <c r="VEW15" s="1115"/>
      <c r="VEX15" s="1115"/>
      <c r="VEY15" s="1115"/>
      <c r="VEZ15" s="1115"/>
      <c r="VFA15" s="1115"/>
      <c r="VFB15" s="1115"/>
      <c r="VFC15" s="1115"/>
      <c r="VFD15" s="1115"/>
      <c r="VFE15" s="1115"/>
      <c r="VFF15" s="1115"/>
      <c r="VFG15" s="1115"/>
      <c r="VFH15" s="1115"/>
      <c r="VFI15" s="1115"/>
      <c r="VFJ15" s="1115"/>
      <c r="VFK15" s="1115"/>
      <c r="VFL15" s="1115"/>
      <c r="VFM15" s="1115"/>
      <c r="VFN15" s="1115"/>
      <c r="VFO15" s="1115"/>
      <c r="VFP15" s="1115"/>
      <c r="VFQ15" s="1115"/>
      <c r="VFR15" s="1115"/>
      <c r="VFS15" s="1115"/>
      <c r="VFT15" s="1115"/>
      <c r="VFU15" s="1115"/>
      <c r="VFV15" s="1115"/>
      <c r="VFW15" s="1115"/>
      <c r="VFX15" s="1115"/>
      <c r="VFY15" s="1115"/>
      <c r="VFZ15" s="1115"/>
      <c r="VGA15" s="1115"/>
      <c r="VGB15" s="1115"/>
      <c r="VGC15" s="1115"/>
      <c r="VGD15" s="1115"/>
      <c r="VGE15" s="1115"/>
      <c r="VGF15" s="1115"/>
      <c r="VGG15" s="1115"/>
      <c r="VGH15" s="1115"/>
      <c r="VGI15" s="1115"/>
      <c r="VGJ15" s="1115"/>
      <c r="VGK15" s="1115"/>
      <c r="VGL15" s="1115"/>
      <c r="VGM15" s="1115"/>
      <c r="VGN15" s="1115"/>
      <c r="VGO15" s="1115"/>
      <c r="VGP15" s="1115"/>
      <c r="VGQ15" s="1115"/>
      <c r="VGR15" s="1115"/>
      <c r="VGS15" s="1115"/>
      <c r="VGT15" s="1115"/>
      <c r="VGU15" s="1115"/>
      <c r="VGV15" s="1115"/>
      <c r="VGW15" s="1115"/>
      <c r="VGX15" s="1115"/>
      <c r="VGY15" s="1115"/>
      <c r="VGZ15" s="1115"/>
      <c r="VHA15" s="1115"/>
      <c r="VHB15" s="1115"/>
      <c r="VHC15" s="1115"/>
      <c r="VHD15" s="1115"/>
      <c r="VHE15" s="1115"/>
      <c r="VHF15" s="1115"/>
      <c r="VHG15" s="1115"/>
      <c r="VHH15" s="1115"/>
      <c r="VHI15" s="1115"/>
      <c r="VHJ15" s="1115"/>
      <c r="VHK15" s="1115"/>
      <c r="VHL15" s="1115"/>
      <c r="VHM15" s="1115"/>
      <c r="VHN15" s="1115"/>
      <c r="VHO15" s="1115"/>
      <c r="VHP15" s="1115"/>
      <c r="VHQ15" s="1115"/>
      <c r="VHR15" s="1115"/>
      <c r="VHS15" s="1115"/>
      <c r="VHT15" s="1115"/>
      <c r="VHU15" s="1115"/>
      <c r="VHV15" s="1115"/>
      <c r="VHW15" s="1115"/>
      <c r="VHX15" s="1115"/>
      <c r="VHY15" s="1115"/>
      <c r="VHZ15" s="1115"/>
      <c r="VIA15" s="1115"/>
      <c r="VIB15" s="1115"/>
      <c r="VIC15" s="1115"/>
      <c r="VID15" s="1115"/>
      <c r="VIE15" s="1115"/>
      <c r="VIF15" s="1115"/>
      <c r="VIG15" s="1115"/>
      <c r="VIH15" s="1115"/>
      <c r="VII15" s="1115"/>
      <c r="VIJ15" s="1115"/>
      <c r="VIK15" s="1115"/>
      <c r="VIL15" s="1115"/>
      <c r="VIM15" s="1115"/>
      <c r="VIN15" s="1115"/>
      <c r="VIO15" s="1115"/>
      <c r="VIP15" s="1115"/>
      <c r="VIQ15" s="1115"/>
      <c r="VIR15" s="1115"/>
      <c r="VIS15" s="1115"/>
      <c r="VIT15" s="1115"/>
      <c r="VIU15" s="1115"/>
      <c r="VIV15" s="1115"/>
      <c r="VIW15" s="1115"/>
      <c r="VIX15" s="1115"/>
      <c r="VIY15" s="1115"/>
      <c r="VIZ15" s="1115"/>
      <c r="VJA15" s="1115"/>
      <c r="VJB15" s="1115"/>
      <c r="VJC15" s="1115"/>
      <c r="VJD15" s="1115"/>
      <c r="VJE15" s="1115"/>
      <c r="VJF15" s="1115"/>
      <c r="VJG15" s="1115"/>
      <c r="VJH15" s="1115"/>
      <c r="VJI15" s="1115"/>
      <c r="VJJ15" s="1115"/>
      <c r="VJK15" s="1115"/>
      <c r="VJL15" s="1115"/>
      <c r="VJM15" s="1115"/>
      <c r="VJN15" s="1115"/>
      <c r="VJO15" s="1115"/>
      <c r="VJP15" s="1115"/>
      <c r="VJQ15" s="1115"/>
      <c r="VJR15" s="1115"/>
      <c r="VJS15" s="1115"/>
      <c r="VJT15" s="1115"/>
      <c r="VJU15" s="1115"/>
      <c r="VJV15" s="1115"/>
      <c r="VJW15" s="1115"/>
      <c r="VJX15" s="1115"/>
      <c r="VJY15" s="1115"/>
      <c r="VJZ15" s="1115"/>
      <c r="VKA15" s="1115"/>
      <c r="VKB15" s="1115"/>
      <c r="VKC15" s="1115"/>
      <c r="VKD15" s="1115"/>
      <c r="VKE15" s="1115"/>
      <c r="VKF15" s="1115"/>
      <c r="VKG15" s="1115"/>
      <c r="VKH15" s="1115"/>
      <c r="VKI15" s="1115"/>
      <c r="VKJ15" s="1115"/>
      <c r="VKK15" s="1115"/>
      <c r="VKL15" s="1115"/>
      <c r="VKM15" s="1115"/>
      <c r="VKN15" s="1115"/>
      <c r="VKO15" s="1115"/>
      <c r="VKP15" s="1115"/>
      <c r="VKQ15" s="1115"/>
      <c r="VKR15" s="1115"/>
      <c r="VKS15" s="1115"/>
      <c r="VKT15" s="1115"/>
      <c r="VKU15" s="1115"/>
      <c r="VKV15" s="1115"/>
      <c r="VKW15" s="1115"/>
      <c r="VKX15" s="1115"/>
      <c r="VKY15" s="1115"/>
      <c r="VKZ15" s="1115"/>
      <c r="VLA15" s="1115"/>
      <c r="VLB15" s="1115"/>
      <c r="VLC15" s="1115"/>
      <c r="VLD15" s="1115"/>
      <c r="VLE15" s="1115"/>
      <c r="VLF15" s="1115"/>
      <c r="VLG15" s="1115"/>
      <c r="VLH15" s="1115"/>
      <c r="VLI15" s="1115"/>
      <c r="VLJ15" s="1115"/>
      <c r="VLK15" s="1115"/>
      <c r="VLL15" s="1115"/>
      <c r="VLM15" s="1115"/>
      <c r="VLN15" s="1115"/>
      <c r="VLO15" s="1115"/>
      <c r="VLP15" s="1115"/>
      <c r="VLQ15" s="1115"/>
      <c r="VLR15" s="1115"/>
      <c r="VLS15" s="1115"/>
      <c r="VLT15" s="1115"/>
      <c r="VLU15" s="1115"/>
      <c r="VLV15" s="1115"/>
      <c r="VLW15" s="1115"/>
      <c r="VLX15" s="1115"/>
      <c r="VLY15" s="1115"/>
      <c r="VLZ15" s="1115"/>
      <c r="VMA15" s="1115"/>
      <c r="VMB15" s="1115"/>
      <c r="VMC15" s="1115"/>
      <c r="VMD15" s="1115"/>
      <c r="VME15" s="1115"/>
      <c r="VMF15" s="1115"/>
      <c r="VMG15" s="1115"/>
      <c r="VMH15" s="1115"/>
      <c r="VMI15" s="1115"/>
      <c r="VMJ15" s="1115"/>
      <c r="VMK15" s="1115"/>
      <c r="VML15" s="1115"/>
      <c r="VMM15" s="1115"/>
      <c r="VMN15" s="1115"/>
      <c r="VMO15" s="1115"/>
      <c r="VMP15" s="1115"/>
      <c r="VMQ15" s="1115"/>
      <c r="VMR15" s="1115"/>
      <c r="VMS15" s="1115"/>
      <c r="VMT15" s="1115"/>
      <c r="VMU15" s="1115"/>
      <c r="VMV15" s="1115"/>
      <c r="VMW15" s="1115"/>
      <c r="VMX15" s="1115"/>
      <c r="VMY15" s="1115"/>
      <c r="VMZ15" s="1115"/>
      <c r="VNA15" s="1115"/>
      <c r="VNB15" s="1115"/>
      <c r="VNC15" s="1115"/>
      <c r="VND15" s="1115"/>
      <c r="VNE15" s="1115"/>
      <c r="VNF15" s="1115"/>
      <c r="VNG15" s="1115"/>
      <c r="VNH15" s="1115"/>
      <c r="VNI15" s="1115"/>
      <c r="VNJ15" s="1115"/>
      <c r="VNK15" s="1115"/>
      <c r="VNL15" s="1115"/>
      <c r="VNM15" s="1115"/>
      <c r="VNN15" s="1115"/>
      <c r="VNO15" s="1115"/>
      <c r="VNP15" s="1115"/>
      <c r="VNQ15" s="1115"/>
      <c r="VNR15" s="1115"/>
      <c r="VNS15" s="1115"/>
      <c r="VNT15" s="1115"/>
      <c r="VNU15" s="1115"/>
      <c r="VNV15" s="1115"/>
      <c r="VNW15" s="1115"/>
      <c r="VNX15" s="1115"/>
      <c r="VNY15" s="1115"/>
      <c r="VNZ15" s="1115"/>
      <c r="VOA15" s="1115"/>
      <c r="VOB15" s="1115"/>
      <c r="VOC15" s="1115"/>
      <c r="VOD15" s="1115"/>
      <c r="VOE15" s="1115"/>
      <c r="VOF15" s="1115"/>
      <c r="VOG15" s="1115"/>
      <c r="VOH15" s="1115"/>
      <c r="VOI15" s="1115"/>
      <c r="VOJ15" s="1115"/>
      <c r="VOK15" s="1115"/>
      <c r="VOL15" s="1115"/>
      <c r="VOM15" s="1115"/>
      <c r="VON15" s="1115"/>
      <c r="VOO15" s="1115"/>
      <c r="VOP15" s="1115"/>
      <c r="VOQ15" s="1115"/>
      <c r="VOR15" s="1115"/>
      <c r="VOS15" s="1115"/>
      <c r="VOT15" s="1115"/>
      <c r="VOU15" s="1115"/>
      <c r="VOV15" s="1115"/>
      <c r="VOW15" s="1115"/>
      <c r="VOX15" s="1115"/>
      <c r="VOY15" s="1115"/>
      <c r="VOZ15" s="1115"/>
      <c r="VPA15" s="1115"/>
      <c r="VPB15" s="1115"/>
      <c r="VPC15" s="1115"/>
      <c r="VPD15" s="1115"/>
      <c r="VPE15" s="1115"/>
      <c r="VPF15" s="1115"/>
      <c r="VPG15" s="1115"/>
      <c r="VPH15" s="1115"/>
      <c r="VPI15" s="1115"/>
      <c r="VPJ15" s="1115"/>
      <c r="VPK15" s="1115"/>
      <c r="VPL15" s="1115"/>
      <c r="VPM15" s="1115"/>
      <c r="VPN15" s="1115"/>
      <c r="VPO15" s="1115"/>
      <c r="VPP15" s="1115"/>
      <c r="VPQ15" s="1115"/>
      <c r="VPR15" s="1115"/>
      <c r="VPS15" s="1115"/>
      <c r="VPT15" s="1115"/>
      <c r="VPU15" s="1115"/>
      <c r="VPV15" s="1115"/>
      <c r="VPW15" s="1115"/>
      <c r="VPX15" s="1115"/>
      <c r="VPY15" s="1115"/>
      <c r="VPZ15" s="1115"/>
      <c r="VQA15" s="1115"/>
      <c r="VQB15" s="1115"/>
      <c r="VQC15" s="1115"/>
      <c r="VQD15" s="1115"/>
      <c r="VQE15" s="1115"/>
      <c r="VQF15" s="1115"/>
      <c r="VQG15" s="1115"/>
      <c r="VQH15" s="1115"/>
      <c r="VQI15" s="1115"/>
      <c r="VQJ15" s="1115"/>
      <c r="VQK15" s="1115"/>
      <c r="VQL15" s="1115"/>
      <c r="VQM15" s="1115"/>
      <c r="VQN15" s="1115"/>
      <c r="VQO15" s="1115"/>
      <c r="VQP15" s="1115"/>
      <c r="VQQ15" s="1115"/>
      <c r="VQR15" s="1115"/>
      <c r="VQS15" s="1115"/>
      <c r="VQT15" s="1115"/>
      <c r="VQU15" s="1115"/>
      <c r="VQV15" s="1115"/>
      <c r="VQW15" s="1115"/>
      <c r="VQX15" s="1115"/>
      <c r="VQY15" s="1115"/>
      <c r="VQZ15" s="1115"/>
      <c r="VRA15" s="1115"/>
      <c r="VRB15" s="1115"/>
      <c r="VRC15" s="1115"/>
      <c r="VRD15" s="1115"/>
      <c r="VRE15" s="1115"/>
      <c r="VRF15" s="1115"/>
      <c r="VRG15" s="1115"/>
      <c r="VRH15" s="1115"/>
      <c r="VRI15" s="1115"/>
      <c r="VRJ15" s="1115"/>
      <c r="VRK15" s="1115"/>
      <c r="VRL15" s="1115"/>
      <c r="VRM15" s="1115"/>
      <c r="VRN15" s="1115"/>
      <c r="VRO15" s="1115"/>
      <c r="VRP15" s="1115"/>
      <c r="VRQ15" s="1115"/>
      <c r="VRR15" s="1115"/>
      <c r="VRS15" s="1115"/>
      <c r="VRT15" s="1115"/>
      <c r="VRU15" s="1115"/>
      <c r="VRV15" s="1115"/>
      <c r="VRW15" s="1115"/>
      <c r="VRX15" s="1115"/>
      <c r="VRY15" s="1115"/>
      <c r="VRZ15" s="1115"/>
      <c r="VSA15" s="1115"/>
      <c r="VSB15" s="1115"/>
      <c r="VSC15" s="1115"/>
      <c r="VSD15" s="1115"/>
      <c r="VSE15" s="1115"/>
      <c r="VSF15" s="1115"/>
      <c r="VSG15" s="1115"/>
      <c r="VSH15" s="1115"/>
      <c r="VSI15" s="1115"/>
      <c r="VSJ15" s="1115"/>
      <c r="VSK15" s="1115"/>
      <c r="VSL15" s="1115"/>
      <c r="VSM15" s="1115"/>
      <c r="VSN15" s="1115"/>
      <c r="VSO15" s="1115"/>
      <c r="VSP15" s="1115"/>
      <c r="VSQ15" s="1115"/>
      <c r="VSR15" s="1115"/>
      <c r="VSS15" s="1115"/>
      <c r="VST15" s="1115"/>
      <c r="VSU15" s="1115"/>
      <c r="VSV15" s="1115"/>
      <c r="VSW15" s="1115"/>
      <c r="VSX15" s="1115"/>
      <c r="VSY15" s="1115"/>
      <c r="VSZ15" s="1115"/>
      <c r="VTA15" s="1115"/>
      <c r="VTB15" s="1115"/>
      <c r="VTC15" s="1115"/>
      <c r="VTD15" s="1115"/>
      <c r="VTE15" s="1115"/>
      <c r="VTF15" s="1115"/>
      <c r="VTG15" s="1115"/>
      <c r="VTH15" s="1115"/>
      <c r="VTI15" s="1115"/>
      <c r="VTJ15" s="1115"/>
      <c r="VTK15" s="1115"/>
      <c r="VTL15" s="1115"/>
      <c r="VTM15" s="1115"/>
      <c r="VTN15" s="1115"/>
      <c r="VTO15" s="1115"/>
      <c r="VTP15" s="1115"/>
      <c r="VTQ15" s="1115"/>
      <c r="VTR15" s="1115"/>
      <c r="VTS15" s="1115"/>
      <c r="VTT15" s="1115"/>
      <c r="VTU15" s="1115"/>
      <c r="VTV15" s="1115"/>
      <c r="VTW15" s="1115"/>
      <c r="VTX15" s="1115"/>
      <c r="VTY15" s="1115"/>
      <c r="VTZ15" s="1115"/>
      <c r="VUA15" s="1115"/>
      <c r="VUB15" s="1115"/>
      <c r="VUC15" s="1115"/>
      <c r="VUD15" s="1115"/>
      <c r="VUE15" s="1115"/>
      <c r="VUF15" s="1115"/>
      <c r="VUG15" s="1115"/>
      <c r="VUH15" s="1115"/>
      <c r="VUI15" s="1115"/>
      <c r="VUJ15" s="1115"/>
      <c r="VUK15" s="1115"/>
      <c r="VUL15" s="1115"/>
      <c r="VUM15" s="1115"/>
      <c r="VUN15" s="1115"/>
      <c r="VUO15" s="1115"/>
      <c r="VUP15" s="1115"/>
      <c r="VUQ15" s="1115"/>
      <c r="VUR15" s="1115"/>
      <c r="VUS15" s="1115"/>
      <c r="VUT15" s="1115"/>
      <c r="VUU15" s="1115"/>
      <c r="VUV15" s="1115"/>
      <c r="VUW15" s="1115"/>
      <c r="VUX15" s="1115"/>
      <c r="VUY15" s="1115"/>
      <c r="VUZ15" s="1115"/>
      <c r="VVA15" s="1115"/>
      <c r="VVB15" s="1115"/>
      <c r="VVC15" s="1115"/>
      <c r="VVD15" s="1115"/>
      <c r="VVE15" s="1115"/>
      <c r="VVF15" s="1115"/>
      <c r="VVG15" s="1115"/>
      <c r="VVH15" s="1115"/>
      <c r="VVI15" s="1115"/>
      <c r="VVJ15" s="1115"/>
      <c r="VVK15" s="1115"/>
      <c r="VVL15" s="1115"/>
      <c r="VVM15" s="1115"/>
      <c r="VVN15" s="1115"/>
      <c r="VVO15" s="1115"/>
      <c r="VVP15" s="1115"/>
      <c r="VVQ15" s="1115"/>
      <c r="VVR15" s="1115"/>
      <c r="VVS15" s="1115"/>
      <c r="VVT15" s="1115"/>
      <c r="VVU15" s="1115"/>
      <c r="VVV15" s="1115"/>
      <c r="VVW15" s="1115"/>
      <c r="VVX15" s="1115"/>
      <c r="VVY15" s="1115"/>
      <c r="VVZ15" s="1115"/>
      <c r="VWA15" s="1115"/>
      <c r="VWB15" s="1115"/>
      <c r="VWC15" s="1115"/>
      <c r="VWD15" s="1115"/>
      <c r="VWE15" s="1115"/>
      <c r="VWF15" s="1115"/>
      <c r="VWG15" s="1115"/>
      <c r="VWH15" s="1115"/>
      <c r="VWI15" s="1115"/>
      <c r="VWJ15" s="1115"/>
      <c r="VWK15" s="1115"/>
      <c r="VWL15" s="1115"/>
      <c r="VWM15" s="1115"/>
      <c r="VWN15" s="1115"/>
      <c r="VWO15" s="1115"/>
      <c r="VWP15" s="1115"/>
      <c r="VWQ15" s="1115"/>
      <c r="VWR15" s="1115"/>
      <c r="VWS15" s="1115"/>
      <c r="VWT15" s="1115"/>
      <c r="VWU15" s="1115"/>
      <c r="VWV15" s="1115"/>
      <c r="VWW15" s="1115"/>
      <c r="VWX15" s="1115"/>
      <c r="VWY15" s="1115"/>
      <c r="VWZ15" s="1115"/>
      <c r="VXA15" s="1115"/>
      <c r="VXB15" s="1115"/>
      <c r="VXC15" s="1115"/>
      <c r="VXD15" s="1115"/>
      <c r="VXE15" s="1115"/>
      <c r="VXF15" s="1115"/>
      <c r="VXG15" s="1115"/>
      <c r="VXH15" s="1115"/>
      <c r="VXI15" s="1115"/>
      <c r="VXJ15" s="1115"/>
      <c r="VXK15" s="1115"/>
      <c r="VXL15" s="1115"/>
      <c r="VXM15" s="1115"/>
      <c r="VXN15" s="1115"/>
      <c r="VXO15" s="1115"/>
      <c r="VXP15" s="1115"/>
      <c r="VXQ15" s="1115"/>
      <c r="VXR15" s="1115"/>
      <c r="VXS15" s="1115"/>
      <c r="VXT15" s="1115"/>
      <c r="VXU15" s="1115"/>
      <c r="VXV15" s="1115"/>
      <c r="VXW15" s="1115"/>
      <c r="VXX15" s="1115"/>
      <c r="VXY15" s="1115"/>
      <c r="VXZ15" s="1115"/>
      <c r="VYA15" s="1115"/>
      <c r="VYB15" s="1115"/>
      <c r="VYC15" s="1115"/>
      <c r="VYD15" s="1115"/>
      <c r="VYE15" s="1115"/>
      <c r="VYF15" s="1115"/>
      <c r="VYG15" s="1115"/>
      <c r="VYH15" s="1115"/>
      <c r="VYI15" s="1115"/>
      <c r="VYJ15" s="1115"/>
      <c r="VYK15" s="1115"/>
      <c r="VYL15" s="1115"/>
      <c r="VYM15" s="1115"/>
      <c r="VYN15" s="1115"/>
      <c r="VYO15" s="1115"/>
      <c r="VYP15" s="1115"/>
      <c r="VYQ15" s="1115"/>
      <c r="VYR15" s="1115"/>
      <c r="VYS15" s="1115"/>
      <c r="VYT15" s="1115"/>
      <c r="VYU15" s="1115"/>
      <c r="VYV15" s="1115"/>
      <c r="VYW15" s="1115"/>
      <c r="VYX15" s="1115"/>
      <c r="VYY15" s="1115"/>
      <c r="VYZ15" s="1115"/>
      <c r="VZA15" s="1115"/>
      <c r="VZB15" s="1115"/>
      <c r="VZC15" s="1115"/>
      <c r="VZD15" s="1115"/>
      <c r="VZE15" s="1115"/>
      <c r="VZF15" s="1115"/>
      <c r="VZG15" s="1115"/>
      <c r="VZH15" s="1115"/>
      <c r="VZI15" s="1115"/>
      <c r="VZJ15" s="1115"/>
      <c r="VZK15" s="1115"/>
      <c r="VZL15" s="1115"/>
      <c r="VZM15" s="1115"/>
      <c r="VZN15" s="1115"/>
      <c r="VZO15" s="1115"/>
      <c r="VZP15" s="1115"/>
      <c r="VZQ15" s="1115"/>
      <c r="VZR15" s="1115"/>
      <c r="VZS15" s="1115"/>
      <c r="VZT15" s="1115"/>
      <c r="VZU15" s="1115"/>
      <c r="VZV15" s="1115"/>
      <c r="VZW15" s="1115"/>
      <c r="VZX15" s="1115"/>
      <c r="VZY15" s="1115"/>
      <c r="VZZ15" s="1115"/>
      <c r="WAA15" s="1115"/>
      <c r="WAB15" s="1115"/>
      <c r="WAC15" s="1115"/>
      <c r="WAD15" s="1115"/>
      <c r="WAE15" s="1115"/>
      <c r="WAF15" s="1115"/>
      <c r="WAG15" s="1115"/>
      <c r="WAH15" s="1115"/>
      <c r="WAI15" s="1115"/>
      <c r="WAJ15" s="1115"/>
      <c r="WAK15" s="1115"/>
      <c r="WAL15" s="1115"/>
      <c r="WAM15" s="1115"/>
      <c r="WAN15" s="1115"/>
      <c r="WAO15" s="1115"/>
      <c r="WAP15" s="1115"/>
      <c r="WAQ15" s="1115"/>
      <c r="WAR15" s="1115"/>
      <c r="WAS15" s="1115"/>
      <c r="WAT15" s="1115"/>
      <c r="WAU15" s="1115"/>
      <c r="WAV15" s="1115"/>
      <c r="WAW15" s="1115"/>
      <c r="WAX15" s="1115"/>
      <c r="WAY15" s="1115"/>
      <c r="WAZ15" s="1115"/>
      <c r="WBA15" s="1115"/>
      <c r="WBB15" s="1115"/>
      <c r="WBC15" s="1115"/>
      <c r="WBD15" s="1115"/>
      <c r="WBE15" s="1115"/>
      <c r="WBF15" s="1115"/>
      <c r="WBG15" s="1115"/>
      <c r="WBH15" s="1115"/>
      <c r="WBI15" s="1115"/>
      <c r="WBJ15" s="1115"/>
      <c r="WBK15" s="1115"/>
      <c r="WBL15" s="1115"/>
      <c r="WBM15" s="1115"/>
      <c r="WBN15" s="1115"/>
      <c r="WBO15" s="1115"/>
      <c r="WBP15" s="1115"/>
      <c r="WBQ15" s="1115"/>
      <c r="WBR15" s="1115"/>
      <c r="WBS15" s="1115"/>
      <c r="WBT15" s="1115"/>
      <c r="WBU15" s="1115"/>
      <c r="WBV15" s="1115"/>
      <c r="WBW15" s="1115"/>
      <c r="WBX15" s="1115"/>
      <c r="WBY15" s="1115"/>
      <c r="WBZ15" s="1115"/>
      <c r="WCA15" s="1115"/>
      <c r="WCB15" s="1115"/>
      <c r="WCC15" s="1115"/>
      <c r="WCD15" s="1115"/>
      <c r="WCE15" s="1115"/>
      <c r="WCF15" s="1115"/>
      <c r="WCG15" s="1115"/>
      <c r="WCH15" s="1115"/>
      <c r="WCI15" s="1115"/>
      <c r="WCJ15" s="1115"/>
      <c r="WCK15" s="1115"/>
      <c r="WCL15" s="1115"/>
      <c r="WCM15" s="1115"/>
      <c r="WCN15" s="1115"/>
      <c r="WCO15" s="1115"/>
      <c r="WCP15" s="1115"/>
      <c r="WCQ15" s="1115"/>
      <c r="WCR15" s="1115"/>
      <c r="WCS15" s="1115"/>
      <c r="WCT15" s="1115"/>
      <c r="WCU15" s="1115"/>
      <c r="WCV15" s="1115"/>
      <c r="WCW15" s="1115"/>
      <c r="WCX15" s="1115"/>
      <c r="WCY15" s="1115"/>
      <c r="WCZ15" s="1115"/>
      <c r="WDA15" s="1115"/>
      <c r="WDB15" s="1115"/>
      <c r="WDC15" s="1115"/>
      <c r="WDD15" s="1115"/>
      <c r="WDE15" s="1115"/>
      <c r="WDF15" s="1115"/>
      <c r="WDG15" s="1115"/>
      <c r="WDH15" s="1115"/>
      <c r="WDI15" s="1115"/>
      <c r="WDJ15" s="1115"/>
      <c r="WDK15" s="1115"/>
      <c r="WDL15" s="1115"/>
      <c r="WDM15" s="1115"/>
      <c r="WDN15" s="1115"/>
      <c r="WDO15" s="1115"/>
      <c r="WDP15" s="1115"/>
      <c r="WDQ15" s="1115"/>
      <c r="WDR15" s="1115"/>
      <c r="WDS15" s="1115"/>
      <c r="WDT15" s="1115"/>
      <c r="WDU15" s="1115"/>
      <c r="WDV15" s="1115"/>
      <c r="WDW15" s="1115"/>
      <c r="WDX15" s="1115"/>
      <c r="WDY15" s="1115"/>
      <c r="WDZ15" s="1115"/>
      <c r="WEA15" s="1115"/>
      <c r="WEB15" s="1115"/>
      <c r="WEC15" s="1115"/>
      <c r="WED15" s="1115"/>
      <c r="WEE15" s="1115"/>
      <c r="WEF15" s="1115"/>
      <c r="WEG15" s="1115"/>
      <c r="WEH15" s="1115"/>
      <c r="WEI15" s="1115"/>
      <c r="WEJ15" s="1115"/>
      <c r="WEK15" s="1115"/>
      <c r="WEL15" s="1115"/>
      <c r="WEM15" s="1115"/>
      <c r="WEN15" s="1115"/>
      <c r="WEO15" s="1115"/>
      <c r="WEP15" s="1115"/>
      <c r="WEQ15" s="1115"/>
      <c r="WER15" s="1115"/>
      <c r="WES15" s="1115"/>
      <c r="WET15" s="1115"/>
      <c r="WEU15" s="1115"/>
      <c r="WEV15" s="1115"/>
      <c r="WEW15" s="1115"/>
      <c r="WEX15" s="1115"/>
      <c r="WEY15" s="1115"/>
      <c r="WEZ15" s="1115"/>
      <c r="WFA15" s="1115"/>
      <c r="WFB15" s="1115"/>
      <c r="WFC15" s="1115"/>
      <c r="WFD15" s="1115"/>
      <c r="WFE15" s="1115"/>
      <c r="WFF15" s="1115"/>
      <c r="WFG15" s="1115"/>
      <c r="WFH15" s="1115"/>
      <c r="WFI15" s="1115"/>
      <c r="WFJ15" s="1115"/>
      <c r="WFK15" s="1115"/>
      <c r="WFL15" s="1115"/>
      <c r="WFM15" s="1115"/>
      <c r="WFN15" s="1115"/>
      <c r="WFO15" s="1115"/>
      <c r="WFP15" s="1115"/>
      <c r="WFQ15" s="1115"/>
      <c r="WFR15" s="1115"/>
      <c r="WFS15" s="1115"/>
      <c r="WFT15" s="1115"/>
      <c r="WFU15" s="1115"/>
      <c r="WFV15" s="1115"/>
      <c r="WFW15" s="1115"/>
      <c r="WFX15" s="1115"/>
      <c r="WFY15" s="1115"/>
      <c r="WFZ15" s="1115"/>
      <c r="WGA15" s="1115"/>
      <c r="WGB15" s="1115"/>
      <c r="WGC15" s="1115"/>
      <c r="WGD15" s="1115"/>
      <c r="WGE15" s="1115"/>
      <c r="WGF15" s="1115"/>
      <c r="WGG15" s="1115"/>
      <c r="WGH15" s="1115"/>
      <c r="WGI15" s="1115"/>
      <c r="WGJ15" s="1115"/>
      <c r="WGK15" s="1115"/>
      <c r="WGL15" s="1115"/>
      <c r="WGM15" s="1115"/>
      <c r="WGN15" s="1115"/>
      <c r="WGO15" s="1115"/>
      <c r="WGP15" s="1115"/>
      <c r="WGQ15" s="1115"/>
      <c r="WGR15" s="1115"/>
      <c r="WGS15" s="1115"/>
      <c r="WGT15" s="1115"/>
      <c r="WGU15" s="1115"/>
      <c r="WGV15" s="1115"/>
      <c r="WGW15" s="1115"/>
      <c r="WGX15" s="1115"/>
      <c r="WGY15" s="1115"/>
      <c r="WGZ15" s="1115"/>
      <c r="WHA15" s="1115"/>
      <c r="WHB15" s="1115"/>
      <c r="WHC15" s="1115"/>
      <c r="WHD15" s="1115"/>
      <c r="WHE15" s="1115"/>
      <c r="WHF15" s="1115"/>
      <c r="WHG15" s="1115"/>
      <c r="WHH15" s="1115"/>
      <c r="WHI15" s="1115"/>
      <c r="WHJ15" s="1115"/>
      <c r="WHK15" s="1115"/>
      <c r="WHL15" s="1115"/>
      <c r="WHM15" s="1115"/>
      <c r="WHN15" s="1115"/>
      <c r="WHO15" s="1115"/>
      <c r="WHP15" s="1115"/>
      <c r="WHQ15" s="1115"/>
      <c r="WHR15" s="1115"/>
      <c r="WHS15" s="1115"/>
      <c r="WHT15" s="1115"/>
      <c r="WHU15" s="1115"/>
      <c r="WHV15" s="1115"/>
      <c r="WHW15" s="1115"/>
      <c r="WHX15" s="1115"/>
      <c r="WHY15" s="1115"/>
      <c r="WHZ15" s="1115"/>
      <c r="WIA15" s="1115"/>
      <c r="WIB15" s="1115"/>
      <c r="WIC15" s="1115"/>
      <c r="WID15" s="1115"/>
      <c r="WIE15" s="1115"/>
      <c r="WIF15" s="1115"/>
      <c r="WIG15" s="1115"/>
      <c r="WIH15" s="1115"/>
      <c r="WII15" s="1115"/>
      <c r="WIJ15" s="1115"/>
      <c r="WIK15" s="1115"/>
      <c r="WIL15" s="1115"/>
      <c r="WIM15" s="1115"/>
      <c r="WIN15" s="1115"/>
      <c r="WIO15" s="1115"/>
      <c r="WIP15" s="1115"/>
      <c r="WIQ15" s="1115"/>
      <c r="WIR15" s="1115"/>
      <c r="WIS15" s="1115"/>
      <c r="WIT15" s="1115"/>
      <c r="WIU15" s="1115"/>
      <c r="WIV15" s="1115"/>
      <c r="WIW15" s="1115"/>
      <c r="WIX15" s="1115"/>
      <c r="WIY15" s="1115"/>
      <c r="WIZ15" s="1115"/>
      <c r="WJA15" s="1115"/>
      <c r="WJB15" s="1115"/>
      <c r="WJC15" s="1115"/>
      <c r="WJD15" s="1115"/>
      <c r="WJE15" s="1115"/>
      <c r="WJF15" s="1115"/>
      <c r="WJG15" s="1115"/>
      <c r="WJH15" s="1115"/>
      <c r="WJI15" s="1115"/>
      <c r="WJJ15" s="1115"/>
      <c r="WJK15" s="1115"/>
      <c r="WJL15" s="1115"/>
      <c r="WJM15" s="1115"/>
      <c r="WJN15" s="1115"/>
      <c r="WJO15" s="1115"/>
      <c r="WJP15" s="1115"/>
      <c r="WJQ15" s="1115"/>
      <c r="WJR15" s="1115"/>
      <c r="WJS15" s="1115"/>
      <c r="WJT15" s="1115"/>
      <c r="WJU15" s="1115"/>
      <c r="WJV15" s="1115"/>
      <c r="WJW15" s="1115"/>
      <c r="WJX15" s="1115"/>
      <c r="WJY15" s="1115"/>
      <c r="WJZ15" s="1115"/>
      <c r="WKA15" s="1115"/>
      <c r="WKB15" s="1115"/>
      <c r="WKC15" s="1115"/>
      <c r="WKD15" s="1115"/>
      <c r="WKE15" s="1115"/>
      <c r="WKF15" s="1115"/>
      <c r="WKG15" s="1115"/>
      <c r="WKH15" s="1115"/>
      <c r="WKI15" s="1115"/>
      <c r="WKJ15" s="1115"/>
      <c r="WKK15" s="1115"/>
      <c r="WKL15" s="1115"/>
      <c r="WKM15" s="1115"/>
      <c r="WKN15" s="1115"/>
      <c r="WKO15" s="1115"/>
      <c r="WKP15" s="1115"/>
      <c r="WKQ15" s="1115"/>
      <c r="WKR15" s="1115"/>
      <c r="WKS15" s="1115"/>
      <c r="WKT15" s="1115"/>
      <c r="WKU15" s="1115"/>
      <c r="WKV15" s="1115"/>
      <c r="WKW15" s="1115"/>
      <c r="WKX15" s="1115"/>
      <c r="WKY15" s="1115"/>
      <c r="WKZ15" s="1115"/>
      <c r="WLA15" s="1115"/>
      <c r="WLB15" s="1115"/>
      <c r="WLC15" s="1115"/>
      <c r="WLD15" s="1115"/>
      <c r="WLE15" s="1115"/>
      <c r="WLF15" s="1115"/>
      <c r="WLG15" s="1115"/>
      <c r="WLH15" s="1115"/>
      <c r="WLI15" s="1115"/>
      <c r="WLJ15" s="1115"/>
      <c r="WLK15" s="1115"/>
      <c r="WLL15" s="1115"/>
      <c r="WLM15" s="1115"/>
      <c r="WLN15" s="1115"/>
      <c r="WLO15" s="1115"/>
      <c r="WLP15" s="1115"/>
      <c r="WLQ15" s="1115"/>
      <c r="WLR15" s="1115"/>
      <c r="WLS15" s="1115"/>
      <c r="WLT15" s="1115"/>
      <c r="WLU15" s="1115"/>
      <c r="WLV15" s="1115"/>
      <c r="WLW15" s="1115"/>
      <c r="WLX15" s="1115"/>
      <c r="WLY15" s="1115"/>
      <c r="WLZ15" s="1115"/>
      <c r="WMA15" s="1115"/>
      <c r="WMB15" s="1115"/>
      <c r="WMC15" s="1115"/>
      <c r="WMD15" s="1115"/>
      <c r="WME15" s="1115"/>
      <c r="WMF15" s="1115"/>
      <c r="WMG15" s="1115"/>
      <c r="WMH15" s="1115"/>
      <c r="WMI15" s="1115"/>
      <c r="WMJ15" s="1115"/>
      <c r="WMK15" s="1115"/>
      <c r="WML15" s="1115"/>
      <c r="WMM15" s="1115"/>
      <c r="WMN15" s="1115"/>
      <c r="WMO15" s="1115"/>
      <c r="WMP15" s="1115"/>
      <c r="WMQ15" s="1115"/>
      <c r="WMR15" s="1115"/>
      <c r="WMS15" s="1115"/>
      <c r="WMT15" s="1115"/>
      <c r="WMU15" s="1115"/>
      <c r="WMV15" s="1115"/>
      <c r="WMW15" s="1115"/>
      <c r="WMX15" s="1115"/>
      <c r="WMY15" s="1115"/>
      <c r="WMZ15" s="1115"/>
      <c r="WNA15" s="1115"/>
      <c r="WNB15" s="1115"/>
      <c r="WNC15" s="1115"/>
      <c r="WND15" s="1115"/>
      <c r="WNE15" s="1115"/>
      <c r="WNF15" s="1115"/>
      <c r="WNG15" s="1115"/>
      <c r="WNH15" s="1115"/>
      <c r="WNI15" s="1115"/>
      <c r="WNJ15" s="1115"/>
      <c r="WNK15" s="1115"/>
      <c r="WNL15" s="1115"/>
      <c r="WNM15" s="1115"/>
      <c r="WNN15" s="1115"/>
      <c r="WNO15" s="1115"/>
      <c r="WNP15" s="1115"/>
      <c r="WNQ15" s="1115"/>
      <c r="WNR15" s="1115"/>
      <c r="WNS15" s="1115"/>
      <c r="WNT15" s="1115"/>
      <c r="WNU15" s="1115"/>
      <c r="WNV15" s="1115"/>
      <c r="WNW15" s="1115"/>
      <c r="WNX15" s="1115"/>
      <c r="WNY15" s="1115"/>
      <c r="WNZ15" s="1115"/>
      <c r="WOA15" s="1115"/>
      <c r="WOB15" s="1115"/>
      <c r="WOC15" s="1115"/>
      <c r="WOD15" s="1115"/>
      <c r="WOE15" s="1115"/>
      <c r="WOF15" s="1115"/>
      <c r="WOG15" s="1115"/>
      <c r="WOH15" s="1115"/>
      <c r="WOI15" s="1115"/>
      <c r="WOJ15" s="1115"/>
      <c r="WOK15" s="1115"/>
      <c r="WOL15" s="1115"/>
      <c r="WOM15" s="1115"/>
      <c r="WON15" s="1115"/>
      <c r="WOO15" s="1115"/>
      <c r="WOP15" s="1115"/>
      <c r="WOQ15" s="1115"/>
      <c r="WOR15" s="1115"/>
      <c r="WOS15" s="1115"/>
      <c r="WOT15" s="1115"/>
      <c r="WOU15" s="1115"/>
      <c r="WOV15" s="1115"/>
      <c r="WOW15" s="1115"/>
      <c r="WOX15" s="1115"/>
      <c r="WOY15" s="1115"/>
      <c r="WOZ15" s="1115"/>
      <c r="WPA15" s="1115"/>
      <c r="WPB15" s="1115"/>
      <c r="WPC15" s="1115"/>
      <c r="WPD15" s="1115"/>
      <c r="WPE15" s="1115"/>
      <c r="WPF15" s="1115"/>
      <c r="WPG15" s="1115"/>
      <c r="WPH15" s="1115"/>
      <c r="WPI15" s="1115"/>
      <c r="WPJ15" s="1115"/>
      <c r="WPK15" s="1115"/>
      <c r="WPL15" s="1115"/>
      <c r="WPM15" s="1115"/>
      <c r="WPN15" s="1115"/>
      <c r="WPO15" s="1115"/>
      <c r="WPP15" s="1115"/>
      <c r="WPQ15" s="1115"/>
      <c r="WPR15" s="1115"/>
      <c r="WPS15" s="1115"/>
      <c r="WPT15" s="1115"/>
      <c r="WPU15" s="1115"/>
      <c r="WPV15" s="1115"/>
      <c r="WPW15" s="1115"/>
      <c r="WPX15" s="1115"/>
      <c r="WPY15" s="1115"/>
      <c r="WPZ15" s="1115"/>
      <c r="WQA15" s="1115"/>
      <c r="WQB15" s="1115"/>
      <c r="WQC15" s="1115"/>
      <c r="WQD15" s="1115"/>
      <c r="WQE15" s="1115"/>
      <c r="WQF15" s="1115"/>
      <c r="WQG15" s="1115"/>
      <c r="WQH15" s="1115"/>
      <c r="WQI15" s="1115"/>
      <c r="WQJ15" s="1115"/>
      <c r="WQK15" s="1115"/>
      <c r="WQL15" s="1115"/>
      <c r="WQM15" s="1115"/>
      <c r="WQN15" s="1115"/>
      <c r="WQO15" s="1115"/>
      <c r="WQP15" s="1115"/>
      <c r="WQQ15" s="1115"/>
      <c r="WQR15" s="1115"/>
      <c r="WQS15" s="1115"/>
      <c r="WQT15" s="1115"/>
      <c r="WQU15" s="1115"/>
      <c r="WQV15" s="1115"/>
      <c r="WQW15" s="1115"/>
      <c r="WQX15" s="1115"/>
      <c r="WQY15" s="1115"/>
      <c r="WQZ15" s="1115"/>
      <c r="WRA15" s="1115"/>
      <c r="WRB15" s="1115"/>
      <c r="WRC15" s="1115"/>
      <c r="WRD15" s="1115"/>
      <c r="WRE15" s="1115"/>
      <c r="WRF15" s="1115"/>
      <c r="WRG15" s="1115"/>
      <c r="WRH15" s="1115"/>
      <c r="WRI15" s="1115"/>
      <c r="WRJ15" s="1115"/>
      <c r="WRK15" s="1115"/>
      <c r="WRL15" s="1115"/>
      <c r="WRM15" s="1115"/>
      <c r="WRN15" s="1115"/>
      <c r="WRO15" s="1115"/>
      <c r="WRP15" s="1115"/>
      <c r="WRQ15" s="1115"/>
      <c r="WRR15" s="1115"/>
      <c r="WRS15" s="1115"/>
      <c r="WRT15" s="1115"/>
      <c r="WRU15" s="1115"/>
      <c r="WRV15" s="1115"/>
      <c r="WRW15" s="1115"/>
      <c r="WRX15" s="1115"/>
      <c r="WRY15" s="1115"/>
      <c r="WRZ15" s="1115"/>
      <c r="WSA15" s="1115"/>
      <c r="WSB15" s="1115"/>
      <c r="WSC15" s="1115"/>
      <c r="WSD15" s="1115"/>
      <c r="WSE15" s="1115"/>
      <c r="WSF15" s="1115"/>
      <c r="WSG15" s="1115"/>
      <c r="WSH15" s="1115"/>
      <c r="WSI15" s="1115"/>
      <c r="WSJ15" s="1115"/>
      <c r="WSK15" s="1115"/>
      <c r="WSL15" s="1115"/>
      <c r="WSM15" s="1115"/>
      <c r="WSN15" s="1115"/>
      <c r="WSO15" s="1115"/>
      <c r="WSP15" s="1115"/>
      <c r="WSQ15" s="1115"/>
      <c r="WSR15" s="1115"/>
      <c r="WSS15" s="1115"/>
      <c r="WST15" s="1115"/>
      <c r="WSU15" s="1115"/>
      <c r="WSV15" s="1115"/>
      <c r="WSW15" s="1115"/>
      <c r="WSX15" s="1115"/>
      <c r="WSY15" s="1115"/>
      <c r="WSZ15" s="1115"/>
      <c r="WTA15" s="1115"/>
      <c r="WTB15" s="1115"/>
      <c r="WTC15" s="1115"/>
      <c r="WTD15" s="1115"/>
      <c r="WTE15" s="1115"/>
      <c r="WTF15" s="1115"/>
      <c r="WTG15" s="1115"/>
      <c r="WTH15" s="1115"/>
      <c r="WTI15" s="1115"/>
      <c r="WTJ15" s="1115"/>
      <c r="WTK15" s="1115"/>
      <c r="WTL15" s="1115"/>
      <c r="WTM15" s="1115"/>
      <c r="WTN15" s="1115"/>
      <c r="WTO15" s="1115"/>
      <c r="WTP15" s="1115"/>
      <c r="WTQ15" s="1115"/>
      <c r="WTR15" s="1115"/>
      <c r="WTS15" s="1115"/>
      <c r="WTT15" s="1115"/>
      <c r="WTU15" s="1115"/>
      <c r="WTV15" s="1115"/>
      <c r="WTW15" s="1115"/>
      <c r="WTX15" s="1115"/>
      <c r="WTY15" s="1115"/>
      <c r="WTZ15" s="1115"/>
      <c r="WUA15" s="1115"/>
      <c r="WUB15" s="1115"/>
      <c r="WUC15" s="1115"/>
      <c r="WUD15" s="1115"/>
      <c r="WUE15" s="1115"/>
      <c r="WUF15" s="1115"/>
      <c r="WUG15" s="1115"/>
      <c r="WUH15" s="1115"/>
      <c r="WUI15" s="1115"/>
      <c r="WUJ15" s="1115"/>
      <c r="WUK15" s="1115"/>
      <c r="WUL15" s="1115"/>
      <c r="WUM15" s="1115"/>
      <c r="WUN15" s="1115"/>
      <c r="WUO15" s="1115"/>
      <c r="WUP15" s="1115"/>
      <c r="WUQ15" s="1115"/>
      <c r="WUR15" s="1115"/>
      <c r="WUS15" s="1115"/>
      <c r="WUT15" s="1115"/>
      <c r="WUU15" s="1115"/>
      <c r="WUV15" s="1115"/>
      <c r="WUW15" s="1115"/>
      <c r="WUX15" s="1115"/>
      <c r="WUY15" s="1115"/>
      <c r="WUZ15" s="1115"/>
      <c r="WVA15" s="1115"/>
      <c r="WVB15" s="1115"/>
      <c r="WVC15" s="1115"/>
      <c r="WVD15" s="1115"/>
      <c r="WVE15" s="1115"/>
      <c r="WVF15" s="1115"/>
      <c r="WVG15" s="1115"/>
      <c r="WVH15" s="1115"/>
      <c r="WVI15" s="1115"/>
      <c r="WVJ15" s="1115"/>
      <c r="WVK15" s="1115"/>
      <c r="WVL15" s="1115"/>
      <c r="WVM15" s="1115"/>
      <c r="WVN15" s="1115"/>
      <c r="WVO15" s="1115"/>
      <c r="WVP15" s="1115"/>
      <c r="WVQ15" s="1115"/>
      <c r="WVR15" s="1115"/>
      <c r="WVS15" s="1115"/>
      <c r="WVT15" s="1115"/>
      <c r="WVU15" s="1115"/>
      <c r="WVV15" s="1115"/>
      <c r="WVW15" s="1115"/>
      <c r="WVX15" s="1115"/>
      <c r="WVY15" s="1115"/>
      <c r="WVZ15" s="1115"/>
      <c r="WWA15" s="1115"/>
      <c r="WWB15" s="1115"/>
      <c r="WWC15" s="1115"/>
      <c r="WWD15" s="1115"/>
      <c r="WWE15" s="1115"/>
      <c r="WWF15" s="1115"/>
      <c r="WWG15" s="1115"/>
      <c r="WWH15" s="1115"/>
      <c r="WWI15" s="1115"/>
      <c r="WWJ15" s="1115"/>
      <c r="WWK15" s="1115"/>
      <c r="WWL15" s="1115"/>
      <c r="WWM15" s="1115"/>
      <c r="WWN15" s="1115"/>
      <c r="WWO15" s="1115"/>
      <c r="WWP15" s="1115"/>
      <c r="WWQ15" s="1115"/>
      <c r="WWR15" s="1115"/>
      <c r="WWS15" s="1115"/>
      <c r="WWT15" s="1115"/>
      <c r="WWU15" s="1115"/>
      <c r="WWV15" s="1115"/>
      <c r="WWW15" s="1115"/>
      <c r="WWX15" s="1115"/>
      <c r="WWY15" s="1115"/>
      <c r="WWZ15" s="1115"/>
      <c r="WXA15" s="1115"/>
      <c r="WXB15" s="1115"/>
      <c r="WXC15" s="1115"/>
      <c r="WXD15" s="1115"/>
      <c r="WXE15" s="1115"/>
      <c r="WXF15" s="1115"/>
      <c r="WXG15" s="1115"/>
      <c r="WXH15" s="1115"/>
      <c r="WXI15" s="1115"/>
      <c r="WXJ15" s="1115"/>
      <c r="WXK15" s="1115"/>
      <c r="WXL15" s="1115"/>
      <c r="WXM15" s="1115"/>
      <c r="WXN15" s="1115"/>
      <c r="WXO15" s="1115"/>
      <c r="WXP15" s="1115"/>
      <c r="WXQ15" s="1115"/>
      <c r="WXR15" s="1115"/>
      <c r="WXS15" s="1115"/>
      <c r="WXT15" s="1115"/>
      <c r="WXU15" s="1115"/>
      <c r="WXV15" s="1115"/>
      <c r="WXW15" s="1115"/>
      <c r="WXX15" s="1115"/>
      <c r="WXY15" s="1115"/>
      <c r="WXZ15" s="1115"/>
      <c r="WYA15" s="1115"/>
      <c r="WYB15" s="1115"/>
      <c r="WYC15" s="1115"/>
      <c r="WYD15" s="1115"/>
      <c r="WYE15" s="1115"/>
      <c r="WYF15" s="1115"/>
      <c r="WYG15" s="1115"/>
      <c r="WYH15" s="1115"/>
      <c r="WYI15" s="1115"/>
      <c r="WYJ15" s="1115"/>
      <c r="WYK15" s="1115"/>
      <c r="WYL15" s="1115"/>
      <c r="WYM15" s="1115"/>
      <c r="WYN15" s="1115"/>
      <c r="WYO15" s="1115"/>
      <c r="WYP15" s="1115"/>
      <c r="WYQ15" s="1115"/>
      <c r="WYR15" s="1115"/>
      <c r="WYS15" s="1115"/>
      <c r="WYT15" s="1115"/>
      <c r="WYU15" s="1115"/>
      <c r="WYV15" s="1115"/>
      <c r="WYW15" s="1115"/>
      <c r="WYX15" s="1115"/>
      <c r="WYY15" s="1115"/>
      <c r="WYZ15" s="1115"/>
      <c r="WZA15" s="1115"/>
      <c r="WZB15" s="1115"/>
      <c r="WZC15" s="1115"/>
      <c r="WZD15" s="1115"/>
      <c r="WZE15" s="1115"/>
      <c r="WZF15" s="1115"/>
      <c r="WZG15" s="1115"/>
      <c r="WZH15" s="1115"/>
      <c r="WZI15" s="1115"/>
      <c r="WZJ15" s="1115"/>
      <c r="WZK15" s="1115"/>
      <c r="WZL15" s="1115"/>
      <c r="WZM15" s="1115"/>
      <c r="WZN15" s="1115"/>
      <c r="WZO15" s="1115"/>
      <c r="WZP15" s="1115"/>
      <c r="WZQ15" s="1115"/>
      <c r="WZR15" s="1115"/>
      <c r="WZS15" s="1115"/>
      <c r="WZT15" s="1115"/>
      <c r="WZU15" s="1115"/>
      <c r="WZV15" s="1115"/>
      <c r="WZW15" s="1115"/>
      <c r="WZX15" s="1115"/>
      <c r="WZY15" s="1115"/>
      <c r="WZZ15" s="1115"/>
      <c r="XAA15" s="1115"/>
      <c r="XAB15" s="1115"/>
      <c r="XAC15" s="1115"/>
      <c r="XAD15" s="1115"/>
      <c r="XAE15" s="1115"/>
      <c r="XAF15" s="1115"/>
      <c r="XAG15" s="1115"/>
      <c r="XAH15" s="1115"/>
      <c r="XAI15" s="1115"/>
      <c r="XAJ15" s="1115"/>
      <c r="XAK15" s="1115"/>
      <c r="XAL15" s="1115"/>
      <c r="XAM15" s="1115"/>
      <c r="XAN15" s="1115"/>
      <c r="XAO15" s="1115"/>
      <c r="XAP15" s="1115"/>
      <c r="XAQ15" s="1115"/>
      <c r="XAR15" s="1115"/>
      <c r="XAS15" s="1115"/>
      <c r="XAT15" s="1115"/>
      <c r="XAU15" s="1115"/>
      <c r="XAV15" s="1115"/>
      <c r="XAW15" s="1115"/>
      <c r="XAX15" s="1115"/>
      <c r="XAY15" s="1115"/>
      <c r="XAZ15" s="1115"/>
      <c r="XBA15" s="1115"/>
      <c r="XBB15" s="1115"/>
      <c r="XBC15" s="1115"/>
      <c r="XBD15" s="1115"/>
      <c r="XBE15" s="1115"/>
      <c r="XBF15" s="1115"/>
      <c r="XBG15" s="1115"/>
      <c r="XBH15" s="1115"/>
      <c r="XBI15" s="1115"/>
      <c r="XBJ15" s="1115"/>
      <c r="XBK15" s="1115"/>
      <c r="XBL15" s="1115"/>
      <c r="XBM15" s="1115"/>
      <c r="XBN15" s="1115"/>
      <c r="XBO15" s="1115"/>
      <c r="XBP15" s="1115"/>
      <c r="XBQ15" s="1115"/>
      <c r="XBR15" s="1115"/>
      <c r="XBS15" s="1115"/>
      <c r="XBT15" s="1115"/>
      <c r="XBU15" s="1115"/>
      <c r="XBV15" s="1115"/>
      <c r="XBW15" s="1115"/>
      <c r="XBX15" s="1115"/>
      <c r="XBY15" s="1115"/>
      <c r="XBZ15" s="1115"/>
      <c r="XCA15" s="1115"/>
      <c r="XCB15" s="1115"/>
      <c r="XCC15" s="1115"/>
      <c r="XCD15" s="1115"/>
      <c r="XCE15" s="1115"/>
      <c r="XCF15" s="1115"/>
      <c r="XCG15" s="1115"/>
      <c r="XCH15" s="1115"/>
      <c r="XCI15" s="1115"/>
      <c r="XCJ15" s="1115"/>
      <c r="XCK15" s="1115"/>
      <c r="XCL15" s="1115"/>
      <c r="XCM15" s="1115"/>
      <c r="XCN15" s="1115"/>
      <c r="XCO15" s="1115"/>
      <c r="XCP15" s="1115"/>
      <c r="XCQ15" s="1115"/>
      <c r="XCR15" s="1115"/>
      <c r="XCS15" s="1115"/>
      <c r="XCT15" s="1115"/>
      <c r="XCU15" s="1115"/>
      <c r="XCV15" s="1115"/>
      <c r="XCW15" s="1115"/>
      <c r="XCX15" s="1115"/>
      <c r="XCY15" s="1115"/>
      <c r="XCZ15" s="1115"/>
      <c r="XDA15" s="1115"/>
      <c r="XDB15" s="1115"/>
      <c r="XDC15" s="1115"/>
      <c r="XDD15" s="1115"/>
      <c r="XDE15" s="1115"/>
      <c r="XDF15" s="1115"/>
      <c r="XDG15" s="1115"/>
      <c r="XDH15" s="1115"/>
      <c r="XDI15" s="1115"/>
      <c r="XDJ15" s="1115"/>
      <c r="XDK15" s="1115"/>
      <c r="XDL15" s="1115"/>
      <c r="XDM15" s="1115"/>
      <c r="XDN15" s="1115"/>
      <c r="XDO15" s="1115"/>
      <c r="XDP15" s="1115"/>
      <c r="XDQ15" s="1115"/>
      <c r="XDR15" s="1115"/>
      <c r="XDS15" s="1115"/>
      <c r="XDT15" s="1115"/>
      <c r="XDU15" s="1115"/>
      <c r="XDV15" s="1115"/>
      <c r="XDW15" s="1115"/>
      <c r="XDX15" s="1115"/>
      <c r="XDY15" s="1115"/>
      <c r="XDZ15" s="1115"/>
      <c r="XEA15" s="1115"/>
      <c r="XEB15" s="1115"/>
      <c r="XEC15" s="1115"/>
      <c r="XED15" s="1115"/>
      <c r="XEE15" s="1115"/>
      <c r="XEF15" s="1115"/>
      <c r="XEG15" s="1115"/>
      <c r="XEH15" s="1115"/>
      <c r="XEI15" s="1115"/>
      <c r="XEJ15" s="1115"/>
      <c r="XEK15" s="1115"/>
      <c r="XEL15" s="1115"/>
      <c r="XEM15" s="1115"/>
      <c r="XEN15" s="1115"/>
      <c r="XEO15" s="1115"/>
      <c r="XEP15" s="1115"/>
      <c r="XEQ15" s="1115"/>
      <c r="XER15" s="1115"/>
      <c r="XES15" s="1115"/>
      <c r="XET15" s="1115"/>
      <c r="XEU15" s="1115"/>
      <c r="XEV15" s="1115"/>
      <c r="XEW15" s="1115"/>
      <c r="XEX15" s="1115"/>
      <c r="XEY15" s="1115"/>
      <c r="XEZ15" s="1115"/>
      <c r="XFA15" s="1115"/>
      <c r="XFB15" s="1115"/>
      <c r="XFC15" s="1115"/>
      <c r="XFD15" s="1115"/>
    </row>
    <row r="16" spans="1:19">
      <c r="A16" s="1116" t="s">
        <v>1725</v>
      </c>
      <c r="B16" s="1116" t="s">
        <v>1672</v>
      </c>
      <c r="C16" s="1116" t="s">
        <v>1726</v>
      </c>
      <c r="D16" s="1116">
        <v>32997.2</v>
      </c>
      <c r="E16" s="1116">
        <v>65994.4</v>
      </c>
      <c r="F16" s="1116" t="s">
        <v>1674</v>
      </c>
      <c r="G16" s="1116" t="s">
        <v>1674</v>
      </c>
      <c r="H16" s="1116">
        <v>50</v>
      </c>
      <c r="I16" s="1116" t="s">
        <v>1686</v>
      </c>
      <c r="J16" s="1116" t="s">
        <v>1677</v>
      </c>
      <c r="K16" s="1119">
        <v>45462.0004976852</v>
      </c>
      <c r="L16" s="1119">
        <v>45462.0004976852</v>
      </c>
      <c r="M16" s="1116" t="s">
        <v>1678</v>
      </c>
      <c r="N16" s="1116" t="s">
        <v>1727</v>
      </c>
      <c r="O16" s="1116">
        <v>2820</v>
      </c>
      <c r="P16" s="1116">
        <v>2820</v>
      </c>
      <c r="Q16" s="1116">
        <v>56.97</v>
      </c>
      <c r="R16" s="1116">
        <v>427</v>
      </c>
      <c r="S16" s="1116">
        <v>0</v>
      </c>
    </row>
    <row r="17" spans="1:19">
      <c r="A17" s="1116" t="s">
        <v>1725</v>
      </c>
      <c r="B17" s="1116" t="s">
        <v>1672</v>
      </c>
      <c r="C17" s="1116" t="s">
        <v>1728</v>
      </c>
      <c r="D17" s="1116">
        <v>3562.1</v>
      </c>
      <c r="E17" s="1116">
        <v>7124.2</v>
      </c>
      <c r="F17" s="1116" t="s">
        <v>1674</v>
      </c>
      <c r="G17" s="1116" t="s">
        <v>1674</v>
      </c>
      <c r="H17" s="1116">
        <v>50</v>
      </c>
      <c r="I17" s="1116" t="s">
        <v>1729</v>
      </c>
      <c r="J17" s="1116" t="s">
        <v>1677</v>
      </c>
      <c r="K17" s="1119">
        <v>45434.0004976852</v>
      </c>
      <c r="L17" s="1119">
        <v>45434.0004976852</v>
      </c>
      <c r="M17" s="1116" t="s">
        <v>1678</v>
      </c>
      <c r="N17" s="1116" t="s">
        <v>1730</v>
      </c>
      <c r="O17" s="1116">
        <v>230</v>
      </c>
      <c r="P17" s="1116">
        <v>230</v>
      </c>
      <c r="Q17" s="1116">
        <v>43.05</v>
      </c>
      <c r="R17" s="1116">
        <v>323</v>
      </c>
      <c r="S17" s="1116">
        <v>0</v>
      </c>
    </row>
    <row r="18" spans="1:19">
      <c r="A18" s="1116" t="s">
        <v>1697</v>
      </c>
      <c r="B18" s="1116" t="s">
        <v>1672</v>
      </c>
      <c r="C18" s="1116" t="s">
        <v>1731</v>
      </c>
      <c r="D18" s="1116">
        <v>20520.6</v>
      </c>
      <c r="E18" s="1116">
        <v>41041.2</v>
      </c>
      <c r="F18" s="1116" t="s">
        <v>1674</v>
      </c>
      <c r="G18" s="1116" t="s">
        <v>1674</v>
      </c>
      <c r="H18" s="1116">
        <v>50</v>
      </c>
      <c r="I18" s="1116" t="s">
        <v>1699</v>
      </c>
      <c r="J18" s="1116" t="s">
        <v>1677</v>
      </c>
      <c r="K18" s="1119">
        <v>45434.0004976852</v>
      </c>
      <c r="L18" s="1119">
        <v>45434.0004976852</v>
      </c>
      <c r="M18" s="1116" t="s">
        <v>1678</v>
      </c>
      <c r="N18" s="1116" t="s">
        <v>1732</v>
      </c>
      <c r="O18" s="1116">
        <v>1050</v>
      </c>
      <c r="P18" s="1116">
        <v>1050</v>
      </c>
      <c r="Q18" s="1116">
        <v>34.11</v>
      </c>
      <c r="R18" s="1116">
        <v>256</v>
      </c>
      <c r="S18" s="1116">
        <v>0</v>
      </c>
    </row>
    <row r="19" s="1113" customFormat="1" spans="1:16384">
      <c r="A19" s="1115" t="s">
        <v>1671</v>
      </c>
      <c r="B19" s="1115" t="s">
        <v>1672</v>
      </c>
      <c r="C19" s="1115" t="s">
        <v>1733</v>
      </c>
      <c r="D19" s="1115">
        <v>36096.8</v>
      </c>
      <c r="E19" s="1115">
        <v>72193.6</v>
      </c>
      <c r="F19" s="1115" t="s">
        <v>1674</v>
      </c>
      <c r="G19" s="1115" t="s">
        <v>1674</v>
      </c>
      <c r="H19" s="1115">
        <v>50</v>
      </c>
      <c r="I19" s="1115" t="s">
        <v>1734</v>
      </c>
      <c r="J19" s="1115" t="s">
        <v>1677</v>
      </c>
      <c r="K19" s="1120">
        <v>45392.0004976852</v>
      </c>
      <c r="L19" s="1120">
        <v>45392.0004976852</v>
      </c>
      <c r="M19" s="1115" t="s">
        <v>1678</v>
      </c>
      <c r="N19" s="1115" t="s">
        <v>1735</v>
      </c>
      <c r="O19" s="1115">
        <v>1880</v>
      </c>
      <c r="P19" s="1115">
        <v>1880</v>
      </c>
      <c r="Q19" s="1115">
        <v>34.72</v>
      </c>
      <c r="R19" s="1115">
        <v>260</v>
      </c>
      <c r="S19" s="1115">
        <v>0</v>
      </c>
      <c r="T19" s="1115"/>
      <c r="U19" s="1115"/>
      <c r="V19" s="1115"/>
      <c r="W19" s="1115"/>
      <c r="X19" s="1115"/>
      <c r="Y19" s="1115"/>
      <c r="Z19" s="1115"/>
      <c r="AA19" s="1115"/>
      <c r="AB19" s="1115"/>
      <c r="AC19" s="1115"/>
      <c r="AD19" s="1115"/>
      <c r="AE19" s="1115"/>
      <c r="AF19" s="1115"/>
      <c r="AG19" s="1115"/>
      <c r="AH19" s="1115"/>
      <c r="AI19" s="1115"/>
      <c r="AJ19" s="1115"/>
      <c r="AK19" s="1115"/>
      <c r="AL19" s="1115"/>
      <c r="AM19" s="1115"/>
      <c r="AN19" s="1115"/>
      <c r="AO19" s="1115"/>
      <c r="AP19" s="1115"/>
      <c r="AQ19" s="1115"/>
      <c r="AR19" s="1115"/>
      <c r="AS19" s="1115"/>
      <c r="AT19" s="1115"/>
      <c r="AU19" s="1115"/>
      <c r="AV19" s="1115"/>
      <c r="AW19" s="1115"/>
      <c r="AX19" s="1115"/>
      <c r="AY19" s="1115"/>
      <c r="AZ19" s="1115"/>
      <c r="BA19" s="1115"/>
      <c r="BB19" s="1115"/>
      <c r="BC19" s="1115"/>
      <c r="BD19" s="1115"/>
      <c r="BE19" s="1115"/>
      <c r="BF19" s="1115"/>
      <c r="BG19" s="1115"/>
      <c r="BH19" s="1115"/>
      <c r="BI19" s="1115"/>
      <c r="BJ19" s="1115"/>
      <c r="BK19" s="1115"/>
      <c r="BL19" s="1115"/>
      <c r="BM19" s="1115"/>
      <c r="BN19" s="1115"/>
      <c r="BO19" s="1115"/>
      <c r="BP19" s="1115"/>
      <c r="BQ19" s="1115"/>
      <c r="BR19" s="1115"/>
      <c r="BS19" s="1115"/>
      <c r="BT19" s="1115"/>
      <c r="BU19" s="1115"/>
      <c r="BV19" s="1115"/>
      <c r="BW19" s="1115"/>
      <c r="BX19" s="1115"/>
      <c r="BY19" s="1115"/>
      <c r="BZ19" s="1115"/>
      <c r="CA19" s="1115"/>
      <c r="CB19" s="1115"/>
      <c r="CC19" s="1115"/>
      <c r="CD19" s="1115"/>
      <c r="CE19" s="1115"/>
      <c r="CF19" s="1115"/>
      <c r="CG19" s="1115"/>
      <c r="CH19" s="1115"/>
      <c r="CI19" s="1115"/>
      <c r="CJ19" s="1115"/>
      <c r="CK19" s="1115"/>
      <c r="CL19" s="1115"/>
      <c r="CM19" s="1115"/>
      <c r="CN19" s="1115"/>
      <c r="CO19" s="1115"/>
      <c r="CP19" s="1115"/>
      <c r="CQ19" s="1115"/>
      <c r="CR19" s="1115"/>
      <c r="CS19" s="1115"/>
      <c r="CT19" s="1115"/>
      <c r="CU19" s="1115"/>
      <c r="CV19" s="1115"/>
      <c r="CW19" s="1115"/>
      <c r="CX19" s="1115"/>
      <c r="CY19" s="1115"/>
      <c r="CZ19" s="1115"/>
      <c r="DA19" s="1115"/>
      <c r="DB19" s="1115"/>
      <c r="DC19" s="1115"/>
      <c r="DD19" s="1115"/>
      <c r="DE19" s="1115"/>
      <c r="DF19" s="1115"/>
      <c r="DG19" s="1115"/>
      <c r="DH19" s="1115"/>
      <c r="DI19" s="1115"/>
      <c r="DJ19" s="1115"/>
      <c r="DK19" s="1115"/>
      <c r="DL19" s="1115"/>
      <c r="DM19" s="1115"/>
      <c r="DN19" s="1115"/>
      <c r="DO19" s="1115"/>
      <c r="DP19" s="1115"/>
      <c r="DQ19" s="1115"/>
      <c r="DR19" s="1115"/>
      <c r="DS19" s="1115"/>
      <c r="DT19" s="1115"/>
      <c r="DU19" s="1115"/>
      <c r="DV19" s="1115"/>
      <c r="DW19" s="1115"/>
      <c r="DX19" s="1115"/>
      <c r="DY19" s="1115"/>
      <c r="DZ19" s="1115"/>
      <c r="EA19" s="1115"/>
      <c r="EB19" s="1115"/>
      <c r="EC19" s="1115"/>
      <c r="ED19" s="1115"/>
      <c r="EE19" s="1115"/>
      <c r="EF19" s="1115"/>
      <c r="EG19" s="1115"/>
      <c r="EH19" s="1115"/>
      <c r="EI19" s="1115"/>
      <c r="EJ19" s="1115"/>
      <c r="EK19" s="1115"/>
      <c r="EL19" s="1115"/>
      <c r="EM19" s="1115"/>
      <c r="EN19" s="1115"/>
      <c r="EO19" s="1115"/>
      <c r="EP19" s="1115"/>
      <c r="EQ19" s="1115"/>
      <c r="ER19" s="1115"/>
      <c r="ES19" s="1115"/>
      <c r="ET19" s="1115"/>
      <c r="EU19" s="1115"/>
      <c r="EV19" s="1115"/>
      <c r="EW19" s="1115"/>
      <c r="EX19" s="1115"/>
      <c r="EY19" s="1115"/>
      <c r="EZ19" s="1115"/>
      <c r="FA19" s="1115"/>
      <c r="FB19" s="1115"/>
      <c r="FC19" s="1115"/>
      <c r="FD19" s="1115"/>
      <c r="FE19" s="1115"/>
      <c r="FF19" s="1115"/>
      <c r="FG19" s="1115"/>
      <c r="FH19" s="1115"/>
      <c r="FI19" s="1115"/>
      <c r="FJ19" s="1115"/>
      <c r="FK19" s="1115"/>
      <c r="FL19" s="1115"/>
      <c r="FM19" s="1115"/>
      <c r="FN19" s="1115"/>
      <c r="FO19" s="1115"/>
      <c r="FP19" s="1115"/>
      <c r="FQ19" s="1115"/>
      <c r="FR19" s="1115"/>
      <c r="FS19" s="1115"/>
      <c r="FT19" s="1115"/>
      <c r="FU19" s="1115"/>
      <c r="FV19" s="1115"/>
      <c r="FW19" s="1115"/>
      <c r="FX19" s="1115"/>
      <c r="FY19" s="1115"/>
      <c r="FZ19" s="1115"/>
      <c r="GA19" s="1115"/>
      <c r="GB19" s="1115"/>
      <c r="GC19" s="1115"/>
      <c r="GD19" s="1115"/>
      <c r="GE19" s="1115"/>
      <c r="GF19" s="1115"/>
      <c r="GG19" s="1115"/>
      <c r="GH19" s="1115"/>
      <c r="GI19" s="1115"/>
      <c r="GJ19" s="1115"/>
      <c r="GK19" s="1115"/>
      <c r="GL19" s="1115"/>
      <c r="GM19" s="1115"/>
      <c r="GN19" s="1115"/>
      <c r="GO19" s="1115"/>
      <c r="GP19" s="1115"/>
      <c r="GQ19" s="1115"/>
      <c r="GR19" s="1115"/>
      <c r="GS19" s="1115"/>
      <c r="GT19" s="1115"/>
      <c r="GU19" s="1115"/>
      <c r="GV19" s="1115"/>
      <c r="GW19" s="1115"/>
      <c r="GX19" s="1115"/>
      <c r="GY19" s="1115"/>
      <c r="GZ19" s="1115"/>
      <c r="HA19" s="1115"/>
      <c r="HB19" s="1115"/>
      <c r="HC19" s="1115"/>
      <c r="HD19" s="1115"/>
      <c r="HE19" s="1115"/>
      <c r="HF19" s="1115"/>
      <c r="HG19" s="1115"/>
      <c r="HH19" s="1115"/>
      <c r="HI19" s="1115"/>
      <c r="HJ19" s="1115"/>
      <c r="HK19" s="1115"/>
      <c r="HL19" s="1115"/>
      <c r="HM19" s="1115"/>
      <c r="HN19" s="1115"/>
      <c r="HO19" s="1115"/>
      <c r="HP19" s="1115"/>
      <c r="HQ19" s="1115"/>
      <c r="HR19" s="1115"/>
      <c r="HS19" s="1115"/>
      <c r="HT19" s="1115"/>
      <c r="HU19" s="1115"/>
      <c r="HV19" s="1115"/>
      <c r="HW19" s="1115"/>
      <c r="HX19" s="1115"/>
      <c r="HY19" s="1115"/>
      <c r="HZ19" s="1115"/>
      <c r="IA19" s="1115"/>
      <c r="IB19" s="1115"/>
      <c r="IC19" s="1115"/>
      <c r="ID19" s="1115"/>
      <c r="IE19" s="1115"/>
      <c r="IF19" s="1115"/>
      <c r="IG19" s="1115"/>
      <c r="IH19" s="1115"/>
      <c r="II19" s="1115"/>
      <c r="IJ19" s="1115"/>
      <c r="IK19" s="1115"/>
      <c r="IL19" s="1115"/>
      <c r="IM19" s="1115"/>
      <c r="IN19" s="1115"/>
      <c r="IO19" s="1115"/>
      <c r="IP19" s="1115"/>
      <c r="IQ19" s="1115"/>
      <c r="IR19" s="1115"/>
      <c r="IS19" s="1115"/>
      <c r="IT19" s="1115"/>
      <c r="IU19" s="1115"/>
      <c r="IV19" s="1115"/>
      <c r="IW19" s="1115"/>
      <c r="IX19" s="1115"/>
      <c r="IY19" s="1115"/>
      <c r="IZ19" s="1115"/>
      <c r="JA19" s="1115"/>
      <c r="JB19" s="1115"/>
      <c r="JC19" s="1115"/>
      <c r="JD19" s="1115"/>
      <c r="JE19" s="1115"/>
      <c r="JF19" s="1115"/>
      <c r="JG19" s="1115"/>
      <c r="JH19" s="1115"/>
      <c r="JI19" s="1115"/>
      <c r="JJ19" s="1115"/>
      <c r="JK19" s="1115"/>
      <c r="JL19" s="1115"/>
      <c r="JM19" s="1115"/>
      <c r="JN19" s="1115"/>
      <c r="JO19" s="1115"/>
      <c r="JP19" s="1115"/>
      <c r="JQ19" s="1115"/>
      <c r="JR19" s="1115"/>
      <c r="JS19" s="1115"/>
      <c r="JT19" s="1115"/>
      <c r="JU19" s="1115"/>
      <c r="JV19" s="1115"/>
      <c r="JW19" s="1115"/>
      <c r="JX19" s="1115"/>
      <c r="JY19" s="1115"/>
      <c r="JZ19" s="1115"/>
      <c r="KA19" s="1115"/>
      <c r="KB19" s="1115"/>
      <c r="KC19" s="1115"/>
      <c r="KD19" s="1115"/>
      <c r="KE19" s="1115"/>
      <c r="KF19" s="1115"/>
      <c r="KG19" s="1115"/>
      <c r="KH19" s="1115"/>
      <c r="KI19" s="1115"/>
      <c r="KJ19" s="1115"/>
      <c r="KK19" s="1115"/>
      <c r="KL19" s="1115"/>
      <c r="KM19" s="1115"/>
      <c r="KN19" s="1115"/>
      <c r="KO19" s="1115"/>
      <c r="KP19" s="1115"/>
      <c r="KQ19" s="1115"/>
      <c r="KR19" s="1115"/>
      <c r="KS19" s="1115"/>
      <c r="KT19" s="1115"/>
      <c r="KU19" s="1115"/>
      <c r="KV19" s="1115"/>
      <c r="KW19" s="1115"/>
      <c r="KX19" s="1115"/>
      <c r="KY19" s="1115"/>
      <c r="KZ19" s="1115"/>
      <c r="LA19" s="1115"/>
      <c r="LB19" s="1115"/>
      <c r="LC19" s="1115"/>
      <c r="LD19" s="1115"/>
      <c r="LE19" s="1115"/>
      <c r="LF19" s="1115"/>
      <c r="LG19" s="1115"/>
      <c r="LH19" s="1115"/>
      <c r="LI19" s="1115"/>
      <c r="LJ19" s="1115"/>
      <c r="LK19" s="1115"/>
      <c r="LL19" s="1115"/>
      <c r="LM19" s="1115"/>
      <c r="LN19" s="1115"/>
      <c r="LO19" s="1115"/>
      <c r="LP19" s="1115"/>
      <c r="LQ19" s="1115"/>
      <c r="LR19" s="1115"/>
      <c r="LS19" s="1115"/>
      <c r="LT19" s="1115"/>
      <c r="LU19" s="1115"/>
      <c r="LV19" s="1115"/>
      <c r="LW19" s="1115"/>
      <c r="LX19" s="1115"/>
      <c r="LY19" s="1115"/>
      <c r="LZ19" s="1115"/>
      <c r="MA19" s="1115"/>
      <c r="MB19" s="1115"/>
      <c r="MC19" s="1115"/>
      <c r="MD19" s="1115"/>
      <c r="ME19" s="1115"/>
      <c r="MF19" s="1115"/>
      <c r="MG19" s="1115"/>
      <c r="MH19" s="1115"/>
      <c r="MI19" s="1115"/>
      <c r="MJ19" s="1115"/>
      <c r="MK19" s="1115"/>
      <c r="ML19" s="1115"/>
      <c r="MM19" s="1115"/>
      <c r="MN19" s="1115"/>
      <c r="MO19" s="1115"/>
      <c r="MP19" s="1115"/>
      <c r="MQ19" s="1115"/>
      <c r="MR19" s="1115"/>
      <c r="MS19" s="1115"/>
      <c r="MT19" s="1115"/>
      <c r="MU19" s="1115"/>
      <c r="MV19" s="1115"/>
      <c r="MW19" s="1115"/>
      <c r="MX19" s="1115"/>
      <c r="MY19" s="1115"/>
      <c r="MZ19" s="1115"/>
      <c r="NA19" s="1115"/>
      <c r="NB19" s="1115"/>
      <c r="NC19" s="1115"/>
      <c r="ND19" s="1115"/>
      <c r="NE19" s="1115"/>
      <c r="NF19" s="1115"/>
      <c r="NG19" s="1115"/>
      <c r="NH19" s="1115"/>
      <c r="NI19" s="1115"/>
      <c r="NJ19" s="1115"/>
      <c r="NK19" s="1115"/>
      <c r="NL19" s="1115"/>
      <c r="NM19" s="1115"/>
      <c r="NN19" s="1115"/>
      <c r="NO19" s="1115"/>
      <c r="NP19" s="1115"/>
      <c r="NQ19" s="1115"/>
      <c r="NR19" s="1115"/>
      <c r="NS19" s="1115"/>
      <c r="NT19" s="1115"/>
      <c r="NU19" s="1115"/>
      <c r="NV19" s="1115"/>
      <c r="NW19" s="1115"/>
      <c r="NX19" s="1115"/>
      <c r="NY19" s="1115"/>
      <c r="NZ19" s="1115"/>
      <c r="OA19" s="1115"/>
      <c r="OB19" s="1115"/>
      <c r="OC19" s="1115"/>
      <c r="OD19" s="1115"/>
      <c r="OE19" s="1115"/>
      <c r="OF19" s="1115"/>
      <c r="OG19" s="1115"/>
      <c r="OH19" s="1115"/>
      <c r="OI19" s="1115"/>
      <c r="OJ19" s="1115"/>
      <c r="OK19" s="1115"/>
      <c r="OL19" s="1115"/>
      <c r="OM19" s="1115"/>
      <c r="ON19" s="1115"/>
      <c r="OO19" s="1115"/>
      <c r="OP19" s="1115"/>
      <c r="OQ19" s="1115"/>
      <c r="OR19" s="1115"/>
      <c r="OS19" s="1115"/>
      <c r="OT19" s="1115"/>
      <c r="OU19" s="1115"/>
      <c r="OV19" s="1115"/>
      <c r="OW19" s="1115"/>
      <c r="OX19" s="1115"/>
      <c r="OY19" s="1115"/>
      <c r="OZ19" s="1115"/>
      <c r="PA19" s="1115"/>
      <c r="PB19" s="1115"/>
      <c r="PC19" s="1115"/>
      <c r="PD19" s="1115"/>
      <c r="PE19" s="1115"/>
      <c r="PF19" s="1115"/>
      <c r="PG19" s="1115"/>
      <c r="PH19" s="1115"/>
      <c r="PI19" s="1115"/>
      <c r="PJ19" s="1115"/>
      <c r="PK19" s="1115"/>
      <c r="PL19" s="1115"/>
      <c r="PM19" s="1115"/>
      <c r="PN19" s="1115"/>
      <c r="PO19" s="1115"/>
      <c r="PP19" s="1115"/>
      <c r="PQ19" s="1115"/>
      <c r="PR19" s="1115"/>
      <c r="PS19" s="1115"/>
      <c r="PT19" s="1115"/>
      <c r="PU19" s="1115"/>
      <c r="PV19" s="1115"/>
      <c r="PW19" s="1115"/>
      <c r="PX19" s="1115"/>
      <c r="PY19" s="1115"/>
      <c r="PZ19" s="1115"/>
      <c r="QA19" s="1115"/>
      <c r="QB19" s="1115"/>
      <c r="QC19" s="1115"/>
      <c r="QD19" s="1115"/>
      <c r="QE19" s="1115"/>
      <c r="QF19" s="1115"/>
      <c r="QG19" s="1115"/>
      <c r="QH19" s="1115"/>
      <c r="QI19" s="1115"/>
      <c r="QJ19" s="1115"/>
      <c r="QK19" s="1115"/>
      <c r="QL19" s="1115"/>
      <c r="QM19" s="1115"/>
      <c r="QN19" s="1115"/>
      <c r="QO19" s="1115"/>
      <c r="QP19" s="1115"/>
      <c r="QQ19" s="1115"/>
      <c r="QR19" s="1115"/>
      <c r="QS19" s="1115"/>
      <c r="QT19" s="1115"/>
      <c r="QU19" s="1115"/>
      <c r="QV19" s="1115"/>
      <c r="QW19" s="1115"/>
      <c r="QX19" s="1115"/>
      <c r="QY19" s="1115"/>
      <c r="QZ19" s="1115"/>
      <c r="RA19" s="1115"/>
      <c r="RB19" s="1115"/>
      <c r="RC19" s="1115"/>
      <c r="RD19" s="1115"/>
      <c r="RE19" s="1115"/>
      <c r="RF19" s="1115"/>
      <c r="RG19" s="1115"/>
      <c r="RH19" s="1115"/>
      <c r="RI19" s="1115"/>
      <c r="RJ19" s="1115"/>
      <c r="RK19" s="1115"/>
      <c r="RL19" s="1115"/>
      <c r="RM19" s="1115"/>
      <c r="RN19" s="1115"/>
      <c r="RO19" s="1115"/>
      <c r="RP19" s="1115"/>
      <c r="RQ19" s="1115"/>
      <c r="RR19" s="1115"/>
      <c r="RS19" s="1115"/>
      <c r="RT19" s="1115"/>
      <c r="RU19" s="1115"/>
      <c r="RV19" s="1115"/>
      <c r="RW19" s="1115"/>
      <c r="RX19" s="1115"/>
      <c r="RY19" s="1115"/>
      <c r="RZ19" s="1115"/>
      <c r="SA19" s="1115"/>
      <c r="SB19" s="1115"/>
      <c r="SC19" s="1115"/>
      <c r="SD19" s="1115"/>
      <c r="SE19" s="1115"/>
      <c r="SF19" s="1115"/>
      <c r="SG19" s="1115"/>
      <c r="SH19" s="1115"/>
      <c r="SI19" s="1115"/>
      <c r="SJ19" s="1115"/>
      <c r="SK19" s="1115"/>
      <c r="SL19" s="1115"/>
      <c r="SM19" s="1115"/>
      <c r="SN19" s="1115"/>
      <c r="SO19" s="1115"/>
      <c r="SP19" s="1115"/>
      <c r="SQ19" s="1115"/>
      <c r="SR19" s="1115"/>
      <c r="SS19" s="1115"/>
      <c r="ST19" s="1115"/>
      <c r="SU19" s="1115"/>
      <c r="SV19" s="1115"/>
      <c r="SW19" s="1115"/>
      <c r="SX19" s="1115"/>
      <c r="SY19" s="1115"/>
      <c r="SZ19" s="1115"/>
      <c r="TA19" s="1115"/>
      <c r="TB19" s="1115"/>
      <c r="TC19" s="1115"/>
      <c r="TD19" s="1115"/>
      <c r="TE19" s="1115"/>
      <c r="TF19" s="1115"/>
      <c r="TG19" s="1115"/>
      <c r="TH19" s="1115"/>
      <c r="TI19" s="1115"/>
      <c r="TJ19" s="1115"/>
      <c r="TK19" s="1115"/>
      <c r="TL19" s="1115"/>
      <c r="TM19" s="1115"/>
      <c r="TN19" s="1115"/>
      <c r="TO19" s="1115"/>
      <c r="TP19" s="1115"/>
      <c r="TQ19" s="1115"/>
      <c r="TR19" s="1115"/>
      <c r="TS19" s="1115"/>
      <c r="TT19" s="1115"/>
      <c r="TU19" s="1115"/>
      <c r="TV19" s="1115"/>
      <c r="TW19" s="1115"/>
      <c r="TX19" s="1115"/>
      <c r="TY19" s="1115"/>
      <c r="TZ19" s="1115"/>
      <c r="UA19" s="1115"/>
      <c r="UB19" s="1115"/>
      <c r="UC19" s="1115"/>
      <c r="UD19" s="1115"/>
      <c r="UE19" s="1115"/>
      <c r="UF19" s="1115"/>
      <c r="UG19" s="1115"/>
      <c r="UH19" s="1115"/>
      <c r="UI19" s="1115"/>
      <c r="UJ19" s="1115"/>
      <c r="UK19" s="1115"/>
      <c r="UL19" s="1115"/>
      <c r="UM19" s="1115"/>
      <c r="UN19" s="1115"/>
      <c r="UO19" s="1115"/>
      <c r="UP19" s="1115"/>
      <c r="UQ19" s="1115"/>
      <c r="UR19" s="1115"/>
      <c r="US19" s="1115"/>
      <c r="UT19" s="1115"/>
      <c r="UU19" s="1115"/>
      <c r="UV19" s="1115"/>
      <c r="UW19" s="1115"/>
      <c r="UX19" s="1115"/>
      <c r="UY19" s="1115"/>
      <c r="UZ19" s="1115"/>
      <c r="VA19" s="1115"/>
      <c r="VB19" s="1115"/>
      <c r="VC19" s="1115"/>
      <c r="VD19" s="1115"/>
      <c r="VE19" s="1115"/>
      <c r="VF19" s="1115"/>
      <c r="VG19" s="1115"/>
      <c r="VH19" s="1115"/>
      <c r="VI19" s="1115"/>
      <c r="VJ19" s="1115"/>
      <c r="VK19" s="1115"/>
      <c r="VL19" s="1115"/>
      <c r="VM19" s="1115"/>
      <c r="VN19" s="1115"/>
      <c r="VO19" s="1115"/>
      <c r="VP19" s="1115"/>
      <c r="VQ19" s="1115"/>
      <c r="VR19" s="1115"/>
      <c r="VS19" s="1115"/>
      <c r="VT19" s="1115"/>
      <c r="VU19" s="1115"/>
      <c r="VV19" s="1115"/>
      <c r="VW19" s="1115"/>
      <c r="VX19" s="1115"/>
      <c r="VY19" s="1115"/>
      <c r="VZ19" s="1115"/>
      <c r="WA19" s="1115"/>
      <c r="WB19" s="1115"/>
      <c r="WC19" s="1115"/>
      <c r="WD19" s="1115"/>
      <c r="WE19" s="1115"/>
      <c r="WF19" s="1115"/>
      <c r="WG19" s="1115"/>
      <c r="WH19" s="1115"/>
      <c r="WI19" s="1115"/>
      <c r="WJ19" s="1115"/>
      <c r="WK19" s="1115"/>
      <c r="WL19" s="1115"/>
      <c r="WM19" s="1115"/>
      <c r="WN19" s="1115"/>
      <c r="WO19" s="1115"/>
      <c r="WP19" s="1115"/>
      <c r="WQ19" s="1115"/>
      <c r="WR19" s="1115"/>
      <c r="WS19" s="1115"/>
      <c r="WT19" s="1115"/>
      <c r="WU19" s="1115"/>
      <c r="WV19" s="1115"/>
      <c r="WW19" s="1115"/>
      <c r="WX19" s="1115"/>
      <c r="WY19" s="1115"/>
      <c r="WZ19" s="1115"/>
      <c r="XA19" s="1115"/>
      <c r="XB19" s="1115"/>
      <c r="XC19" s="1115"/>
      <c r="XD19" s="1115"/>
      <c r="XE19" s="1115"/>
      <c r="XF19" s="1115"/>
      <c r="XG19" s="1115"/>
      <c r="XH19" s="1115"/>
      <c r="XI19" s="1115"/>
      <c r="XJ19" s="1115"/>
      <c r="XK19" s="1115"/>
      <c r="XL19" s="1115"/>
      <c r="XM19" s="1115"/>
      <c r="XN19" s="1115"/>
      <c r="XO19" s="1115"/>
      <c r="XP19" s="1115"/>
      <c r="XQ19" s="1115"/>
      <c r="XR19" s="1115"/>
      <c r="XS19" s="1115"/>
      <c r="XT19" s="1115"/>
      <c r="XU19" s="1115"/>
      <c r="XV19" s="1115"/>
      <c r="XW19" s="1115"/>
      <c r="XX19" s="1115"/>
      <c r="XY19" s="1115"/>
      <c r="XZ19" s="1115"/>
      <c r="YA19" s="1115"/>
      <c r="YB19" s="1115"/>
      <c r="YC19" s="1115"/>
      <c r="YD19" s="1115"/>
      <c r="YE19" s="1115"/>
      <c r="YF19" s="1115"/>
      <c r="YG19" s="1115"/>
      <c r="YH19" s="1115"/>
      <c r="YI19" s="1115"/>
      <c r="YJ19" s="1115"/>
      <c r="YK19" s="1115"/>
      <c r="YL19" s="1115"/>
      <c r="YM19" s="1115"/>
      <c r="YN19" s="1115"/>
      <c r="YO19" s="1115"/>
      <c r="YP19" s="1115"/>
      <c r="YQ19" s="1115"/>
      <c r="YR19" s="1115"/>
      <c r="YS19" s="1115"/>
      <c r="YT19" s="1115"/>
      <c r="YU19" s="1115"/>
      <c r="YV19" s="1115"/>
      <c r="YW19" s="1115"/>
      <c r="YX19" s="1115"/>
      <c r="YY19" s="1115"/>
      <c r="YZ19" s="1115"/>
      <c r="ZA19" s="1115"/>
      <c r="ZB19" s="1115"/>
      <c r="ZC19" s="1115"/>
      <c r="ZD19" s="1115"/>
      <c r="ZE19" s="1115"/>
      <c r="ZF19" s="1115"/>
      <c r="ZG19" s="1115"/>
      <c r="ZH19" s="1115"/>
      <c r="ZI19" s="1115"/>
      <c r="ZJ19" s="1115"/>
      <c r="ZK19" s="1115"/>
      <c r="ZL19" s="1115"/>
      <c r="ZM19" s="1115"/>
      <c r="ZN19" s="1115"/>
      <c r="ZO19" s="1115"/>
      <c r="ZP19" s="1115"/>
      <c r="ZQ19" s="1115"/>
      <c r="ZR19" s="1115"/>
      <c r="ZS19" s="1115"/>
      <c r="ZT19" s="1115"/>
      <c r="ZU19" s="1115"/>
      <c r="ZV19" s="1115"/>
      <c r="ZW19" s="1115"/>
      <c r="ZX19" s="1115"/>
      <c r="ZY19" s="1115"/>
      <c r="ZZ19" s="1115"/>
      <c r="AAA19" s="1115"/>
      <c r="AAB19" s="1115"/>
      <c r="AAC19" s="1115"/>
      <c r="AAD19" s="1115"/>
      <c r="AAE19" s="1115"/>
      <c r="AAF19" s="1115"/>
      <c r="AAG19" s="1115"/>
      <c r="AAH19" s="1115"/>
      <c r="AAI19" s="1115"/>
      <c r="AAJ19" s="1115"/>
      <c r="AAK19" s="1115"/>
      <c r="AAL19" s="1115"/>
      <c r="AAM19" s="1115"/>
      <c r="AAN19" s="1115"/>
      <c r="AAO19" s="1115"/>
      <c r="AAP19" s="1115"/>
      <c r="AAQ19" s="1115"/>
      <c r="AAR19" s="1115"/>
      <c r="AAS19" s="1115"/>
      <c r="AAT19" s="1115"/>
      <c r="AAU19" s="1115"/>
      <c r="AAV19" s="1115"/>
      <c r="AAW19" s="1115"/>
      <c r="AAX19" s="1115"/>
      <c r="AAY19" s="1115"/>
      <c r="AAZ19" s="1115"/>
      <c r="ABA19" s="1115"/>
      <c r="ABB19" s="1115"/>
      <c r="ABC19" s="1115"/>
      <c r="ABD19" s="1115"/>
      <c r="ABE19" s="1115"/>
      <c r="ABF19" s="1115"/>
      <c r="ABG19" s="1115"/>
      <c r="ABH19" s="1115"/>
      <c r="ABI19" s="1115"/>
      <c r="ABJ19" s="1115"/>
      <c r="ABK19" s="1115"/>
      <c r="ABL19" s="1115"/>
      <c r="ABM19" s="1115"/>
      <c r="ABN19" s="1115"/>
      <c r="ABO19" s="1115"/>
      <c r="ABP19" s="1115"/>
      <c r="ABQ19" s="1115"/>
      <c r="ABR19" s="1115"/>
      <c r="ABS19" s="1115"/>
      <c r="ABT19" s="1115"/>
      <c r="ABU19" s="1115"/>
      <c r="ABV19" s="1115"/>
      <c r="ABW19" s="1115"/>
      <c r="ABX19" s="1115"/>
      <c r="ABY19" s="1115"/>
      <c r="ABZ19" s="1115"/>
      <c r="ACA19" s="1115"/>
      <c r="ACB19" s="1115"/>
      <c r="ACC19" s="1115"/>
      <c r="ACD19" s="1115"/>
      <c r="ACE19" s="1115"/>
      <c r="ACF19" s="1115"/>
      <c r="ACG19" s="1115"/>
      <c r="ACH19" s="1115"/>
      <c r="ACI19" s="1115"/>
      <c r="ACJ19" s="1115"/>
      <c r="ACK19" s="1115"/>
      <c r="ACL19" s="1115"/>
      <c r="ACM19" s="1115"/>
      <c r="ACN19" s="1115"/>
      <c r="ACO19" s="1115"/>
      <c r="ACP19" s="1115"/>
      <c r="ACQ19" s="1115"/>
      <c r="ACR19" s="1115"/>
      <c r="ACS19" s="1115"/>
      <c r="ACT19" s="1115"/>
      <c r="ACU19" s="1115"/>
      <c r="ACV19" s="1115"/>
      <c r="ACW19" s="1115"/>
      <c r="ACX19" s="1115"/>
      <c r="ACY19" s="1115"/>
      <c r="ACZ19" s="1115"/>
      <c r="ADA19" s="1115"/>
      <c r="ADB19" s="1115"/>
      <c r="ADC19" s="1115"/>
      <c r="ADD19" s="1115"/>
      <c r="ADE19" s="1115"/>
      <c r="ADF19" s="1115"/>
      <c r="ADG19" s="1115"/>
      <c r="ADH19" s="1115"/>
      <c r="ADI19" s="1115"/>
      <c r="ADJ19" s="1115"/>
      <c r="ADK19" s="1115"/>
      <c r="ADL19" s="1115"/>
      <c r="ADM19" s="1115"/>
      <c r="ADN19" s="1115"/>
      <c r="ADO19" s="1115"/>
      <c r="ADP19" s="1115"/>
      <c r="ADQ19" s="1115"/>
      <c r="ADR19" s="1115"/>
      <c r="ADS19" s="1115"/>
      <c r="ADT19" s="1115"/>
      <c r="ADU19" s="1115"/>
      <c r="ADV19" s="1115"/>
      <c r="ADW19" s="1115"/>
      <c r="ADX19" s="1115"/>
      <c r="ADY19" s="1115"/>
      <c r="ADZ19" s="1115"/>
      <c r="AEA19" s="1115"/>
      <c r="AEB19" s="1115"/>
      <c r="AEC19" s="1115"/>
      <c r="AED19" s="1115"/>
      <c r="AEE19" s="1115"/>
      <c r="AEF19" s="1115"/>
      <c r="AEG19" s="1115"/>
      <c r="AEH19" s="1115"/>
      <c r="AEI19" s="1115"/>
      <c r="AEJ19" s="1115"/>
      <c r="AEK19" s="1115"/>
      <c r="AEL19" s="1115"/>
      <c r="AEM19" s="1115"/>
      <c r="AEN19" s="1115"/>
      <c r="AEO19" s="1115"/>
      <c r="AEP19" s="1115"/>
      <c r="AEQ19" s="1115"/>
      <c r="AER19" s="1115"/>
      <c r="AES19" s="1115"/>
      <c r="AET19" s="1115"/>
      <c r="AEU19" s="1115"/>
      <c r="AEV19" s="1115"/>
      <c r="AEW19" s="1115"/>
      <c r="AEX19" s="1115"/>
      <c r="AEY19" s="1115"/>
      <c r="AEZ19" s="1115"/>
      <c r="AFA19" s="1115"/>
      <c r="AFB19" s="1115"/>
      <c r="AFC19" s="1115"/>
      <c r="AFD19" s="1115"/>
      <c r="AFE19" s="1115"/>
      <c r="AFF19" s="1115"/>
      <c r="AFG19" s="1115"/>
      <c r="AFH19" s="1115"/>
      <c r="AFI19" s="1115"/>
      <c r="AFJ19" s="1115"/>
      <c r="AFK19" s="1115"/>
      <c r="AFL19" s="1115"/>
      <c r="AFM19" s="1115"/>
      <c r="AFN19" s="1115"/>
      <c r="AFO19" s="1115"/>
      <c r="AFP19" s="1115"/>
      <c r="AFQ19" s="1115"/>
      <c r="AFR19" s="1115"/>
      <c r="AFS19" s="1115"/>
      <c r="AFT19" s="1115"/>
      <c r="AFU19" s="1115"/>
      <c r="AFV19" s="1115"/>
      <c r="AFW19" s="1115"/>
      <c r="AFX19" s="1115"/>
      <c r="AFY19" s="1115"/>
      <c r="AFZ19" s="1115"/>
      <c r="AGA19" s="1115"/>
      <c r="AGB19" s="1115"/>
      <c r="AGC19" s="1115"/>
      <c r="AGD19" s="1115"/>
      <c r="AGE19" s="1115"/>
      <c r="AGF19" s="1115"/>
      <c r="AGG19" s="1115"/>
      <c r="AGH19" s="1115"/>
      <c r="AGI19" s="1115"/>
      <c r="AGJ19" s="1115"/>
      <c r="AGK19" s="1115"/>
      <c r="AGL19" s="1115"/>
      <c r="AGM19" s="1115"/>
      <c r="AGN19" s="1115"/>
      <c r="AGO19" s="1115"/>
      <c r="AGP19" s="1115"/>
      <c r="AGQ19" s="1115"/>
      <c r="AGR19" s="1115"/>
      <c r="AGS19" s="1115"/>
      <c r="AGT19" s="1115"/>
      <c r="AGU19" s="1115"/>
      <c r="AGV19" s="1115"/>
      <c r="AGW19" s="1115"/>
      <c r="AGX19" s="1115"/>
      <c r="AGY19" s="1115"/>
      <c r="AGZ19" s="1115"/>
      <c r="AHA19" s="1115"/>
      <c r="AHB19" s="1115"/>
      <c r="AHC19" s="1115"/>
      <c r="AHD19" s="1115"/>
      <c r="AHE19" s="1115"/>
      <c r="AHF19" s="1115"/>
      <c r="AHG19" s="1115"/>
      <c r="AHH19" s="1115"/>
      <c r="AHI19" s="1115"/>
      <c r="AHJ19" s="1115"/>
      <c r="AHK19" s="1115"/>
      <c r="AHL19" s="1115"/>
      <c r="AHM19" s="1115"/>
      <c r="AHN19" s="1115"/>
      <c r="AHO19" s="1115"/>
      <c r="AHP19" s="1115"/>
      <c r="AHQ19" s="1115"/>
      <c r="AHR19" s="1115"/>
      <c r="AHS19" s="1115"/>
      <c r="AHT19" s="1115"/>
      <c r="AHU19" s="1115"/>
      <c r="AHV19" s="1115"/>
      <c r="AHW19" s="1115"/>
      <c r="AHX19" s="1115"/>
      <c r="AHY19" s="1115"/>
      <c r="AHZ19" s="1115"/>
      <c r="AIA19" s="1115"/>
      <c r="AIB19" s="1115"/>
      <c r="AIC19" s="1115"/>
      <c r="AID19" s="1115"/>
      <c r="AIE19" s="1115"/>
      <c r="AIF19" s="1115"/>
      <c r="AIG19" s="1115"/>
      <c r="AIH19" s="1115"/>
      <c r="AII19" s="1115"/>
      <c r="AIJ19" s="1115"/>
      <c r="AIK19" s="1115"/>
      <c r="AIL19" s="1115"/>
      <c r="AIM19" s="1115"/>
      <c r="AIN19" s="1115"/>
      <c r="AIO19" s="1115"/>
      <c r="AIP19" s="1115"/>
      <c r="AIQ19" s="1115"/>
      <c r="AIR19" s="1115"/>
      <c r="AIS19" s="1115"/>
      <c r="AIT19" s="1115"/>
      <c r="AIU19" s="1115"/>
      <c r="AIV19" s="1115"/>
      <c r="AIW19" s="1115"/>
      <c r="AIX19" s="1115"/>
      <c r="AIY19" s="1115"/>
      <c r="AIZ19" s="1115"/>
      <c r="AJA19" s="1115"/>
      <c r="AJB19" s="1115"/>
      <c r="AJC19" s="1115"/>
      <c r="AJD19" s="1115"/>
      <c r="AJE19" s="1115"/>
      <c r="AJF19" s="1115"/>
      <c r="AJG19" s="1115"/>
      <c r="AJH19" s="1115"/>
      <c r="AJI19" s="1115"/>
      <c r="AJJ19" s="1115"/>
      <c r="AJK19" s="1115"/>
      <c r="AJL19" s="1115"/>
      <c r="AJM19" s="1115"/>
      <c r="AJN19" s="1115"/>
      <c r="AJO19" s="1115"/>
      <c r="AJP19" s="1115"/>
      <c r="AJQ19" s="1115"/>
      <c r="AJR19" s="1115"/>
      <c r="AJS19" s="1115"/>
      <c r="AJT19" s="1115"/>
      <c r="AJU19" s="1115"/>
      <c r="AJV19" s="1115"/>
      <c r="AJW19" s="1115"/>
      <c r="AJX19" s="1115"/>
      <c r="AJY19" s="1115"/>
      <c r="AJZ19" s="1115"/>
      <c r="AKA19" s="1115"/>
      <c r="AKB19" s="1115"/>
      <c r="AKC19" s="1115"/>
      <c r="AKD19" s="1115"/>
      <c r="AKE19" s="1115"/>
      <c r="AKF19" s="1115"/>
      <c r="AKG19" s="1115"/>
      <c r="AKH19" s="1115"/>
      <c r="AKI19" s="1115"/>
      <c r="AKJ19" s="1115"/>
      <c r="AKK19" s="1115"/>
      <c r="AKL19" s="1115"/>
      <c r="AKM19" s="1115"/>
      <c r="AKN19" s="1115"/>
      <c r="AKO19" s="1115"/>
      <c r="AKP19" s="1115"/>
      <c r="AKQ19" s="1115"/>
      <c r="AKR19" s="1115"/>
      <c r="AKS19" s="1115"/>
      <c r="AKT19" s="1115"/>
      <c r="AKU19" s="1115"/>
      <c r="AKV19" s="1115"/>
      <c r="AKW19" s="1115"/>
      <c r="AKX19" s="1115"/>
      <c r="AKY19" s="1115"/>
      <c r="AKZ19" s="1115"/>
      <c r="ALA19" s="1115"/>
      <c r="ALB19" s="1115"/>
      <c r="ALC19" s="1115"/>
      <c r="ALD19" s="1115"/>
      <c r="ALE19" s="1115"/>
      <c r="ALF19" s="1115"/>
      <c r="ALG19" s="1115"/>
      <c r="ALH19" s="1115"/>
      <c r="ALI19" s="1115"/>
      <c r="ALJ19" s="1115"/>
      <c r="ALK19" s="1115"/>
      <c r="ALL19" s="1115"/>
      <c r="ALM19" s="1115"/>
      <c r="ALN19" s="1115"/>
      <c r="ALO19" s="1115"/>
      <c r="ALP19" s="1115"/>
      <c r="ALQ19" s="1115"/>
      <c r="ALR19" s="1115"/>
      <c r="ALS19" s="1115"/>
      <c r="ALT19" s="1115"/>
      <c r="ALU19" s="1115"/>
      <c r="ALV19" s="1115"/>
      <c r="ALW19" s="1115"/>
      <c r="ALX19" s="1115"/>
      <c r="ALY19" s="1115"/>
      <c r="ALZ19" s="1115"/>
      <c r="AMA19" s="1115"/>
      <c r="AMB19" s="1115"/>
      <c r="AMC19" s="1115"/>
      <c r="AMD19" s="1115"/>
      <c r="AME19" s="1115"/>
      <c r="AMF19" s="1115"/>
      <c r="AMG19" s="1115"/>
      <c r="AMH19" s="1115"/>
      <c r="AMI19" s="1115"/>
      <c r="AMJ19" s="1115"/>
      <c r="AMK19" s="1115"/>
      <c r="AML19" s="1115"/>
      <c r="AMM19" s="1115"/>
      <c r="AMN19" s="1115"/>
      <c r="AMO19" s="1115"/>
      <c r="AMP19" s="1115"/>
      <c r="AMQ19" s="1115"/>
      <c r="AMR19" s="1115"/>
      <c r="AMS19" s="1115"/>
      <c r="AMT19" s="1115"/>
      <c r="AMU19" s="1115"/>
      <c r="AMV19" s="1115"/>
      <c r="AMW19" s="1115"/>
      <c r="AMX19" s="1115"/>
      <c r="AMY19" s="1115"/>
      <c r="AMZ19" s="1115"/>
      <c r="ANA19" s="1115"/>
      <c r="ANB19" s="1115"/>
      <c r="ANC19" s="1115"/>
      <c r="AND19" s="1115"/>
      <c r="ANE19" s="1115"/>
      <c r="ANF19" s="1115"/>
      <c r="ANG19" s="1115"/>
      <c r="ANH19" s="1115"/>
      <c r="ANI19" s="1115"/>
      <c r="ANJ19" s="1115"/>
      <c r="ANK19" s="1115"/>
      <c r="ANL19" s="1115"/>
      <c r="ANM19" s="1115"/>
      <c r="ANN19" s="1115"/>
      <c r="ANO19" s="1115"/>
      <c r="ANP19" s="1115"/>
      <c r="ANQ19" s="1115"/>
      <c r="ANR19" s="1115"/>
      <c r="ANS19" s="1115"/>
      <c r="ANT19" s="1115"/>
      <c r="ANU19" s="1115"/>
      <c r="ANV19" s="1115"/>
      <c r="ANW19" s="1115"/>
      <c r="ANX19" s="1115"/>
      <c r="ANY19" s="1115"/>
      <c r="ANZ19" s="1115"/>
      <c r="AOA19" s="1115"/>
      <c r="AOB19" s="1115"/>
      <c r="AOC19" s="1115"/>
      <c r="AOD19" s="1115"/>
      <c r="AOE19" s="1115"/>
      <c r="AOF19" s="1115"/>
      <c r="AOG19" s="1115"/>
      <c r="AOH19" s="1115"/>
      <c r="AOI19" s="1115"/>
      <c r="AOJ19" s="1115"/>
      <c r="AOK19" s="1115"/>
      <c r="AOL19" s="1115"/>
      <c r="AOM19" s="1115"/>
      <c r="AON19" s="1115"/>
      <c r="AOO19" s="1115"/>
      <c r="AOP19" s="1115"/>
      <c r="AOQ19" s="1115"/>
      <c r="AOR19" s="1115"/>
      <c r="AOS19" s="1115"/>
      <c r="AOT19" s="1115"/>
      <c r="AOU19" s="1115"/>
      <c r="AOV19" s="1115"/>
      <c r="AOW19" s="1115"/>
      <c r="AOX19" s="1115"/>
      <c r="AOY19" s="1115"/>
      <c r="AOZ19" s="1115"/>
      <c r="APA19" s="1115"/>
      <c r="APB19" s="1115"/>
      <c r="APC19" s="1115"/>
      <c r="APD19" s="1115"/>
      <c r="APE19" s="1115"/>
      <c r="APF19" s="1115"/>
      <c r="APG19" s="1115"/>
      <c r="APH19" s="1115"/>
      <c r="API19" s="1115"/>
      <c r="APJ19" s="1115"/>
      <c r="APK19" s="1115"/>
      <c r="APL19" s="1115"/>
      <c r="APM19" s="1115"/>
      <c r="APN19" s="1115"/>
      <c r="APO19" s="1115"/>
      <c r="APP19" s="1115"/>
      <c r="APQ19" s="1115"/>
      <c r="APR19" s="1115"/>
      <c r="APS19" s="1115"/>
      <c r="APT19" s="1115"/>
      <c r="APU19" s="1115"/>
      <c r="APV19" s="1115"/>
      <c r="APW19" s="1115"/>
      <c r="APX19" s="1115"/>
      <c r="APY19" s="1115"/>
      <c r="APZ19" s="1115"/>
      <c r="AQA19" s="1115"/>
      <c r="AQB19" s="1115"/>
      <c r="AQC19" s="1115"/>
      <c r="AQD19" s="1115"/>
      <c r="AQE19" s="1115"/>
      <c r="AQF19" s="1115"/>
      <c r="AQG19" s="1115"/>
      <c r="AQH19" s="1115"/>
      <c r="AQI19" s="1115"/>
      <c r="AQJ19" s="1115"/>
      <c r="AQK19" s="1115"/>
      <c r="AQL19" s="1115"/>
      <c r="AQM19" s="1115"/>
      <c r="AQN19" s="1115"/>
      <c r="AQO19" s="1115"/>
      <c r="AQP19" s="1115"/>
      <c r="AQQ19" s="1115"/>
      <c r="AQR19" s="1115"/>
      <c r="AQS19" s="1115"/>
      <c r="AQT19" s="1115"/>
      <c r="AQU19" s="1115"/>
      <c r="AQV19" s="1115"/>
      <c r="AQW19" s="1115"/>
      <c r="AQX19" s="1115"/>
      <c r="AQY19" s="1115"/>
      <c r="AQZ19" s="1115"/>
      <c r="ARA19" s="1115"/>
      <c r="ARB19" s="1115"/>
      <c r="ARC19" s="1115"/>
      <c r="ARD19" s="1115"/>
      <c r="ARE19" s="1115"/>
      <c r="ARF19" s="1115"/>
      <c r="ARG19" s="1115"/>
      <c r="ARH19" s="1115"/>
      <c r="ARI19" s="1115"/>
      <c r="ARJ19" s="1115"/>
      <c r="ARK19" s="1115"/>
      <c r="ARL19" s="1115"/>
      <c r="ARM19" s="1115"/>
      <c r="ARN19" s="1115"/>
      <c r="ARO19" s="1115"/>
      <c r="ARP19" s="1115"/>
      <c r="ARQ19" s="1115"/>
      <c r="ARR19" s="1115"/>
      <c r="ARS19" s="1115"/>
      <c r="ART19" s="1115"/>
      <c r="ARU19" s="1115"/>
      <c r="ARV19" s="1115"/>
      <c r="ARW19" s="1115"/>
      <c r="ARX19" s="1115"/>
      <c r="ARY19" s="1115"/>
      <c r="ARZ19" s="1115"/>
      <c r="ASA19" s="1115"/>
      <c r="ASB19" s="1115"/>
      <c r="ASC19" s="1115"/>
      <c r="ASD19" s="1115"/>
      <c r="ASE19" s="1115"/>
      <c r="ASF19" s="1115"/>
      <c r="ASG19" s="1115"/>
      <c r="ASH19" s="1115"/>
      <c r="ASI19" s="1115"/>
      <c r="ASJ19" s="1115"/>
      <c r="ASK19" s="1115"/>
      <c r="ASL19" s="1115"/>
      <c r="ASM19" s="1115"/>
      <c r="ASN19" s="1115"/>
      <c r="ASO19" s="1115"/>
      <c r="ASP19" s="1115"/>
      <c r="ASQ19" s="1115"/>
      <c r="ASR19" s="1115"/>
      <c r="ASS19" s="1115"/>
      <c r="AST19" s="1115"/>
      <c r="ASU19" s="1115"/>
      <c r="ASV19" s="1115"/>
      <c r="ASW19" s="1115"/>
      <c r="ASX19" s="1115"/>
      <c r="ASY19" s="1115"/>
      <c r="ASZ19" s="1115"/>
      <c r="ATA19" s="1115"/>
      <c r="ATB19" s="1115"/>
      <c r="ATC19" s="1115"/>
      <c r="ATD19" s="1115"/>
      <c r="ATE19" s="1115"/>
      <c r="ATF19" s="1115"/>
      <c r="ATG19" s="1115"/>
      <c r="ATH19" s="1115"/>
      <c r="ATI19" s="1115"/>
      <c r="ATJ19" s="1115"/>
      <c r="ATK19" s="1115"/>
      <c r="ATL19" s="1115"/>
      <c r="ATM19" s="1115"/>
      <c r="ATN19" s="1115"/>
      <c r="ATO19" s="1115"/>
      <c r="ATP19" s="1115"/>
      <c r="ATQ19" s="1115"/>
      <c r="ATR19" s="1115"/>
      <c r="ATS19" s="1115"/>
      <c r="ATT19" s="1115"/>
      <c r="ATU19" s="1115"/>
      <c r="ATV19" s="1115"/>
      <c r="ATW19" s="1115"/>
      <c r="ATX19" s="1115"/>
      <c r="ATY19" s="1115"/>
      <c r="ATZ19" s="1115"/>
      <c r="AUA19" s="1115"/>
      <c r="AUB19" s="1115"/>
      <c r="AUC19" s="1115"/>
      <c r="AUD19" s="1115"/>
      <c r="AUE19" s="1115"/>
      <c r="AUF19" s="1115"/>
      <c r="AUG19" s="1115"/>
      <c r="AUH19" s="1115"/>
      <c r="AUI19" s="1115"/>
      <c r="AUJ19" s="1115"/>
      <c r="AUK19" s="1115"/>
      <c r="AUL19" s="1115"/>
      <c r="AUM19" s="1115"/>
      <c r="AUN19" s="1115"/>
      <c r="AUO19" s="1115"/>
      <c r="AUP19" s="1115"/>
      <c r="AUQ19" s="1115"/>
      <c r="AUR19" s="1115"/>
      <c r="AUS19" s="1115"/>
      <c r="AUT19" s="1115"/>
      <c r="AUU19" s="1115"/>
      <c r="AUV19" s="1115"/>
      <c r="AUW19" s="1115"/>
      <c r="AUX19" s="1115"/>
      <c r="AUY19" s="1115"/>
      <c r="AUZ19" s="1115"/>
      <c r="AVA19" s="1115"/>
      <c r="AVB19" s="1115"/>
      <c r="AVC19" s="1115"/>
      <c r="AVD19" s="1115"/>
      <c r="AVE19" s="1115"/>
      <c r="AVF19" s="1115"/>
      <c r="AVG19" s="1115"/>
      <c r="AVH19" s="1115"/>
      <c r="AVI19" s="1115"/>
      <c r="AVJ19" s="1115"/>
      <c r="AVK19" s="1115"/>
      <c r="AVL19" s="1115"/>
      <c r="AVM19" s="1115"/>
      <c r="AVN19" s="1115"/>
      <c r="AVO19" s="1115"/>
      <c r="AVP19" s="1115"/>
      <c r="AVQ19" s="1115"/>
      <c r="AVR19" s="1115"/>
      <c r="AVS19" s="1115"/>
      <c r="AVT19" s="1115"/>
      <c r="AVU19" s="1115"/>
      <c r="AVV19" s="1115"/>
      <c r="AVW19" s="1115"/>
      <c r="AVX19" s="1115"/>
      <c r="AVY19" s="1115"/>
      <c r="AVZ19" s="1115"/>
      <c r="AWA19" s="1115"/>
      <c r="AWB19" s="1115"/>
      <c r="AWC19" s="1115"/>
      <c r="AWD19" s="1115"/>
      <c r="AWE19" s="1115"/>
      <c r="AWF19" s="1115"/>
      <c r="AWG19" s="1115"/>
      <c r="AWH19" s="1115"/>
      <c r="AWI19" s="1115"/>
      <c r="AWJ19" s="1115"/>
      <c r="AWK19" s="1115"/>
      <c r="AWL19" s="1115"/>
      <c r="AWM19" s="1115"/>
      <c r="AWN19" s="1115"/>
      <c r="AWO19" s="1115"/>
      <c r="AWP19" s="1115"/>
      <c r="AWQ19" s="1115"/>
      <c r="AWR19" s="1115"/>
      <c r="AWS19" s="1115"/>
      <c r="AWT19" s="1115"/>
      <c r="AWU19" s="1115"/>
      <c r="AWV19" s="1115"/>
      <c r="AWW19" s="1115"/>
      <c r="AWX19" s="1115"/>
      <c r="AWY19" s="1115"/>
      <c r="AWZ19" s="1115"/>
      <c r="AXA19" s="1115"/>
      <c r="AXB19" s="1115"/>
      <c r="AXC19" s="1115"/>
      <c r="AXD19" s="1115"/>
      <c r="AXE19" s="1115"/>
      <c r="AXF19" s="1115"/>
      <c r="AXG19" s="1115"/>
      <c r="AXH19" s="1115"/>
      <c r="AXI19" s="1115"/>
      <c r="AXJ19" s="1115"/>
      <c r="AXK19" s="1115"/>
      <c r="AXL19" s="1115"/>
      <c r="AXM19" s="1115"/>
      <c r="AXN19" s="1115"/>
      <c r="AXO19" s="1115"/>
      <c r="AXP19" s="1115"/>
      <c r="AXQ19" s="1115"/>
      <c r="AXR19" s="1115"/>
      <c r="AXS19" s="1115"/>
      <c r="AXT19" s="1115"/>
      <c r="AXU19" s="1115"/>
      <c r="AXV19" s="1115"/>
      <c r="AXW19" s="1115"/>
      <c r="AXX19" s="1115"/>
      <c r="AXY19" s="1115"/>
      <c r="AXZ19" s="1115"/>
      <c r="AYA19" s="1115"/>
      <c r="AYB19" s="1115"/>
      <c r="AYC19" s="1115"/>
      <c r="AYD19" s="1115"/>
      <c r="AYE19" s="1115"/>
      <c r="AYF19" s="1115"/>
      <c r="AYG19" s="1115"/>
      <c r="AYH19" s="1115"/>
      <c r="AYI19" s="1115"/>
      <c r="AYJ19" s="1115"/>
      <c r="AYK19" s="1115"/>
      <c r="AYL19" s="1115"/>
      <c r="AYM19" s="1115"/>
      <c r="AYN19" s="1115"/>
      <c r="AYO19" s="1115"/>
      <c r="AYP19" s="1115"/>
      <c r="AYQ19" s="1115"/>
      <c r="AYR19" s="1115"/>
      <c r="AYS19" s="1115"/>
      <c r="AYT19" s="1115"/>
      <c r="AYU19" s="1115"/>
      <c r="AYV19" s="1115"/>
      <c r="AYW19" s="1115"/>
      <c r="AYX19" s="1115"/>
      <c r="AYY19" s="1115"/>
      <c r="AYZ19" s="1115"/>
      <c r="AZA19" s="1115"/>
      <c r="AZB19" s="1115"/>
      <c r="AZC19" s="1115"/>
      <c r="AZD19" s="1115"/>
      <c r="AZE19" s="1115"/>
      <c r="AZF19" s="1115"/>
      <c r="AZG19" s="1115"/>
      <c r="AZH19" s="1115"/>
      <c r="AZI19" s="1115"/>
      <c r="AZJ19" s="1115"/>
      <c r="AZK19" s="1115"/>
      <c r="AZL19" s="1115"/>
      <c r="AZM19" s="1115"/>
      <c r="AZN19" s="1115"/>
      <c r="AZO19" s="1115"/>
      <c r="AZP19" s="1115"/>
      <c r="AZQ19" s="1115"/>
      <c r="AZR19" s="1115"/>
      <c r="AZS19" s="1115"/>
      <c r="AZT19" s="1115"/>
      <c r="AZU19" s="1115"/>
      <c r="AZV19" s="1115"/>
      <c r="AZW19" s="1115"/>
      <c r="AZX19" s="1115"/>
      <c r="AZY19" s="1115"/>
      <c r="AZZ19" s="1115"/>
      <c r="BAA19" s="1115"/>
      <c r="BAB19" s="1115"/>
      <c r="BAC19" s="1115"/>
      <c r="BAD19" s="1115"/>
      <c r="BAE19" s="1115"/>
      <c r="BAF19" s="1115"/>
      <c r="BAG19" s="1115"/>
      <c r="BAH19" s="1115"/>
      <c r="BAI19" s="1115"/>
      <c r="BAJ19" s="1115"/>
      <c r="BAK19" s="1115"/>
      <c r="BAL19" s="1115"/>
      <c r="BAM19" s="1115"/>
      <c r="BAN19" s="1115"/>
      <c r="BAO19" s="1115"/>
      <c r="BAP19" s="1115"/>
      <c r="BAQ19" s="1115"/>
      <c r="BAR19" s="1115"/>
      <c r="BAS19" s="1115"/>
      <c r="BAT19" s="1115"/>
      <c r="BAU19" s="1115"/>
      <c r="BAV19" s="1115"/>
      <c r="BAW19" s="1115"/>
      <c r="BAX19" s="1115"/>
      <c r="BAY19" s="1115"/>
      <c r="BAZ19" s="1115"/>
      <c r="BBA19" s="1115"/>
      <c r="BBB19" s="1115"/>
      <c r="BBC19" s="1115"/>
      <c r="BBD19" s="1115"/>
      <c r="BBE19" s="1115"/>
      <c r="BBF19" s="1115"/>
      <c r="BBG19" s="1115"/>
      <c r="BBH19" s="1115"/>
      <c r="BBI19" s="1115"/>
      <c r="BBJ19" s="1115"/>
      <c r="BBK19" s="1115"/>
      <c r="BBL19" s="1115"/>
      <c r="BBM19" s="1115"/>
      <c r="BBN19" s="1115"/>
      <c r="BBO19" s="1115"/>
      <c r="BBP19" s="1115"/>
      <c r="BBQ19" s="1115"/>
      <c r="BBR19" s="1115"/>
      <c r="BBS19" s="1115"/>
      <c r="BBT19" s="1115"/>
      <c r="BBU19" s="1115"/>
      <c r="BBV19" s="1115"/>
      <c r="BBW19" s="1115"/>
      <c r="BBX19" s="1115"/>
      <c r="BBY19" s="1115"/>
      <c r="BBZ19" s="1115"/>
      <c r="BCA19" s="1115"/>
      <c r="BCB19" s="1115"/>
      <c r="BCC19" s="1115"/>
      <c r="BCD19" s="1115"/>
      <c r="BCE19" s="1115"/>
      <c r="BCF19" s="1115"/>
      <c r="BCG19" s="1115"/>
      <c r="BCH19" s="1115"/>
      <c r="BCI19" s="1115"/>
      <c r="BCJ19" s="1115"/>
      <c r="BCK19" s="1115"/>
      <c r="BCL19" s="1115"/>
      <c r="BCM19" s="1115"/>
      <c r="BCN19" s="1115"/>
      <c r="BCO19" s="1115"/>
      <c r="BCP19" s="1115"/>
      <c r="BCQ19" s="1115"/>
      <c r="BCR19" s="1115"/>
      <c r="BCS19" s="1115"/>
      <c r="BCT19" s="1115"/>
      <c r="BCU19" s="1115"/>
      <c r="BCV19" s="1115"/>
      <c r="BCW19" s="1115"/>
      <c r="BCX19" s="1115"/>
      <c r="BCY19" s="1115"/>
      <c r="BCZ19" s="1115"/>
      <c r="BDA19" s="1115"/>
      <c r="BDB19" s="1115"/>
      <c r="BDC19" s="1115"/>
      <c r="BDD19" s="1115"/>
      <c r="BDE19" s="1115"/>
      <c r="BDF19" s="1115"/>
      <c r="BDG19" s="1115"/>
      <c r="BDH19" s="1115"/>
      <c r="BDI19" s="1115"/>
      <c r="BDJ19" s="1115"/>
      <c r="BDK19" s="1115"/>
      <c r="BDL19" s="1115"/>
      <c r="BDM19" s="1115"/>
      <c r="BDN19" s="1115"/>
      <c r="BDO19" s="1115"/>
      <c r="BDP19" s="1115"/>
      <c r="BDQ19" s="1115"/>
      <c r="BDR19" s="1115"/>
      <c r="BDS19" s="1115"/>
      <c r="BDT19" s="1115"/>
      <c r="BDU19" s="1115"/>
      <c r="BDV19" s="1115"/>
      <c r="BDW19" s="1115"/>
      <c r="BDX19" s="1115"/>
      <c r="BDY19" s="1115"/>
      <c r="BDZ19" s="1115"/>
      <c r="BEA19" s="1115"/>
      <c r="BEB19" s="1115"/>
      <c r="BEC19" s="1115"/>
      <c r="BED19" s="1115"/>
      <c r="BEE19" s="1115"/>
      <c r="BEF19" s="1115"/>
      <c r="BEG19" s="1115"/>
      <c r="BEH19" s="1115"/>
      <c r="BEI19" s="1115"/>
      <c r="BEJ19" s="1115"/>
      <c r="BEK19" s="1115"/>
      <c r="BEL19" s="1115"/>
      <c r="BEM19" s="1115"/>
      <c r="BEN19" s="1115"/>
      <c r="BEO19" s="1115"/>
      <c r="BEP19" s="1115"/>
      <c r="BEQ19" s="1115"/>
      <c r="BER19" s="1115"/>
      <c r="BES19" s="1115"/>
      <c r="BET19" s="1115"/>
      <c r="BEU19" s="1115"/>
      <c r="BEV19" s="1115"/>
      <c r="BEW19" s="1115"/>
      <c r="BEX19" s="1115"/>
      <c r="BEY19" s="1115"/>
      <c r="BEZ19" s="1115"/>
      <c r="BFA19" s="1115"/>
      <c r="BFB19" s="1115"/>
      <c r="BFC19" s="1115"/>
      <c r="BFD19" s="1115"/>
      <c r="BFE19" s="1115"/>
      <c r="BFF19" s="1115"/>
      <c r="BFG19" s="1115"/>
      <c r="BFH19" s="1115"/>
      <c r="BFI19" s="1115"/>
      <c r="BFJ19" s="1115"/>
      <c r="BFK19" s="1115"/>
      <c r="BFL19" s="1115"/>
      <c r="BFM19" s="1115"/>
      <c r="BFN19" s="1115"/>
      <c r="BFO19" s="1115"/>
      <c r="BFP19" s="1115"/>
      <c r="BFQ19" s="1115"/>
      <c r="BFR19" s="1115"/>
      <c r="BFS19" s="1115"/>
      <c r="BFT19" s="1115"/>
      <c r="BFU19" s="1115"/>
      <c r="BFV19" s="1115"/>
      <c r="BFW19" s="1115"/>
      <c r="BFX19" s="1115"/>
      <c r="BFY19" s="1115"/>
      <c r="BFZ19" s="1115"/>
      <c r="BGA19" s="1115"/>
      <c r="BGB19" s="1115"/>
      <c r="BGC19" s="1115"/>
      <c r="BGD19" s="1115"/>
      <c r="BGE19" s="1115"/>
      <c r="BGF19" s="1115"/>
      <c r="BGG19" s="1115"/>
      <c r="BGH19" s="1115"/>
      <c r="BGI19" s="1115"/>
      <c r="BGJ19" s="1115"/>
      <c r="BGK19" s="1115"/>
      <c r="BGL19" s="1115"/>
      <c r="BGM19" s="1115"/>
      <c r="BGN19" s="1115"/>
      <c r="BGO19" s="1115"/>
      <c r="BGP19" s="1115"/>
      <c r="BGQ19" s="1115"/>
      <c r="BGR19" s="1115"/>
      <c r="BGS19" s="1115"/>
      <c r="BGT19" s="1115"/>
      <c r="BGU19" s="1115"/>
      <c r="BGV19" s="1115"/>
      <c r="BGW19" s="1115"/>
      <c r="BGX19" s="1115"/>
      <c r="BGY19" s="1115"/>
      <c r="BGZ19" s="1115"/>
      <c r="BHA19" s="1115"/>
      <c r="BHB19" s="1115"/>
      <c r="BHC19" s="1115"/>
      <c r="BHD19" s="1115"/>
      <c r="BHE19" s="1115"/>
      <c r="BHF19" s="1115"/>
      <c r="BHG19" s="1115"/>
      <c r="BHH19" s="1115"/>
      <c r="BHI19" s="1115"/>
      <c r="BHJ19" s="1115"/>
      <c r="BHK19" s="1115"/>
      <c r="BHL19" s="1115"/>
      <c r="BHM19" s="1115"/>
      <c r="BHN19" s="1115"/>
      <c r="BHO19" s="1115"/>
      <c r="BHP19" s="1115"/>
      <c r="BHQ19" s="1115"/>
      <c r="BHR19" s="1115"/>
      <c r="BHS19" s="1115"/>
      <c r="BHT19" s="1115"/>
      <c r="BHU19" s="1115"/>
      <c r="BHV19" s="1115"/>
      <c r="BHW19" s="1115"/>
      <c r="BHX19" s="1115"/>
      <c r="BHY19" s="1115"/>
      <c r="BHZ19" s="1115"/>
      <c r="BIA19" s="1115"/>
      <c r="BIB19" s="1115"/>
      <c r="BIC19" s="1115"/>
      <c r="BID19" s="1115"/>
      <c r="BIE19" s="1115"/>
      <c r="BIF19" s="1115"/>
      <c r="BIG19" s="1115"/>
      <c r="BIH19" s="1115"/>
      <c r="BII19" s="1115"/>
      <c r="BIJ19" s="1115"/>
      <c r="BIK19" s="1115"/>
      <c r="BIL19" s="1115"/>
      <c r="BIM19" s="1115"/>
      <c r="BIN19" s="1115"/>
      <c r="BIO19" s="1115"/>
      <c r="BIP19" s="1115"/>
      <c r="BIQ19" s="1115"/>
      <c r="BIR19" s="1115"/>
      <c r="BIS19" s="1115"/>
      <c r="BIT19" s="1115"/>
      <c r="BIU19" s="1115"/>
      <c r="BIV19" s="1115"/>
      <c r="BIW19" s="1115"/>
      <c r="BIX19" s="1115"/>
      <c r="BIY19" s="1115"/>
      <c r="BIZ19" s="1115"/>
      <c r="BJA19" s="1115"/>
      <c r="BJB19" s="1115"/>
      <c r="BJC19" s="1115"/>
      <c r="BJD19" s="1115"/>
      <c r="BJE19" s="1115"/>
      <c r="BJF19" s="1115"/>
      <c r="BJG19" s="1115"/>
      <c r="BJH19" s="1115"/>
      <c r="BJI19" s="1115"/>
      <c r="BJJ19" s="1115"/>
      <c r="BJK19" s="1115"/>
      <c r="BJL19" s="1115"/>
      <c r="BJM19" s="1115"/>
      <c r="BJN19" s="1115"/>
      <c r="BJO19" s="1115"/>
      <c r="BJP19" s="1115"/>
      <c r="BJQ19" s="1115"/>
      <c r="BJR19" s="1115"/>
      <c r="BJS19" s="1115"/>
      <c r="BJT19" s="1115"/>
      <c r="BJU19" s="1115"/>
      <c r="BJV19" s="1115"/>
      <c r="BJW19" s="1115"/>
      <c r="BJX19" s="1115"/>
      <c r="BJY19" s="1115"/>
      <c r="BJZ19" s="1115"/>
      <c r="BKA19" s="1115"/>
      <c r="BKB19" s="1115"/>
      <c r="BKC19" s="1115"/>
      <c r="BKD19" s="1115"/>
      <c r="BKE19" s="1115"/>
      <c r="BKF19" s="1115"/>
      <c r="BKG19" s="1115"/>
      <c r="BKH19" s="1115"/>
      <c r="BKI19" s="1115"/>
      <c r="BKJ19" s="1115"/>
      <c r="BKK19" s="1115"/>
      <c r="BKL19" s="1115"/>
      <c r="BKM19" s="1115"/>
      <c r="BKN19" s="1115"/>
      <c r="BKO19" s="1115"/>
      <c r="BKP19" s="1115"/>
      <c r="BKQ19" s="1115"/>
      <c r="BKR19" s="1115"/>
      <c r="BKS19" s="1115"/>
      <c r="BKT19" s="1115"/>
      <c r="BKU19" s="1115"/>
      <c r="BKV19" s="1115"/>
      <c r="BKW19" s="1115"/>
      <c r="BKX19" s="1115"/>
      <c r="BKY19" s="1115"/>
      <c r="BKZ19" s="1115"/>
      <c r="BLA19" s="1115"/>
      <c r="BLB19" s="1115"/>
      <c r="BLC19" s="1115"/>
      <c r="BLD19" s="1115"/>
      <c r="BLE19" s="1115"/>
      <c r="BLF19" s="1115"/>
      <c r="BLG19" s="1115"/>
      <c r="BLH19" s="1115"/>
      <c r="BLI19" s="1115"/>
      <c r="BLJ19" s="1115"/>
      <c r="BLK19" s="1115"/>
      <c r="BLL19" s="1115"/>
      <c r="BLM19" s="1115"/>
      <c r="BLN19" s="1115"/>
      <c r="BLO19" s="1115"/>
      <c r="BLP19" s="1115"/>
      <c r="BLQ19" s="1115"/>
      <c r="BLR19" s="1115"/>
      <c r="BLS19" s="1115"/>
      <c r="BLT19" s="1115"/>
      <c r="BLU19" s="1115"/>
      <c r="BLV19" s="1115"/>
      <c r="BLW19" s="1115"/>
      <c r="BLX19" s="1115"/>
      <c r="BLY19" s="1115"/>
      <c r="BLZ19" s="1115"/>
      <c r="BMA19" s="1115"/>
      <c r="BMB19" s="1115"/>
      <c r="BMC19" s="1115"/>
      <c r="BMD19" s="1115"/>
      <c r="BME19" s="1115"/>
      <c r="BMF19" s="1115"/>
      <c r="BMG19" s="1115"/>
      <c r="BMH19" s="1115"/>
      <c r="BMI19" s="1115"/>
      <c r="BMJ19" s="1115"/>
      <c r="BMK19" s="1115"/>
      <c r="BML19" s="1115"/>
      <c r="BMM19" s="1115"/>
      <c r="BMN19" s="1115"/>
      <c r="BMO19" s="1115"/>
      <c r="BMP19" s="1115"/>
      <c r="BMQ19" s="1115"/>
      <c r="BMR19" s="1115"/>
      <c r="BMS19" s="1115"/>
      <c r="BMT19" s="1115"/>
      <c r="BMU19" s="1115"/>
      <c r="BMV19" s="1115"/>
      <c r="BMW19" s="1115"/>
      <c r="BMX19" s="1115"/>
      <c r="BMY19" s="1115"/>
      <c r="BMZ19" s="1115"/>
      <c r="BNA19" s="1115"/>
      <c r="BNB19" s="1115"/>
      <c r="BNC19" s="1115"/>
      <c r="BND19" s="1115"/>
      <c r="BNE19" s="1115"/>
      <c r="BNF19" s="1115"/>
      <c r="BNG19" s="1115"/>
      <c r="BNH19" s="1115"/>
      <c r="BNI19" s="1115"/>
      <c r="BNJ19" s="1115"/>
      <c r="BNK19" s="1115"/>
      <c r="BNL19" s="1115"/>
      <c r="BNM19" s="1115"/>
      <c r="BNN19" s="1115"/>
      <c r="BNO19" s="1115"/>
      <c r="BNP19" s="1115"/>
      <c r="BNQ19" s="1115"/>
      <c r="BNR19" s="1115"/>
      <c r="BNS19" s="1115"/>
      <c r="BNT19" s="1115"/>
      <c r="BNU19" s="1115"/>
      <c r="BNV19" s="1115"/>
      <c r="BNW19" s="1115"/>
      <c r="BNX19" s="1115"/>
      <c r="BNY19" s="1115"/>
      <c r="BNZ19" s="1115"/>
      <c r="BOA19" s="1115"/>
      <c r="BOB19" s="1115"/>
      <c r="BOC19" s="1115"/>
      <c r="BOD19" s="1115"/>
      <c r="BOE19" s="1115"/>
      <c r="BOF19" s="1115"/>
      <c r="BOG19" s="1115"/>
      <c r="BOH19" s="1115"/>
      <c r="BOI19" s="1115"/>
      <c r="BOJ19" s="1115"/>
      <c r="BOK19" s="1115"/>
      <c r="BOL19" s="1115"/>
      <c r="BOM19" s="1115"/>
      <c r="BON19" s="1115"/>
      <c r="BOO19" s="1115"/>
      <c r="BOP19" s="1115"/>
      <c r="BOQ19" s="1115"/>
      <c r="BOR19" s="1115"/>
      <c r="BOS19" s="1115"/>
      <c r="BOT19" s="1115"/>
      <c r="BOU19" s="1115"/>
      <c r="BOV19" s="1115"/>
      <c r="BOW19" s="1115"/>
      <c r="BOX19" s="1115"/>
      <c r="BOY19" s="1115"/>
      <c r="BOZ19" s="1115"/>
      <c r="BPA19" s="1115"/>
      <c r="BPB19" s="1115"/>
      <c r="BPC19" s="1115"/>
      <c r="BPD19" s="1115"/>
      <c r="BPE19" s="1115"/>
      <c r="BPF19" s="1115"/>
      <c r="BPG19" s="1115"/>
      <c r="BPH19" s="1115"/>
      <c r="BPI19" s="1115"/>
      <c r="BPJ19" s="1115"/>
      <c r="BPK19" s="1115"/>
      <c r="BPL19" s="1115"/>
      <c r="BPM19" s="1115"/>
      <c r="BPN19" s="1115"/>
      <c r="BPO19" s="1115"/>
      <c r="BPP19" s="1115"/>
      <c r="BPQ19" s="1115"/>
      <c r="BPR19" s="1115"/>
      <c r="BPS19" s="1115"/>
      <c r="BPT19" s="1115"/>
      <c r="BPU19" s="1115"/>
      <c r="BPV19" s="1115"/>
      <c r="BPW19" s="1115"/>
      <c r="BPX19" s="1115"/>
      <c r="BPY19" s="1115"/>
      <c r="BPZ19" s="1115"/>
      <c r="BQA19" s="1115"/>
      <c r="BQB19" s="1115"/>
      <c r="BQC19" s="1115"/>
      <c r="BQD19" s="1115"/>
      <c r="BQE19" s="1115"/>
      <c r="BQF19" s="1115"/>
      <c r="BQG19" s="1115"/>
      <c r="BQH19" s="1115"/>
      <c r="BQI19" s="1115"/>
      <c r="BQJ19" s="1115"/>
      <c r="BQK19" s="1115"/>
      <c r="BQL19" s="1115"/>
      <c r="BQM19" s="1115"/>
      <c r="BQN19" s="1115"/>
      <c r="BQO19" s="1115"/>
      <c r="BQP19" s="1115"/>
      <c r="BQQ19" s="1115"/>
      <c r="BQR19" s="1115"/>
      <c r="BQS19" s="1115"/>
      <c r="BQT19" s="1115"/>
      <c r="BQU19" s="1115"/>
      <c r="BQV19" s="1115"/>
      <c r="BQW19" s="1115"/>
      <c r="BQX19" s="1115"/>
      <c r="BQY19" s="1115"/>
      <c r="BQZ19" s="1115"/>
      <c r="BRA19" s="1115"/>
      <c r="BRB19" s="1115"/>
      <c r="BRC19" s="1115"/>
      <c r="BRD19" s="1115"/>
      <c r="BRE19" s="1115"/>
      <c r="BRF19" s="1115"/>
      <c r="BRG19" s="1115"/>
      <c r="BRH19" s="1115"/>
      <c r="BRI19" s="1115"/>
      <c r="BRJ19" s="1115"/>
      <c r="BRK19" s="1115"/>
      <c r="BRL19" s="1115"/>
      <c r="BRM19" s="1115"/>
      <c r="BRN19" s="1115"/>
      <c r="BRO19" s="1115"/>
      <c r="BRP19" s="1115"/>
      <c r="BRQ19" s="1115"/>
      <c r="BRR19" s="1115"/>
      <c r="BRS19" s="1115"/>
      <c r="BRT19" s="1115"/>
      <c r="BRU19" s="1115"/>
      <c r="BRV19" s="1115"/>
      <c r="BRW19" s="1115"/>
      <c r="BRX19" s="1115"/>
      <c r="BRY19" s="1115"/>
      <c r="BRZ19" s="1115"/>
      <c r="BSA19" s="1115"/>
      <c r="BSB19" s="1115"/>
      <c r="BSC19" s="1115"/>
      <c r="BSD19" s="1115"/>
      <c r="BSE19" s="1115"/>
      <c r="BSF19" s="1115"/>
      <c r="BSG19" s="1115"/>
      <c r="BSH19" s="1115"/>
      <c r="BSI19" s="1115"/>
      <c r="BSJ19" s="1115"/>
      <c r="BSK19" s="1115"/>
      <c r="BSL19" s="1115"/>
      <c r="BSM19" s="1115"/>
      <c r="BSN19" s="1115"/>
      <c r="BSO19" s="1115"/>
      <c r="BSP19" s="1115"/>
      <c r="BSQ19" s="1115"/>
      <c r="BSR19" s="1115"/>
      <c r="BSS19" s="1115"/>
      <c r="BST19" s="1115"/>
      <c r="BSU19" s="1115"/>
      <c r="BSV19" s="1115"/>
      <c r="BSW19" s="1115"/>
      <c r="BSX19" s="1115"/>
      <c r="BSY19" s="1115"/>
      <c r="BSZ19" s="1115"/>
      <c r="BTA19" s="1115"/>
      <c r="BTB19" s="1115"/>
      <c r="BTC19" s="1115"/>
      <c r="BTD19" s="1115"/>
      <c r="BTE19" s="1115"/>
      <c r="BTF19" s="1115"/>
      <c r="BTG19" s="1115"/>
      <c r="BTH19" s="1115"/>
      <c r="BTI19" s="1115"/>
      <c r="BTJ19" s="1115"/>
      <c r="BTK19" s="1115"/>
      <c r="BTL19" s="1115"/>
      <c r="BTM19" s="1115"/>
      <c r="BTN19" s="1115"/>
      <c r="BTO19" s="1115"/>
      <c r="BTP19" s="1115"/>
      <c r="BTQ19" s="1115"/>
      <c r="BTR19" s="1115"/>
      <c r="BTS19" s="1115"/>
      <c r="BTT19" s="1115"/>
      <c r="BTU19" s="1115"/>
      <c r="BTV19" s="1115"/>
      <c r="BTW19" s="1115"/>
      <c r="BTX19" s="1115"/>
      <c r="BTY19" s="1115"/>
      <c r="BTZ19" s="1115"/>
      <c r="BUA19" s="1115"/>
      <c r="BUB19" s="1115"/>
      <c r="BUC19" s="1115"/>
      <c r="BUD19" s="1115"/>
      <c r="BUE19" s="1115"/>
      <c r="BUF19" s="1115"/>
      <c r="BUG19" s="1115"/>
      <c r="BUH19" s="1115"/>
      <c r="BUI19" s="1115"/>
      <c r="BUJ19" s="1115"/>
      <c r="BUK19" s="1115"/>
      <c r="BUL19" s="1115"/>
      <c r="BUM19" s="1115"/>
      <c r="BUN19" s="1115"/>
      <c r="BUO19" s="1115"/>
      <c r="BUP19" s="1115"/>
      <c r="BUQ19" s="1115"/>
      <c r="BUR19" s="1115"/>
      <c r="BUS19" s="1115"/>
      <c r="BUT19" s="1115"/>
      <c r="BUU19" s="1115"/>
      <c r="BUV19" s="1115"/>
      <c r="BUW19" s="1115"/>
      <c r="BUX19" s="1115"/>
      <c r="BUY19" s="1115"/>
      <c r="BUZ19" s="1115"/>
      <c r="BVA19" s="1115"/>
      <c r="BVB19" s="1115"/>
      <c r="BVC19" s="1115"/>
      <c r="BVD19" s="1115"/>
      <c r="BVE19" s="1115"/>
      <c r="BVF19" s="1115"/>
      <c r="BVG19" s="1115"/>
      <c r="BVH19" s="1115"/>
      <c r="BVI19" s="1115"/>
      <c r="BVJ19" s="1115"/>
      <c r="BVK19" s="1115"/>
      <c r="BVL19" s="1115"/>
      <c r="BVM19" s="1115"/>
      <c r="BVN19" s="1115"/>
      <c r="BVO19" s="1115"/>
      <c r="BVP19" s="1115"/>
      <c r="BVQ19" s="1115"/>
      <c r="BVR19" s="1115"/>
      <c r="BVS19" s="1115"/>
      <c r="BVT19" s="1115"/>
      <c r="BVU19" s="1115"/>
      <c r="BVV19" s="1115"/>
      <c r="BVW19" s="1115"/>
      <c r="BVX19" s="1115"/>
      <c r="BVY19" s="1115"/>
      <c r="BVZ19" s="1115"/>
      <c r="BWA19" s="1115"/>
      <c r="BWB19" s="1115"/>
      <c r="BWC19" s="1115"/>
      <c r="BWD19" s="1115"/>
      <c r="BWE19" s="1115"/>
      <c r="BWF19" s="1115"/>
      <c r="BWG19" s="1115"/>
      <c r="BWH19" s="1115"/>
      <c r="BWI19" s="1115"/>
      <c r="BWJ19" s="1115"/>
      <c r="BWK19" s="1115"/>
      <c r="BWL19" s="1115"/>
      <c r="BWM19" s="1115"/>
      <c r="BWN19" s="1115"/>
      <c r="BWO19" s="1115"/>
      <c r="BWP19" s="1115"/>
      <c r="BWQ19" s="1115"/>
      <c r="BWR19" s="1115"/>
      <c r="BWS19" s="1115"/>
      <c r="BWT19" s="1115"/>
      <c r="BWU19" s="1115"/>
      <c r="BWV19" s="1115"/>
      <c r="BWW19" s="1115"/>
      <c r="BWX19" s="1115"/>
      <c r="BWY19" s="1115"/>
      <c r="BWZ19" s="1115"/>
      <c r="BXA19" s="1115"/>
      <c r="BXB19" s="1115"/>
      <c r="BXC19" s="1115"/>
      <c r="BXD19" s="1115"/>
      <c r="BXE19" s="1115"/>
      <c r="BXF19" s="1115"/>
      <c r="BXG19" s="1115"/>
      <c r="BXH19" s="1115"/>
      <c r="BXI19" s="1115"/>
      <c r="BXJ19" s="1115"/>
      <c r="BXK19" s="1115"/>
      <c r="BXL19" s="1115"/>
      <c r="BXM19" s="1115"/>
      <c r="BXN19" s="1115"/>
      <c r="BXO19" s="1115"/>
      <c r="BXP19" s="1115"/>
      <c r="BXQ19" s="1115"/>
      <c r="BXR19" s="1115"/>
      <c r="BXS19" s="1115"/>
      <c r="BXT19" s="1115"/>
      <c r="BXU19" s="1115"/>
      <c r="BXV19" s="1115"/>
      <c r="BXW19" s="1115"/>
      <c r="BXX19" s="1115"/>
      <c r="BXY19" s="1115"/>
      <c r="BXZ19" s="1115"/>
      <c r="BYA19" s="1115"/>
      <c r="BYB19" s="1115"/>
      <c r="BYC19" s="1115"/>
      <c r="BYD19" s="1115"/>
      <c r="BYE19" s="1115"/>
      <c r="BYF19" s="1115"/>
      <c r="BYG19" s="1115"/>
      <c r="BYH19" s="1115"/>
      <c r="BYI19" s="1115"/>
      <c r="BYJ19" s="1115"/>
      <c r="BYK19" s="1115"/>
      <c r="BYL19" s="1115"/>
      <c r="BYM19" s="1115"/>
      <c r="BYN19" s="1115"/>
      <c r="BYO19" s="1115"/>
      <c r="BYP19" s="1115"/>
      <c r="BYQ19" s="1115"/>
      <c r="BYR19" s="1115"/>
      <c r="BYS19" s="1115"/>
      <c r="BYT19" s="1115"/>
      <c r="BYU19" s="1115"/>
      <c r="BYV19" s="1115"/>
      <c r="BYW19" s="1115"/>
      <c r="BYX19" s="1115"/>
      <c r="BYY19" s="1115"/>
      <c r="BYZ19" s="1115"/>
      <c r="BZA19" s="1115"/>
      <c r="BZB19" s="1115"/>
      <c r="BZC19" s="1115"/>
      <c r="BZD19" s="1115"/>
      <c r="BZE19" s="1115"/>
      <c r="BZF19" s="1115"/>
      <c r="BZG19" s="1115"/>
      <c r="BZH19" s="1115"/>
      <c r="BZI19" s="1115"/>
      <c r="BZJ19" s="1115"/>
      <c r="BZK19" s="1115"/>
      <c r="BZL19" s="1115"/>
      <c r="BZM19" s="1115"/>
      <c r="BZN19" s="1115"/>
      <c r="BZO19" s="1115"/>
      <c r="BZP19" s="1115"/>
      <c r="BZQ19" s="1115"/>
      <c r="BZR19" s="1115"/>
      <c r="BZS19" s="1115"/>
      <c r="BZT19" s="1115"/>
      <c r="BZU19" s="1115"/>
      <c r="BZV19" s="1115"/>
      <c r="BZW19" s="1115"/>
      <c r="BZX19" s="1115"/>
      <c r="BZY19" s="1115"/>
      <c r="BZZ19" s="1115"/>
      <c r="CAA19" s="1115"/>
      <c r="CAB19" s="1115"/>
      <c r="CAC19" s="1115"/>
      <c r="CAD19" s="1115"/>
      <c r="CAE19" s="1115"/>
      <c r="CAF19" s="1115"/>
      <c r="CAG19" s="1115"/>
      <c r="CAH19" s="1115"/>
      <c r="CAI19" s="1115"/>
      <c r="CAJ19" s="1115"/>
      <c r="CAK19" s="1115"/>
      <c r="CAL19" s="1115"/>
      <c r="CAM19" s="1115"/>
      <c r="CAN19" s="1115"/>
      <c r="CAO19" s="1115"/>
      <c r="CAP19" s="1115"/>
      <c r="CAQ19" s="1115"/>
      <c r="CAR19" s="1115"/>
      <c r="CAS19" s="1115"/>
      <c r="CAT19" s="1115"/>
      <c r="CAU19" s="1115"/>
      <c r="CAV19" s="1115"/>
      <c r="CAW19" s="1115"/>
      <c r="CAX19" s="1115"/>
      <c r="CAY19" s="1115"/>
      <c r="CAZ19" s="1115"/>
      <c r="CBA19" s="1115"/>
      <c r="CBB19" s="1115"/>
      <c r="CBC19" s="1115"/>
      <c r="CBD19" s="1115"/>
      <c r="CBE19" s="1115"/>
      <c r="CBF19" s="1115"/>
      <c r="CBG19" s="1115"/>
      <c r="CBH19" s="1115"/>
      <c r="CBI19" s="1115"/>
      <c r="CBJ19" s="1115"/>
      <c r="CBK19" s="1115"/>
      <c r="CBL19" s="1115"/>
      <c r="CBM19" s="1115"/>
      <c r="CBN19" s="1115"/>
      <c r="CBO19" s="1115"/>
      <c r="CBP19" s="1115"/>
      <c r="CBQ19" s="1115"/>
      <c r="CBR19" s="1115"/>
      <c r="CBS19" s="1115"/>
      <c r="CBT19" s="1115"/>
      <c r="CBU19" s="1115"/>
      <c r="CBV19" s="1115"/>
      <c r="CBW19" s="1115"/>
      <c r="CBX19" s="1115"/>
      <c r="CBY19" s="1115"/>
      <c r="CBZ19" s="1115"/>
      <c r="CCA19" s="1115"/>
      <c r="CCB19" s="1115"/>
      <c r="CCC19" s="1115"/>
      <c r="CCD19" s="1115"/>
      <c r="CCE19" s="1115"/>
      <c r="CCF19" s="1115"/>
      <c r="CCG19" s="1115"/>
      <c r="CCH19" s="1115"/>
      <c r="CCI19" s="1115"/>
      <c r="CCJ19" s="1115"/>
      <c r="CCK19" s="1115"/>
      <c r="CCL19" s="1115"/>
      <c r="CCM19" s="1115"/>
      <c r="CCN19" s="1115"/>
      <c r="CCO19" s="1115"/>
      <c r="CCP19" s="1115"/>
      <c r="CCQ19" s="1115"/>
      <c r="CCR19" s="1115"/>
      <c r="CCS19" s="1115"/>
      <c r="CCT19" s="1115"/>
      <c r="CCU19" s="1115"/>
      <c r="CCV19" s="1115"/>
      <c r="CCW19" s="1115"/>
      <c r="CCX19" s="1115"/>
      <c r="CCY19" s="1115"/>
      <c r="CCZ19" s="1115"/>
      <c r="CDA19" s="1115"/>
      <c r="CDB19" s="1115"/>
      <c r="CDC19" s="1115"/>
      <c r="CDD19" s="1115"/>
      <c r="CDE19" s="1115"/>
      <c r="CDF19" s="1115"/>
      <c r="CDG19" s="1115"/>
      <c r="CDH19" s="1115"/>
      <c r="CDI19" s="1115"/>
      <c r="CDJ19" s="1115"/>
      <c r="CDK19" s="1115"/>
      <c r="CDL19" s="1115"/>
      <c r="CDM19" s="1115"/>
      <c r="CDN19" s="1115"/>
      <c r="CDO19" s="1115"/>
      <c r="CDP19" s="1115"/>
      <c r="CDQ19" s="1115"/>
      <c r="CDR19" s="1115"/>
      <c r="CDS19" s="1115"/>
      <c r="CDT19" s="1115"/>
      <c r="CDU19" s="1115"/>
      <c r="CDV19" s="1115"/>
      <c r="CDW19" s="1115"/>
      <c r="CDX19" s="1115"/>
      <c r="CDY19" s="1115"/>
      <c r="CDZ19" s="1115"/>
      <c r="CEA19" s="1115"/>
      <c r="CEB19" s="1115"/>
      <c r="CEC19" s="1115"/>
      <c r="CED19" s="1115"/>
      <c r="CEE19" s="1115"/>
      <c r="CEF19" s="1115"/>
      <c r="CEG19" s="1115"/>
      <c r="CEH19" s="1115"/>
      <c r="CEI19" s="1115"/>
      <c r="CEJ19" s="1115"/>
      <c r="CEK19" s="1115"/>
      <c r="CEL19" s="1115"/>
      <c r="CEM19" s="1115"/>
      <c r="CEN19" s="1115"/>
      <c r="CEO19" s="1115"/>
      <c r="CEP19" s="1115"/>
      <c r="CEQ19" s="1115"/>
      <c r="CER19" s="1115"/>
      <c r="CES19" s="1115"/>
      <c r="CET19" s="1115"/>
      <c r="CEU19" s="1115"/>
      <c r="CEV19" s="1115"/>
      <c r="CEW19" s="1115"/>
      <c r="CEX19" s="1115"/>
      <c r="CEY19" s="1115"/>
      <c r="CEZ19" s="1115"/>
      <c r="CFA19" s="1115"/>
      <c r="CFB19" s="1115"/>
      <c r="CFC19" s="1115"/>
      <c r="CFD19" s="1115"/>
      <c r="CFE19" s="1115"/>
      <c r="CFF19" s="1115"/>
      <c r="CFG19" s="1115"/>
      <c r="CFH19" s="1115"/>
      <c r="CFI19" s="1115"/>
      <c r="CFJ19" s="1115"/>
      <c r="CFK19" s="1115"/>
      <c r="CFL19" s="1115"/>
      <c r="CFM19" s="1115"/>
      <c r="CFN19" s="1115"/>
      <c r="CFO19" s="1115"/>
      <c r="CFP19" s="1115"/>
      <c r="CFQ19" s="1115"/>
      <c r="CFR19" s="1115"/>
      <c r="CFS19" s="1115"/>
      <c r="CFT19" s="1115"/>
      <c r="CFU19" s="1115"/>
      <c r="CFV19" s="1115"/>
      <c r="CFW19" s="1115"/>
      <c r="CFX19" s="1115"/>
      <c r="CFY19" s="1115"/>
      <c r="CFZ19" s="1115"/>
      <c r="CGA19" s="1115"/>
      <c r="CGB19" s="1115"/>
      <c r="CGC19" s="1115"/>
      <c r="CGD19" s="1115"/>
      <c r="CGE19" s="1115"/>
      <c r="CGF19" s="1115"/>
      <c r="CGG19" s="1115"/>
      <c r="CGH19" s="1115"/>
      <c r="CGI19" s="1115"/>
      <c r="CGJ19" s="1115"/>
      <c r="CGK19" s="1115"/>
      <c r="CGL19" s="1115"/>
      <c r="CGM19" s="1115"/>
      <c r="CGN19" s="1115"/>
      <c r="CGO19" s="1115"/>
      <c r="CGP19" s="1115"/>
      <c r="CGQ19" s="1115"/>
      <c r="CGR19" s="1115"/>
      <c r="CGS19" s="1115"/>
      <c r="CGT19" s="1115"/>
      <c r="CGU19" s="1115"/>
      <c r="CGV19" s="1115"/>
      <c r="CGW19" s="1115"/>
      <c r="CGX19" s="1115"/>
      <c r="CGY19" s="1115"/>
      <c r="CGZ19" s="1115"/>
      <c r="CHA19" s="1115"/>
      <c r="CHB19" s="1115"/>
      <c r="CHC19" s="1115"/>
      <c r="CHD19" s="1115"/>
      <c r="CHE19" s="1115"/>
      <c r="CHF19" s="1115"/>
      <c r="CHG19" s="1115"/>
      <c r="CHH19" s="1115"/>
      <c r="CHI19" s="1115"/>
      <c r="CHJ19" s="1115"/>
      <c r="CHK19" s="1115"/>
      <c r="CHL19" s="1115"/>
      <c r="CHM19" s="1115"/>
      <c r="CHN19" s="1115"/>
      <c r="CHO19" s="1115"/>
      <c r="CHP19" s="1115"/>
      <c r="CHQ19" s="1115"/>
      <c r="CHR19" s="1115"/>
      <c r="CHS19" s="1115"/>
      <c r="CHT19" s="1115"/>
      <c r="CHU19" s="1115"/>
      <c r="CHV19" s="1115"/>
      <c r="CHW19" s="1115"/>
      <c r="CHX19" s="1115"/>
      <c r="CHY19" s="1115"/>
      <c r="CHZ19" s="1115"/>
      <c r="CIA19" s="1115"/>
      <c r="CIB19" s="1115"/>
      <c r="CIC19" s="1115"/>
      <c r="CID19" s="1115"/>
      <c r="CIE19" s="1115"/>
      <c r="CIF19" s="1115"/>
      <c r="CIG19" s="1115"/>
      <c r="CIH19" s="1115"/>
      <c r="CII19" s="1115"/>
      <c r="CIJ19" s="1115"/>
      <c r="CIK19" s="1115"/>
      <c r="CIL19" s="1115"/>
      <c r="CIM19" s="1115"/>
      <c r="CIN19" s="1115"/>
      <c r="CIO19" s="1115"/>
      <c r="CIP19" s="1115"/>
      <c r="CIQ19" s="1115"/>
      <c r="CIR19" s="1115"/>
      <c r="CIS19" s="1115"/>
      <c r="CIT19" s="1115"/>
      <c r="CIU19" s="1115"/>
      <c r="CIV19" s="1115"/>
      <c r="CIW19" s="1115"/>
      <c r="CIX19" s="1115"/>
      <c r="CIY19" s="1115"/>
      <c r="CIZ19" s="1115"/>
      <c r="CJA19" s="1115"/>
      <c r="CJB19" s="1115"/>
      <c r="CJC19" s="1115"/>
      <c r="CJD19" s="1115"/>
      <c r="CJE19" s="1115"/>
      <c r="CJF19" s="1115"/>
      <c r="CJG19" s="1115"/>
      <c r="CJH19" s="1115"/>
      <c r="CJI19" s="1115"/>
      <c r="CJJ19" s="1115"/>
      <c r="CJK19" s="1115"/>
      <c r="CJL19" s="1115"/>
      <c r="CJM19" s="1115"/>
      <c r="CJN19" s="1115"/>
      <c r="CJO19" s="1115"/>
      <c r="CJP19" s="1115"/>
      <c r="CJQ19" s="1115"/>
      <c r="CJR19" s="1115"/>
      <c r="CJS19" s="1115"/>
      <c r="CJT19" s="1115"/>
      <c r="CJU19" s="1115"/>
      <c r="CJV19" s="1115"/>
      <c r="CJW19" s="1115"/>
      <c r="CJX19" s="1115"/>
      <c r="CJY19" s="1115"/>
      <c r="CJZ19" s="1115"/>
      <c r="CKA19" s="1115"/>
      <c r="CKB19" s="1115"/>
      <c r="CKC19" s="1115"/>
      <c r="CKD19" s="1115"/>
      <c r="CKE19" s="1115"/>
      <c r="CKF19" s="1115"/>
      <c r="CKG19" s="1115"/>
      <c r="CKH19" s="1115"/>
      <c r="CKI19" s="1115"/>
      <c r="CKJ19" s="1115"/>
      <c r="CKK19" s="1115"/>
      <c r="CKL19" s="1115"/>
      <c r="CKM19" s="1115"/>
      <c r="CKN19" s="1115"/>
      <c r="CKO19" s="1115"/>
      <c r="CKP19" s="1115"/>
      <c r="CKQ19" s="1115"/>
      <c r="CKR19" s="1115"/>
      <c r="CKS19" s="1115"/>
      <c r="CKT19" s="1115"/>
      <c r="CKU19" s="1115"/>
      <c r="CKV19" s="1115"/>
      <c r="CKW19" s="1115"/>
      <c r="CKX19" s="1115"/>
      <c r="CKY19" s="1115"/>
      <c r="CKZ19" s="1115"/>
      <c r="CLA19" s="1115"/>
      <c r="CLB19" s="1115"/>
      <c r="CLC19" s="1115"/>
      <c r="CLD19" s="1115"/>
      <c r="CLE19" s="1115"/>
      <c r="CLF19" s="1115"/>
      <c r="CLG19" s="1115"/>
      <c r="CLH19" s="1115"/>
      <c r="CLI19" s="1115"/>
      <c r="CLJ19" s="1115"/>
      <c r="CLK19" s="1115"/>
      <c r="CLL19" s="1115"/>
      <c r="CLM19" s="1115"/>
      <c r="CLN19" s="1115"/>
      <c r="CLO19" s="1115"/>
      <c r="CLP19" s="1115"/>
      <c r="CLQ19" s="1115"/>
      <c r="CLR19" s="1115"/>
      <c r="CLS19" s="1115"/>
      <c r="CLT19" s="1115"/>
      <c r="CLU19" s="1115"/>
      <c r="CLV19" s="1115"/>
      <c r="CLW19" s="1115"/>
      <c r="CLX19" s="1115"/>
      <c r="CLY19" s="1115"/>
      <c r="CLZ19" s="1115"/>
      <c r="CMA19" s="1115"/>
      <c r="CMB19" s="1115"/>
      <c r="CMC19" s="1115"/>
      <c r="CMD19" s="1115"/>
      <c r="CME19" s="1115"/>
      <c r="CMF19" s="1115"/>
      <c r="CMG19" s="1115"/>
      <c r="CMH19" s="1115"/>
      <c r="CMI19" s="1115"/>
      <c r="CMJ19" s="1115"/>
      <c r="CMK19" s="1115"/>
      <c r="CML19" s="1115"/>
      <c r="CMM19" s="1115"/>
      <c r="CMN19" s="1115"/>
      <c r="CMO19" s="1115"/>
      <c r="CMP19" s="1115"/>
      <c r="CMQ19" s="1115"/>
      <c r="CMR19" s="1115"/>
      <c r="CMS19" s="1115"/>
      <c r="CMT19" s="1115"/>
      <c r="CMU19" s="1115"/>
      <c r="CMV19" s="1115"/>
      <c r="CMW19" s="1115"/>
      <c r="CMX19" s="1115"/>
      <c r="CMY19" s="1115"/>
      <c r="CMZ19" s="1115"/>
      <c r="CNA19" s="1115"/>
      <c r="CNB19" s="1115"/>
      <c r="CNC19" s="1115"/>
      <c r="CND19" s="1115"/>
      <c r="CNE19" s="1115"/>
      <c r="CNF19" s="1115"/>
      <c r="CNG19" s="1115"/>
      <c r="CNH19" s="1115"/>
      <c r="CNI19" s="1115"/>
      <c r="CNJ19" s="1115"/>
      <c r="CNK19" s="1115"/>
      <c r="CNL19" s="1115"/>
      <c r="CNM19" s="1115"/>
      <c r="CNN19" s="1115"/>
      <c r="CNO19" s="1115"/>
      <c r="CNP19" s="1115"/>
      <c r="CNQ19" s="1115"/>
      <c r="CNR19" s="1115"/>
      <c r="CNS19" s="1115"/>
      <c r="CNT19" s="1115"/>
      <c r="CNU19" s="1115"/>
      <c r="CNV19" s="1115"/>
      <c r="CNW19" s="1115"/>
      <c r="CNX19" s="1115"/>
      <c r="CNY19" s="1115"/>
      <c r="CNZ19" s="1115"/>
      <c r="COA19" s="1115"/>
      <c r="COB19" s="1115"/>
      <c r="COC19" s="1115"/>
      <c r="COD19" s="1115"/>
      <c r="COE19" s="1115"/>
      <c r="COF19" s="1115"/>
      <c r="COG19" s="1115"/>
      <c r="COH19" s="1115"/>
      <c r="COI19" s="1115"/>
      <c r="COJ19" s="1115"/>
      <c r="COK19" s="1115"/>
      <c r="COL19" s="1115"/>
      <c r="COM19" s="1115"/>
      <c r="CON19" s="1115"/>
      <c r="COO19" s="1115"/>
      <c r="COP19" s="1115"/>
      <c r="COQ19" s="1115"/>
      <c r="COR19" s="1115"/>
      <c r="COS19" s="1115"/>
      <c r="COT19" s="1115"/>
      <c r="COU19" s="1115"/>
      <c r="COV19" s="1115"/>
      <c r="COW19" s="1115"/>
      <c r="COX19" s="1115"/>
      <c r="COY19" s="1115"/>
      <c r="COZ19" s="1115"/>
      <c r="CPA19" s="1115"/>
      <c r="CPB19" s="1115"/>
      <c r="CPC19" s="1115"/>
      <c r="CPD19" s="1115"/>
      <c r="CPE19" s="1115"/>
      <c r="CPF19" s="1115"/>
      <c r="CPG19" s="1115"/>
      <c r="CPH19" s="1115"/>
      <c r="CPI19" s="1115"/>
      <c r="CPJ19" s="1115"/>
      <c r="CPK19" s="1115"/>
      <c r="CPL19" s="1115"/>
      <c r="CPM19" s="1115"/>
      <c r="CPN19" s="1115"/>
      <c r="CPO19" s="1115"/>
      <c r="CPP19" s="1115"/>
      <c r="CPQ19" s="1115"/>
      <c r="CPR19" s="1115"/>
      <c r="CPS19" s="1115"/>
      <c r="CPT19" s="1115"/>
      <c r="CPU19" s="1115"/>
      <c r="CPV19" s="1115"/>
      <c r="CPW19" s="1115"/>
      <c r="CPX19" s="1115"/>
      <c r="CPY19" s="1115"/>
      <c r="CPZ19" s="1115"/>
      <c r="CQA19" s="1115"/>
      <c r="CQB19" s="1115"/>
      <c r="CQC19" s="1115"/>
      <c r="CQD19" s="1115"/>
      <c r="CQE19" s="1115"/>
      <c r="CQF19" s="1115"/>
      <c r="CQG19" s="1115"/>
      <c r="CQH19" s="1115"/>
      <c r="CQI19" s="1115"/>
      <c r="CQJ19" s="1115"/>
      <c r="CQK19" s="1115"/>
      <c r="CQL19" s="1115"/>
      <c r="CQM19" s="1115"/>
      <c r="CQN19" s="1115"/>
      <c r="CQO19" s="1115"/>
      <c r="CQP19" s="1115"/>
      <c r="CQQ19" s="1115"/>
      <c r="CQR19" s="1115"/>
      <c r="CQS19" s="1115"/>
      <c r="CQT19" s="1115"/>
      <c r="CQU19" s="1115"/>
      <c r="CQV19" s="1115"/>
      <c r="CQW19" s="1115"/>
      <c r="CQX19" s="1115"/>
      <c r="CQY19" s="1115"/>
      <c r="CQZ19" s="1115"/>
      <c r="CRA19" s="1115"/>
      <c r="CRB19" s="1115"/>
      <c r="CRC19" s="1115"/>
      <c r="CRD19" s="1115"/>
      <c r="CRE19" s="1115"/>
      <c r="CRF19" s="1115"/>
      <c r="CRG19" s="1115"/>
      <c r="CRH19" s="1115"/>
      <c r="CRI19" s="1115"/>
      <c r="CRJ19" s="1115"/>
      <c r="CRK19" s="1115"/>
      <c r="CRL19" s="1115"/>
      <c r="CRM19" s="1115"/>
      <c r="CRN19" s="1115"/>
      <c r="CRO19" s="1115"/>
      <c r="CRP19" s="1115"/>
      <c r="CRQ19" s="1115"/>
      <c r="CRR19" s="1115"/>
      <c r="CRS19" s="1115"/>
      <c r="CRT19" s="1115"/>
      <c r="CRU19" s="1115"/>
      <c r="CRV19" s="1115"/>
      <c r="CRW19" s="1115"/>
      <c r="CRX19" s="1115"/>
      <c r="CRY19" s="1115"/>
      <c r="CRZ19" s="1115"/>
      <c r="CSA19" s="1115"/>
      <c r="CSB19" s="1115"/>
      <c r="CSC19" s="1115"/>
      <c r="CSD19" s="1115"/>
      <c r="CSE19" s="1115"/>
      <c r="CSF19" s="1115"/>
      <c r="CSG19" s="1115"/>
      <c r="CSH19" s="1115"/>
      <c r="CSI19" s="1115"/>
      <c r="CSJ19" s="1115"/>
      <c r="CSK19" s="1115"/>
      <c r="CSL19" s="1115"/>
      <c r="CSM19" s="1115"/>
      <c r="CSN19" s="1115"/>
      <c r="CSO19" s="1115"/>
      <c r="CSP19" s="1115"/>
      <c r="CSQ19" s="1115"/>
      <c r="CSR19" s="1115"/>
      <c r="CSS19" s="1115"/>
      <c r="CST19" s="1115"/>
      <c r="CSU19" s="1115"/>
      <c r="CSV19" s="1115"/>
      <c r="CSW19" s="1115"/>
      <c r="CSX19" s="1115"/>
      <c r="CSY19" s="1115"/>
      <c r="CSZ19" s="1115"/>
      <c r="CTA19" s="1115"/>
      <c r="CTB19" s="1115"/>
      <c r="CTC19" s="1115"/>
      <c r="CTD19" s="1115"/>
      <c r="CTE19" s="1115"/>
      <c r="CTF19" s="1115"/>
      <c r="CTG19" s="1115"/>
      <c r="CTH19" s="1115"/>
      <c r="CTI19" s="1115"/>
      <c r="CTJ19" s="1115"/>
      <c r="CTK19" s="1115"/>
      <c r="CTL19" s="1115"/>
      <c r="CTM19" s="1115"/>
      <c r="CTN19" s="1115"/>
      <c r="CTO19" s="1115"/>
      <c r="CTP19" s="1115"/>
      <c r="CTQ19" s="1115"/>
      <c r="CTR19" s="1115"/>
      <c r="CTS19" s="1115"/>
      <c r="CTT19" s="1115"/>
      <c r="CTU19" s="1115"/>
      <c r="CTV19" s="1115"/>
      <c r="CTW19" s="1115"/>
      <c r="CTX19" s="1115"/>
      <c r="CTY19" s="1115"/>
      <c r="CTZ19" s="1115"/>
      <c r="CUA19" s="1115"/>
      <c r="CUB19" s="1115"/>
      <c r="CUC19" s="1115"/>
      <c r="CUD19" s="1115"/>
      <c r="CUE19" s="1115"/>
      <c r="CUF19" s="1115"/>
      <c r="CUG19" s="1115"/>
      <c r="CUH19" s="1115"/>
      <c r="CUI19" s="1115"/>
      <c r="CUJ19" s="1115"/>
      <c r="CUK19" s="1115"/>
      <c r="CUL19" s="1115"/>
      <c r="CUM19" s="1115"/>
      <c r="CUN19" s="1115"/>
      <c r="CUO19" s="1115"/>
      <c r="CUP19" s="1115"/>
      <c r="CUQ19" s="1115"/>
      <c r="CUR19" s="1115"/>
      <c r="CUS19" s="1115"/>
      <c r="CUT19" s="1115"/>
      <c r="CUU19" s="1115"/>
      <c r="CUV19" s="1115"/>
      <c r="CUW19" s="1115"/>
      <c r="CUX19" s="1115"/>
      <c r="CUY19" s="1115"/>
      <c r="CUZ19" s="1115"/>
      <c r="CVA19" s="1115"/>
      <c r="CVB19" s="1115"/>
      <c r="CVC19" s="1115"/>
      <c r="CVD19" s="1115"/>
      <c r="CVE19" s="1115"/>
      <c r="CVF19" s="1115"/>
      <c r="CVG19" s="1115"/>
      <c r="CVH19" s="1115"/>
      <c r="CVI19" s="1115"/>
      <c r="CVJ19" s="1115"/>
      <c r="CVK19" s="1115"/>
      <c r="CVL19" s="1115"/>
      <c r="CVM19" s="1115"/>
      <c r="CVN19" s="1115"/>
      <c r="CVO19" s="1115"/>
      <c r="CVP19" s="1115"/>
      <c r="CVQ19" s="1115"/>
      <c r="CVR19" s="1115"/>
      <c r="CVS19" s="1115"/>
      <c r="CVT19" s="1115"/>
      <c r="CVU19" s="1115"/>
      <c r="CVV19" s="1115"/>
      <c r="CVW19" s="1115"/>
      <c r="CVX19" s="1115"/>
      <c r="CVY19" s="1115"/>
      <c r="CVZ19" s="1115"/>
      <c r="CWA19" s="1115"/>
      <c r="CWB19" s="1115"/>
      <c r="CWC19" s="1115"/>
      <c r="CWD19" s="1115"/>
      <c r="CWE19" s="1115"/>
      <c r="CWF19" s="1115"/>
      <c r="CWG19" s="1115"/>
      <c r="CWH19" s="1115"/>
      <c r="CWI19" s="1115"/>
      <c r="CWJ19" s="1115"/>
      <c r="CWK19" s="1115"/>
      <c r="CWL19" s="1115"/>
      <c r="CWM19" s="1115"/>
      <c r="CWN19" s="1115"/>
      <c r="CWO19" s="1115"/>
      <c r="CWP19" s="1115"/>
      <c r="CWQ19" s="1115"/>
      <c r="CWR19" s="1115"/>
      <c r="CWS19" s="1115"/>
      <c r="CWT19" s="1115"/>
      <c r="CWU19" s="1115"/>
      <c r="CWV19" s="1115"/>
      <c r="CWW19" s="1115"/>
      <c r="CWX19" s="1115"/>
      <c r="CWY19" s="1115"/>
      <c r="CWZ19" s="1115"/>
      <c r="CXA19" s="1115"/>
      <c r="CXB19" s="1115"/>
      <c r="CXC19" s="1115"/>
      <c r="CXD19" s="1115"/>
      <c r="CXE19" s="1115"/>
      <c r="CXF19" s="1115"/>
      <c r="CXG19" s="1115"/>
      <c r="CXH19" s="1115"/>
      <c r="CXI19" s="1115"/>
      <c r="CXJ19" s="1115"/>
      <c r="CXK19" s="1115"/>
      <c r="CXL19" s="1115"/>
      <c r="CXM19" s="1115"/>
      <c r="CXN19" s="1115"/>
      <c r="CXO19" s="1115"/>
      <c r="CXP19" s="1115"/>
      <c r="CXQ19" s="1115"/>
      <c r="CXR19" s="1115"/>
      <c r="CXS19" s="1115"/>
      <c r="CXT19" s="1115"/>
      <c r="CXU19" s="1115"/>
      <c r="CXV19" s="1115"/>
      <c r="CXW19" s="1115"/>
      <c r="CXX19" s="1115"/>
      <c r="CXY19" s="1115"/>
      <c r="CXZ19" s="1115"/>
      <c r="CYA19" s="1115"/>
      <c r="CYB19" s="1115"/>
      <c r="CYC19" s="1115"/>
      <c r="CYD19" s="1115"/>
      <c r="CYE19" s="1115"/>
      <c r="CYF19" s="1115"/>
      <c r="CYG19" s="1115"/>
      <c r="CYH19" s="1115"/>
      <c r="CYI19" s="1115"/>
      <c r="CYJ19" s="1115"/>
      <c r="CYK19" s="1115"/>
      <c r="CYL19" s="1115"/>
      <c r="CYM19" s="1115"/>
      <c r="CYN19" s="1115"/>
      <c r="CYO19" s="1115"/>
      <c r="CYP19" s="1115"/>
      <c r="CYQ19" s="1115"/>
      <c r="CYR19" s="1115"/>
      <c r="CYS19" s="1115"/>
      <c r="CYT19" s="1115"/>
      <c r="CYU19" s="1115"/>
      <c r="CYV19" s="1115"/>
      <c r="CYW19" s="1115"/>
      <c r="CYX19" s="1115"/>
      <c r="CYY19" s="1115"/>
      <c r="CYZ19" s="1115"/>
      <c r="CZA19" s="1115"/>
      <c r="CZB19" s="1115"/>
      <c r="CZC19" s="1115"/>
      <c r="CZD19" s="1115"/>
      <c r="CZE19" s="1115"/>
      <c r="CZF19" s="1115"/>
      <c r="CZG19" s="1115"/>
      <c r="CZH19" s="1115"/>
      <c r="CZI19" s="1115"/>
      <c r="CZJ19" s="1115"/>
      <c r="CZK19" s="1115"/>
      <c r="CZL19" s="1115"/>
      <c r="CZM19" s="1115"/>
      <c r="CZN19" s="1115"/>
      <c r="CZO19" s="1115"/>
      <c r="CZP19" s="1115"/>
      <c r="CZQ19" s="1115"/>
      <c r="CZR19" s="1115"/>
      <c r="CZS19" s="1115"/>
      <c r="CZT19" s="1115"/>
      <c r="CZU19" s="1115"/>
      <c r="CZV19" s="1115"/>
      <c r="CZW19" s="1115"/>
      <c r="CZX19" s="1115"/>
      <c r="CZY19" s="1115"/>
      <c r="CZZ19" s="1115"/>
      <c r="DAA19" s="1115"/>
      <c r="DAB19" s="1115"/>
      <c r="DAC19" s="1115"/>
      <c r="DAD19" s="1115"/>
      <c r="DAE19" s="1115"/>
      <c r="DAF19" s="1115"/>
      <c r="DAG19" s="1115"/>
      <c r="DAH19" s="1115"/>
      <c r="DAI19" s="1115"/>
      <c r="DAJ19" s="1115"/>
      <c r="DAK19" s="1115"/>
      <c r="DAL19" s="1115"/>
      <c r="DAM19" s="1115"/>
      <c r="DAN19" s="1115"/>
      <c r="DAO19" s="1115"/>
      <c r="DAP19" s="1115"/>
      <c r="DAQ19" s="1115"/>
      <c r="DAR19" s="1115"/>
      <c r="DAS19" s="1115"/>
      <c r="DAT19" s="1115"/>
      <c r="DAU19" s="1115"/>
      <c r="DAV19" s="1115"/>
      <c r="DAW19" s="1115"/>
      <c r="DAX19" s="1115"/>
      <c r="DAY19" s="1115"/>
      <c r="DAZ19" s="1115"/>
      <c r="DBA19" s="1115"/>
      <c r="DBB19" s="1115"/>
      <c r="DBC19" s="1115"/>
      <c r="DBD19" s="1115"/>
      <c r="DBE19" s="1115"/>
      <c r="DBF19" s="1115"/>
      <c r="DBG19" s="1115"/>
      <c r="DBH19" s="1115"/>
      <c r="DBI19" s="1115"/>
      <c r="DBJ19" s="1115"/>
      <c r="DBK19" s="1115"/>
      <c r="DBL19" s="1115"/>
      <c r="DBM19" s="1115"/>
      <c r="DBN19" s="1115"/>
      <c r="DBO19" s="1115"/>
      <c r="DBP19" s="1115"/>
      <c r="DBQ19" s="1115"/>
      <c r="DBR19" s="1115"/>
      <c r="DBS19" s="1115"/>
      <c r="DBT19" s="1115"/>
      <c r="DBU19" s="1115"/>
      <c r="DBV19" s="1115"/>
      <c r="DBW19" s="1115"/>
      <c r="DBX19" s="1115"/>
      <c r="DBY19" s="1115"/>
      <c r="DBZ19" s="1115"/>
      <c r="DCA19" s="1115"/>
      <c r="DCB19" s="1115"/>
      <c r="DCC19" s="1115"/>
      <c r="DCD19" s="1115"/>
      <c r="DCE19" s="1115"/>
      <c r="DCF19" s="1115"/>
      <c r="DCG19" s="1115"/>
      <c r="DCH19" s="1115"/>
      <c r="DCI19" s="1115"/>
      <c r="DCJ19" s="1115"/>
      <c r="DCK19" s="1115"/>
      <c r="DCL19" s="1115"/>
      <c r="DCM19" s="1115"/>
      <c r="DCN19" s="1115"/>
      <c r="DCO19" s="1115"/>
      <c r="DCP19" s="1115"/>
      <c r="DCQ19" s="1115"/>
      <c r="DCR19" s="1115"/>
      <c r="DCS19" s="1115"/>
      <c r="DCT19" s="1115"/>
      <c r="DCU19" s="1115"/>
      <c r="DCV19" s="1115"/>
      <c r="DCW19" s="1115"/>
      <c r="DCX19" s="1115"/>
      <c r="DCY19" s="1115"/>
      <c r="DCZ19" s="1115"/>
      <c r="DDA19" s="1115"/>
      <c r="DDB19" s="1115"/>
      <c r="DDC19" s="1115"/>
      <c r="DDD19" s="1115"/>
      <c r="DDE19" s="1115"/>
      <c r="DDF19" s="1115"/>
      <c r="DDG19" s="1115"/>
      <c r="DDH19" s="1115"/>
      <c r="DDI19" s="1115"/>
      <c r="DDJ19" s="1115"/>
      <c r="DDK19" s="1115"/>
      <c r="DDL19" s="1115"/>
      <c r="DDM19" s="1115"/>
      <c r="DDN19" s="1115"/>
      <c r="DDO19" s="1115"/>
      <c r="DDP19" s="1115"/>
      <c r="DDQ19" s="1115"/>
      <c r="DDR19" s="1115"/>
      <c r="DDS19" s="1115"/>
      <c r="DDT19" s="1115"/>
      <c r="DDU19" s="1115"/>
      <c r="DDV19" s="1115"/>
      <c r="DDW19" s="1115"/>
      <c r="DDX19" s="1115"/>
      <c r="DDY19" s="1115"/>
      <c r="DDZ19" s="1115"/>
      <c r="DEA19" s="1115"/>
      <c r="DEB19" s="1115"/>
      <c r="DEC19" s="1115"/>
      <c r="DED19" s="1115"/>
      <c r="DEE19" s="1115"/>
      <c r="DEF19" s="1115"/>
      <c r="DEG19" s="1115"/>
      <c r="DEH19" s="1115"/>
      <c r="DEI19" s="1115"/>
      <c r="DEJ19" s="1115"/>
      <c r="DEK19" s="1115"/>
      <c r="DEL19" s="1115"/>
      <c r="DEM19" s="1115"/>
      <c r="DEN19" s="1115"/>
      <c r="DEO19" s="1115"/>
      <c r="DEP19" s="1115"/>
      <c r="DEQ19" s="1115"/>
      <c r="DER19" s="1115"/>
      <c r="DES19" s="1115"/>
      <c r="DET19" s="1115"/>
      <c r="DEU19" s="1115"/>
      <c r="DEV19" s="1115"/>
      <c r="DEW19" s="1115"/>
      <c r="DEX19" s="1115"/>
      <c r="DEY19" s="1115"/>
      <c r="DEZ19" s="1115"/>
      <c r="DFA19" s="1115"/>
      <c r="DFB19" s="1115"/>
      <c r="DFC19" s="1115"/>
      <c r="DFD19" s="1115"/>
      <c r="DFE19" s="1115"/>
      <c r="DFF19" s="1115"/>
      <c r="DFG19" s="1115"/>
      <c r="DFH19" s="1115"/>
      <c r="DFI19" s="1115"/>
      <c r="DFJ19" s="1115"/>
      <c r="DFK19" s="1115"/>
      <c r="DFL19" s="1115"/>
      <c r="DFM19" s="1115"/>
      <c r="DFN19" s="1115"/>
      <c r="DFO19" s="1115"/>
      <c r="DFP19" s="1115"/>
      <c r="DFQ19" s="1115"/>
      <c r="DFR19" s="1115"/>
      <c r="DFS19" s="1115"/>
      <c r="DFT19" s="1115"/>
      <c r="DFU19" s="1115"/>
      <c r="DFV19" s="1115"/>
      <c r="DFW19" s="1115"/>
      <c r="DFX19" s="1115"/>
      <c r="DFY19" s="1115"/>
      <c r="DFZ19" s="1115"/>
      <c r="DGA19" s="1115"/>
      <c r="DGB19" s="1115"/>
      <c r="DGC19" s="1115"/>
      <c r="DGD19" s="1115"/>
      <c r="DGE19" s="1115"/>
      <c r="DGF19" s="1115"/>
      <c r="DGG19" s="1115"/>
      <c r="DGH19" s="1115"/>
      <c r="DGI19" s="1115"/>
      <c r="DGJ19" s="1115"/>
      <c r="DGK19" s="1115"/>
      <c r="DGL19" s="1115"/>
      <c r="DGM19" s="1115"/>
      <c r="DGN19" s="1115"/>
      <c r="DGO19" s="1115"/>
      <c r="DGP19" s="1115"/>
      <c r="DGQ19" s="1115"/>
      <c r="DGR19" s="1115"/>
      <c r="DGS19" s="1115"/>
      <c r="DGT19" s="1115"/>
      <c r="DGU19" s="1115"/>
      <c r="DGV19" s="1115"/>
      <c r="DGW19" s="1115"/>
      <c r="DGX19" s="1115"/>
      <c r="DGY19" s="1115"/>
      <c r="DGZ19" s="1115"/>
      <c r="DHA19" s="1115"/>
      <c r="DHB19" s="1115"/>
      <c r="DHC19" s="1115"/>
      <c r="DHD19" s="1115"/>
      <c r="DHE19" s="1115"/>
      <c r="DHF19" s="1115"/>
      <c r="DHG19" s="1115"/>
      <c r="DHH19" s="1115"/>
      <c r="DHI19" s="1115"/>
      <c r="DHJ19" s="1115"/>
      <c r="DHK19" s="1115"/>
      <c r="DHL19" s="1115"/>
      <c r="DHM19" s="1115"/>
      <c r="DHN19" s="1115"/>
      <c r="DHO19" s="1115"/>
      <c r="DHP19" s="1115"/>
      <c r="DHQ19" s="1115"/>
      <c r="DHR19" s="1115"/>
      <c r="DHS19" s="1115"/>
      <c r="DHT19" s="1115"/>
      <c r="DHU19" s="1115"/>
      <c r="DHV19" s="1115"/>
      <c r="DHW19" s="1115"/>
      <c r="DHX19" s="1115"/>
      <c r="DHY19" s="1115"/>
      <c r="DHZ19" s="1115"/>
      <c r="DIA19" s="1115"/>
      <c r="DIB19" s="1115"/>
      <c r="DIC19" s="1115"/>
      <c r="DID19" s="1115"/>
      <c r="DIE19" s="1115"/>
      <c r="DIF19" s="1115"/>
      <c r="DIG19" s="1115"/>
      <c r="DIH19" s="1115"/>
      <c r="DII19" s="1115"/>
      <c r="DIJ19" s="1115"/>
      <c r="DIK19" s="1115"/>
      <c r="DIL19" s="1115"/>
      <c r="DIM19" s="1115"/>
      <c r="DIN19" s="1115"/>
      <c r="DIO19" s="1115"/>
      <c r="DIP19" s="1115"/>
      <c r="DIQ19" s="1115"/>
      <c r="DIR19" s="1115"/>
      <c r="DIS19" s="1115"/>
      <c r="DIT19" s="1115"/>
      <c r="DIU19" s="1115"/>
      <c r="DIV19" s="1115"/>
      <c r="DIW19" s="1115"/>
      <c r="DIX19" s="1115"/>
      <c r="DIY19" s="1115"/>
      <c r="DIZ19" s="1115"/>
      <c r="DJA19" s="1115"/>
      <c r="DJB19" s="1115"/>
      <c r="DJC19" s="1115"/>
      <c r="DJD19" s="1115"/>
      <c r="DJE19" s="1115"/>
      <c r="DJF19" s="1115"/>
      <c r="DJG19" s="1115"/>
      <c r="DJH19" s="1115"/>
      <c r="DJI19" s="1115"/>
      <c r="DJJ19" s="1115"/>
      <c r="DJK19" s="1115"/>
      <c r="DJL19" s="1115"/>
      <c r="DJM19" s="1115"/>
      <c r="DJN19" s="1115"/>
      <c r="DJO19" s="1115"/>
      <c r="DJP19" s="1115"/>
      <c r="DJQ19" s="1115"/>
      <c r="DJR19" s="1115"/>
      <c r="DJS19" s="1115"/>
      <c r="DJT19" s="1115"/>
      <c r="DJU19" s="1115"/>
      <c r="DJV19" s="1115"/>
      <c r="DJW19" s="1115"/>
      <c r="DJX19" s="1115"/>
      <c r="DJY19" s="1115"/>
      <c r="DJZ19" s="1115"/>
      <c r="DKA19" s="1115"/>
      <c r="DKB19" s="1115"/>
      <c r="DKC19" s="1115"/>
      <c r="DKD19" s="1115"/>
      <c r="DKE19" s="1115"/>
      <c r="DKF19" s="1115"/>
      <c r="DKG19" s="1115"/>
      <c r="DKH19" s="1115"/>
      <c r="DKI19" s="1115"/>
      <c r="DKJ19" s="1115"/>
      <c r="DKK19" s="1115"/>
      <c r="DKL19" s="1115"/>
      <c r="DKM19" s="1115"/>
      <c r="DKN19" s="1115"/>
      <c r="DKO19" s="1115"/>
      <c r="DKP19" s="1115"/>
      <c r="DKQ19" s="1115"/>
      <c r="DKR19" s="1115"/>
      <c r="DKS19" s="1115"/>
      <c r="DKT19" s="1115"/>
      <c r="DKU19" s="1115"/>
      <c r="DKV19" s="1115"/>
      <c r="DKW19" s="1115"/>
      <c r="DKX19" s="1115"/>
      <c r="DKY19" s="1115"/>
      <c r="DKZ19" s="1115"/>
      <c r="DLA19" s="1115"/>
      <c r="DLB19" s="1115"/>
      <c r="DLC19" s="1115"/>
      <c r="DLD19" s="1115"/>
      <c r="DLE19" s="1115"/>
      <c r="DLF19" s="1115"/>
      <c r="DLG19" s="1115"/>
      <c r="DLH19" s="1115"/>
      <c r="DLI19" s="1115"/>
      <c r="DLJ19" s="1115"/>
      <c r="DLK19" s="1115"/>
      <c r="DLL19" s="1115"/>
      <c r="DLM19" s="1115"/>
      <c r="DLN19" s="1115"/>
      <c r="DLO19" s="1115"/>
      <c r="DLP19" s="1115"/>
      <c r="DLQ19" s="1115"/>
      <c r="DLR19" s="1115"/>
      <c r="DLS19" s="1115"/>
      <c r="DLT19" s="1115"/>
      <c r="DLU19" s="1115"/>
      <c r="DLV19" s="1115"/>
      <c r="DLW19" s="1115"/>
      <c r="DLX19" s="1115"/>
      <c r="DLY19" s="1115"/>
      <c r="DLZ19" s="1115"/>
      <c r="DMA19" s="1115"/>
      <c r="DMB19" s="1115"/>
      <c r="DMC19" s="1115"/>
      <c r="DMD19" s="1115"/>
      <c r="DME19" s="1115"/>
      <c r="DMF19" s="1115"/>
      <c r="DMG19" s="1115"/>
      <c r="DMH19" s="1115"/>
      <c r="DMI19" s="1115"/>
      <c r="DMJ19" s="1115"/>
      <c r="DMK19" s="1115"/>
      <c r="DML19" s="1115"/>
      <c r="DMM19" s="1115"/>
      <c r="DMN19" s="1115"/>
      <c r="DMO19" s="1115"/>
      <c r="DMP19" s="1115"/>
      <c r="DMQ19" s="1115"/>
      <c r="DMR19" s="1115"/>
      <c r="DMS19" s="1115"/>
      <c r="DMT19" s="1115"/>
      <c r="DMU19" s="1115"/>
      <c r="DMV19" s="1115"/>
      <c r="DMW19" s="1115"/>
      <c r="DMX19" s="1115"/>
      <c r="DMY19" s="1115"/>
      <c r="DMZ19" s="1115"/>
      <c r="DNA19" s="1115"/>
      <c r="DNB19" s="1115"/>
      <c r="DNC19" s="1115"/>
      <c r="DND19" s="1115"/>
      <c r="DNE19" s="1115"/>
      <c r="DNF19" s="1115"/>
      <c r="DNG19" s="1115"/>
      <c r="DNH19" s="1115"/>
      <c r="DNI19" s="1115"/>
      <c r="DNJ19" s="1115"/>
      <c r="DNK19" s="1115"/>
      <c r="DNL19" s="1115"/>
      <c r="DNM19" s="1115"/>
      <c r="DNN19" s="1115"/>
      <c r="DNO19" s="1115"/>
      <c r="DNP19" s="1115"/>
      <c r="DNQ19" s="1115"/>
      <c r="DNR19" s="1115"/>
      <c r="DNS19" s="1115"/>
      <c r="DNT19" s="1115"/>
      <c r="DNU19" s="1115"/>
      <c r="DNV19" s="1115"/>
      <c r="DNW19" s="1115"/>
      <c r="DNX19" s="1115"/>
      <c r="DNY19" s="1115"/>
      <c r="DNZ19" s="1115"/>
      <c r="DOA19" s="1115"/>
      <c r="DOB19" s="1115"/>
      <c r="DOC19" s="1115"/>
      <c r="DOD19" s="1115"/>
      <c r="DOE19" s="1115"/>
      <c r="DOF19" s="1115"/>
      <c r="DOG19" s="1115"/>
      <c r="DOH19" s="1115"/>
      <c r="DOI19" s="1115"/>
      <c r="DOJ19" s="1115"/>
      <c r="DOK19" s="1115"/>
      <c r="DOL19" s="1115"/>
      <c r="DOM19" s="1115"/>
      <c r="DON19" s="1115"/>
      <c r="DOO19" s="1115"/>
      <c r="DOP19" s="1115"/>
      <c r="DOQ19" s="1115"/>
      <c r="DOR19" s="1115"/>
      <c r="DOS19" s="1115"/>
      <c r="DOT19" s="1115"/>
      <c r="DOU19" s="1115"/>
      <c r="DOV19" s="1115"/>
      <c r="DOW19" s="1115"/>
      <c r="DOX19" s="1115"/>
      <c r="DOY19" s="1115"/>
      <c r="DOZ19" s="1115"/>
      <c r="DPA19" s="1115"/>
      <c r="DPB19" s="1115"/>
      <c r="DPC19" s="1115"/>
      <c r="DPD19" s="1115"/>
      <c r="DPE19" s="1115"/>
      <c r="DPF19" s="1115"/>
      <c r="DPG19" s="1115"/>
      <c r="DPH19" s="1115"/>
      <c r="DPI19" s="1115"/>
      <c r="DPJ19" s="1115"/>
      <c r="DPK19" s="1115"/>
      <c r="DPL19" s="1115"/>
      <c r="DPM19" s="1115"/>
      <c r="DPN19" s="1115"/>
      <c r="DPO19" s="1115"/>
      <c r="DPP19" s="1115"/>
      <c r="DPQ19" s="1115"/>
      <c r="DPR19" s="1115"/>
      <c r="DPS19" s="1115"/>
      <c r="DPT19" s="1115"/>
      <c r="DPU19" s="1115"/>
      <c r="DPV19" s="1115"/>
      <c r="DPW19" s="1115"/>
      <c r="DPX19" s="1115"/>
      <c r="DPY19" s="1115"/>
      <c r="DPZ19" s="1115"/>
      <c r="DQA19" s="1115"/>
      <c r="DQB19" s="1115"/>
      <c r="DQC19" s="1115"/>
      <c r="DQD19" s="1115"/>
      <c r="DQE19" s="1115"/>
      <c r="DQF19" s="1115"/>
      <c r="DQG19" s="1115"/>
      <c r="DQH19" s="1115"/>
      <c r="DQI19" s="1115"/>
      <c r="DQJ19" s="1115"/>
      <c r="DQK19" s="1115"/>
      <c r="DQL19" s="1115"/>
      <c r="DQM19" s="1115"/>
      <c r="DQN19" s="1115"/>
      <c r="DQO19" s="1115"/>
      <c r="DQP19" s="1115"/>
      <c r="DQQ19" s="1115"/>
      <c r="DQR19" s="1115"/>
      <c r="DQS19" s="1115"/>
      <c r="DQT19" s="1115"/>
      <c r="DQU19" s="1115"/>
      <c r="DQV19" s="1115"/>
      <c r="DQW19" s="1115"/>
      <c r="DQX19" s="1115"/>
      <c r="DQY19" s="1115"/>
      <c r="DQZ19" s="1115"/>
      <c r="DRA19" s="1115"/>
      <c r="DRB19" s="1115"/>
      <c r="DRC19" s="1115"/>
      <c r="DRD19" s="1115"/>
      <c r="DRE19" s="1115"/>
      <c r="DRF19" s="1115"/>
      <c r="DRG19" s="1115"/>
      <c r="DRH19" s="1115"/>
      <c r="DRI19" s="1115"/>
      <c r="DRJ19" s="1115"/>
      <c r="DRK19" s="1115"/>
      <c r="DRL19" s="1115"/>
      <c r="DRM19" s="1115"/>
      <c r="DRN19" s="1115"/>
      <c r="DRO19" s="1115"/>
      <c r="DRP19" s="1115"/>
      <c r="DRQ19" s="1115"/>
      <c r="DRR19" s="1115"/>
      <c r="DRS19" s="1115"/>
      <c r="DRT19" s="1115"/>
      <c r="DRU19" s="1115"/>
      <c r="DRV19" s="1115"/>
      <c r="DRW19" s="1115"/>
      <c r="DRX19" s="1115"/>
      <c r="DRY19" s="1115"/>
      <c r="DRZ19" s="1115"/>
      <c r="DSA19" s="1115"/>
      <c r="DSB19" s="1115"/>
      <c r="DSC19" s="1115"/>
      <c r="DSD19" s="1115"/>
      <c r="DSE19" s="1115"/>
      <c r="DSF19" s="1115"/>
      <c r="DSG19" s="1115"/>
      <c r="DSH19" s="1115"/>
      <c r="DSI19" s="1115"/>
      <c r="DSJ19" s="1115"/>
      <c r="DSK19" s="1115"/>
      <c r="DSL19" s="1115"/>
      <c r="DSM19" s="1115"/>
      <c r="DSN19" s="1115"/>
      <c r="DSO19" s="1115"/>
      <c r="DSP19" s="1115"/>
      <c r="DSQ19" s="1115"/>
      <c r="DSR19" s="1115"/>
      <c r="DSS19" s="1115"/>
      <c r="DST19" s="1115"/>
      <c r="DSU19" s="1115"/>
      <c r="DSV19" s="1115"/>
      <c r="DSW19" s="1115"/>
      <c r="DSX19" s="1115"/>
      <c r="DSY19" s="1115"/>
      <c r="DSZ19" s="1115"/>
      <c r="DTA19" s="1115"/>
      <c r="DTB19" s="1115"/>
      <c r="DTC19" s="1115"/>
      <c r="DTD19" s="1115"/>
      <c r="DTE19" s="1115"/>
      <c r="DTF19" s="1115"/>
      <c r="DTG19" s="1115"/>
      <c r="DTH19" s="1115"/>
      <c r="DTI19" s="1115"/>
      <c r="DTJ19" s="1115"/>
      <c r="DTK19" s="1115"/>
      <c r="DTL19" s="1115"/>
      <c r="DTM19" s="1115"/>
      <c r="DTN19" s="1115"/>
      <c r="DTO19" s="1115"/>
      <c r="DTP19" s="1115"/>
      <c r="DTQ19" s="1115"/>
      <c r="DTR19" s="1115"/>
      <c r="DTS19" s="1115"/>
      <c r="DTT19" s="1115"/>
      <c r="DTU19" s="1115"/>
      <c r="DTV19" s="1115"/>
      <c r="DTW19" s="1115"/>
      <c r="DTX19" s="1115"/>
      <c r="DTY19" s="1115"/>
      <c r="DTZ19" s="1115"/>
      <c r="DUA19" s="1115"/>
      <c r="DUB19" s="1115"/>
      <c r="DUC19" s="1115"/>
      <c r="DUD19" s="1115"/>
      <c r="DUE19" s="1115"/>
      <c r="DUF19" s="1115"/>
      <c r="DUG19" s="1115"/>
      <c r="DUH19" s="1115"/>
      <c r="DUI19" s="1115"/>
      <c r="DUJ19" s="1115"/>
      <c r="DUK19" s="1115"/>
      <c r="DUL19" s="1115"/>
      <c r="DUM19" s="1115"/>
      <c r="DUN19" s="1115"/>
      <c r="DUO19" s="1115"/>
      <c r="DUP19" s="1115"/>
      <c r="DUQ19" s="1115"/>
      <c r="DUR19" s="1115"/>
      <c r="DUS19" s="1115"/>
      <c r="DUT19" s="1115"/>
      <c r="DUU19" s="1115"/>
      <c r="DUV19" s="1115"/>
      <c r="DUW19" s="1115"/>
      <c r="DUX19" s="1115"/>
      <c r="DUY19" s="1115"/>
      <c r="DUZ19" s="1115"/>
      <c r="DVA19" s="1115"/>
      <c r="DVB19" s="1115"/>
      <c r="DVC19" s="1115"/>
      <c r="DVD19" s="1115"/>
      <c r="DVE19" s="1115"/>
      <c r="DVF19" s="1115"/>
      <c r="DVG19" s="1115"/>
      <c r="DVH19" s="1115"/>
      <c r="DVI19" s="1115"/>
      <c r="DVJ19" s="1115"/>
      <c r="DVK19" s="1115"/>
      <c r="DVL19" s="1115"/>
      <c r="DVM19" s="1115"/>
      <c r="DVN19" s="1115"/>
      <c r="DVO19" s="1115"/>
      <c r="DVP19" s="1115"/>
      <c r="DVQ19" s="1115"/>
      <c r="DVR19" s="1115"/>
      <c r="DVS19" s="1115"/>
      <c r="DVT19" s="1115"/>
      <c r="DVU19" s="1115"/>
      <c r="DVV19" s="1115"/>
      <c r="DVW19" s="1115"/>
      <c r="DVX19" s="1115"/>
      <c r="DVY19" s="1115"/>
      <c r="DVZ19" s="1115"/>
      <c r="DWA19" s="1115"/>
      <c r="DWB19" s="1115"/>
      <c r="DWC19" s="1115"/>
      <c r="DWD19" s="1115"/>
      <c r="DWE19" s="1115"/>
      <c r="DWF19" s="1115"/>
      <c r="DWG19" s="1115"/>
      <c r="DWH19" s="1115"/>
      <c r="DWI19" s="1115"/>
      <c r="DWJ19" s="1115"/>
      <c r="DWK19" s="1115"/>
      <c r="DWL19" s="1115"/>
      <c r="DWM19" s="1115"/>
      <c r="DWN19" s="1115"/>
      <c r="DWO19" s="1115"/>
      <c r="DWP19" s="1115"/>
      <c r="DWQ19" s="1115"/>
      <c r="DWR19" s="1115"/>
      <c r="DWS19" s="1115"/>
      <c r="DWT19" s="1115"/>
      <c r="DWU19" s="1115"/>
      <c r="DWV19" s="1115"/>
      <c r="DWW19" s="1115"/>
      <c r="DWX19" s="1115"/>
      <c r="DWY19" s="1115"/>
      <c r="DWZ19" s="1115"/>
      <c r="DXA19" s="1115"/>
      <c r="DXB19" s="1115"/>
      <c r="DXC19" s="1115"/>
      <c r="DXD19" s="1115"/>
      <c r="DXE19" s="1115"/>
      <c r="DXF19" s="1115"/>
      <c r="DXG19" s="1115"/>
      <c r="DXH19" s="1115"/>
      <c r="DXI19" s="1115"/>
      <c r="DXJ19" s="1115"/>
      <c r="DXK19" s="1115"/>
      <c r="DXL19" s="1115"/>
      <c r="DXM19" s="1115"/>
      <c r="DXN19" s="1115"/>
      <c r="DXO19" s="1115"/>
      <c r="DXP19" s="1115"/>
      <c r="DXQ19" s="1115"/>
      <c r="DXR19" s="1115"/>
      <c r="DXS19" s="1115"/>
      <c r="DXT19" s="1115"/>
      <c r="DXU19" s="1115"/>
      <c r="DXV19" s="1115"/>
      <c r="DXW19" s="1115"/>
      <c r="DXX19" s="1115"/>
      <c r="DXY19" s="1115"/>
      <c r="DXZ19" s="1115"/>
      <c r="DYA19" s="1115"/>
      <c r="DYB19" s="1115"/>
      <c r="DYC19" s="1115"/>
      <c r="DYD19" s="1115"/>
      <c r="DYE19" s="1115"/>
      <c r="DYF19" s="1115"/>
      <c r="DYG19" s="1115"/>
      <c r="DYH19" s="1115"/>
      <c r="DYI19" s="1115"/>
      <c r="DYJ19" s="1115"/>
      <c r="DYK19" s="1115"/>
      <c r="DYL19" s="1115"/>
      <c r="DYM19" s="1115"/>
      <c r="DYN19" s="1115"/>
      <c r="DYO19" s="1115"/>
      <c r="DYP19" s="1115"/>
      <c r="DYQ19" s="1115"/>
      <c r="DYR19" s="1115"/>
      <c r="DYS19" s="1115"/>
      <c r="DYT19" s="1115"/>
      <c r="DYU19" s="1115"/>
      <c r="DYV19" s="1115"/>
      <c r="DYW19" s="1115"/>
      <c r="DYX19" s="1115"/>
      <c r="DYY19" s="1115"/>
      <c r="DYZ19" s="1115"/>
      <c r="DZA19" s="1115"/>
      <c r="DZB19" s="1115"/>
      <c r="DZC19" s="1115"/>
      <c r="DZD19" s="1115"/>
      <c r="DZE19" s="1115"/>
      <c r="DZF19" s="1115"/>
      <c r="DZG19" s="1115"/>
      <c r="DZH19" s="1115"/>
      <c r="DZI19" s="1115"/>
      <c r="DZJ19" s="1115"/>
      <c r="DZK19" s="1115"/>
      <c r="DZL19" s="1115"/>
      <c r="DZM19" s="1115"/>
      <c r="DZN19" s="1115"/>
      <c r="DZO19" s="1115"/>
      <c r="DZP19" s="1115"/>
      <c r="DZQ19" s="1115"/>
      <c r="DZR19" s="1115"/>
      <c r="DZS19" s="1115"/>
      <c r="DZT19" s="1115"/>
      <c r="DZU19" s="1115"/>
      <c r="DZV19" s="1115"/>
      <c r="DZW19" s="1115"/>
      <c r="DZX19" s="1115"/>
      <c r="DZY19" s="1115"/>
      <c r="DZZ19" s="1115"/>
      <c r="EAA19" s="1115"/>
      <c r="EAB19" s="1115"/>
      <c r="EAC19" s="1115"/>
      <c r="EAD19" s="1115"/>
      <c r="EAE19" s="1115"/>
      <c r="EAF19" s="1115"/>
      <c r="EAG19" s="1115"/>
      <c r="EAH19" s="1115"/>
      <c r="EAI19" s="1115"/>
      <c r="EAJ19" s="1115"/>
      <c r="EAK19" s="1115"/>
      <c r="EAL19" s="1115"/>
      <c r="EAM19" s="1115"/>
      <c r="EAN19" s="1115"/>
      <c r="EAO19" s="1115"/>
      <c r="EAP19" s="1115"/>
      <c r="EAQ19" s="1115"/>
      <c r="EAR19" s="1115"/>
      <c r="EAS19" s="1115"/>
      <c r="EAT19" s="1115"/>
      <c r="EAU19" s="1115"/>
      <c r="EAV19" s="1115"/>
      <c r="EAW19" s="1115"/>
      <c r="EAX19" s="1115"/>
      <c r="EAY19" s="1115"/>
      <c r="EAZ19" s="1115"/>
      <c r="EBA19" s="1115"/>
      <c r="EBB19" s="1115"/>
      <c r="EBC19" s="1115"/>
      <c r="EBD19" s="1115"/>
      <c r="EBE19" s="1115"/>
      <c r="EBF19" s="1115"/>
      <c r="EBG19" s="1115"/>
      <c r="EBH19" s="1115"/>
      <c r="EBI19" s="1115"/>
      <c r="EBJ19" s="1115"/>
      <c r="EBK19" s="1115"/>
      <c r="EBL19" s="1115"/>
      <c r="EBM19" s="1115"/>
      <c r="EBN19" s="1115"/>
      <c r="EBO19" s="1115"/>
      <c r="EBP19" s="1115"/>
      <c r="EBQ19" s="1115"/>
      <c r="EBR19" s="1115"/>
      <c r="EBS19" s="1115"/>
      <c r="EBT19" s="1115"/>
      <c r="EBU19" s="1115"/>
      <c r="EBV19" s="1115"/>
      <c r="EBW19" s="1115"/>
      <c r="EBX19" s="1115"/>
      <c r="EBY19" s="1115"/>
      <c r="EBZ19" s="1115"/>
      <c r="ECA19" s="1115"/>
      <c r="ECB19" s="1115"/>
      <c r="ECC19" s="1115"/>
      <c r="ECD19" s="1115"/>
      <c r="ECE19" s="1115"/>
      <c r="ECF19" s="1115"/>
      <c r="ECG19" s="1115"/>
      <c r="ECH19" s="1115"/>
      <c r="ECI19" s="1115"/>
      <c r="ECJ19" s="1115"/>
      <c r="ECK19" s="1115"/>
      <c r="ECL19" s="1115"/>
      <c r="ECM19" s="1115"/>
      <c r="ECN19" s="1115"/>
      <c r="ECO19" s="1115"/>
      <c r="ECP19" s="1115"/>
      <c r="ECQ19" s="1115"/>
      <c r="ECR19" s="1115"/>
      <c r="ECS19" s="1115"/>
      <c r="ECT19" s="1115"/>
      <c r="ECU19" s="1115"/>
      <c r="ECV19" s="1115"/>
      <c r="ECW19" s="1115"/>
      <c r="ECX19" s="1115"/>
      <c r="ECY19" s="1115"/>
      <c r="ECZ19" s="1115"/>
      <c r="EDA19" s="1115"/>
      <c r="EDB19" s="1115"/>
      <c r="EDC19" s="1115"/>
      <c r="EDD19" s="1115"/>
      <c r="EDE19" s="1115"/>
      <c r="EDF19" s="1115"/>
      <c r="EDG19" s="1115"/>
      <c r="EDH19" s="1115"/>
      <c r="EDI19" s="1115"/>
      <c r="EDJ19" s="1115"/>
      <c r="EDK19" s="1115"/>
      <c r="EDL19" s="1115"/>
      <c r="EDM19" s="1115"/>
      <c r="EDN19" s="1115"/>
      <c r="EDO19" s="1115"/>
      <c r="EDP19" s="1115"/>
      <c r="EDQ19" s="1115"/>
      <c r="EDR19" s="1115"/>
      <c r="EDS19" s="1115"/>
      <c r="EDT19" s="1115"/>
      <c r="EDU19" s="1115"/>
      <c r="EDV19" s="1115"/>
      <c r="EDW19" s="1115"/>
      <c r="EDX19" s="1115"/>
      <c r="EDY19" s="1115"/>
      <c r="EDZ19" s="1115"/>
      <c r="EEA19" s="1115"/>
      <c r="EEB19" s="1115"/>
      <c r="EEC19" s="1115"/>
      <c r="EED19" s="1115"/>
      <c r="EEE19" s="1115"/>
      <c r="EEF19" s="1115"/>
      <c r="EEG19" s="1115"/>
      <c r="EEH19" s="1115"/>
      <c r="EEI19" s="1115"/>
      <c r="EEJ19" s="1115"/>
      <c r="EEK19" s="1115"/>
      <c r="EEL19" s="1115"/>
      <c r="EEM19" s="1115"/>
      <c r="EEN19" s="1115"/>
      <c r="EEO19" s="1115"/>
      <c r="EEP19" s="1115"/>
      <c r="EEQ19" s="1115"/>
      <c r="EER19" s="1115"/>
      <c r="EES19" s="1115"/>
      <c r="EET19" s="1115"/>
      <c r="EEU19" s="1115"/>
      <c r="EEV19" s="1115"/>
      <c r="EEW19" s="1115"/>
      <c r="EEX19" s="1115"/>
      <c r="EEY19" s="1115"/>
      <c r="EEZ19" s="1115"/>
      <c r="EFA19" s="1115"/>
      <c r="EFB19" s="1115"/>
      <c r="EFC19" s="1115"/>
      <c r="EFD19" s="1115"/>
      <c r="EFE19" s="1115"/>
      <c r="EFF19" s="1115"/>
      <c r="EFG19" s="1115"/>
      <c r="EFH19" s="1115"/>
      <c r="EFI19" s="1115"/>
      <c r="EFJ19" s="1115"/>
      <c r="EFK19" s="1115"/>
      <c r="EFL19" s="1115"/>
      <c r="EFM19" s="1115"/>
      <c r="EFN19" s="1115"/>
      <c r="EFO19" s="1115"/>
      <c r="EFP19" s="1115"/>
      <c r="EFQ19" s="1115"/>
      <c r="EFR19" s="1115"/>
      <c r="EFS19" s="1115"/>
      <c r="EFT19" s="1115"/>
      <c r="EFU19" s="1115"/>
      <c r="EFV19" s="1115"/>
      <c r="EFW19" s="1115"/>
      <c r="EFX19" s="1115"/>
      <c r="EFY19" s="1115"/>
      <c r="EFZ19" s="1115"/>
      <c r="EGA19" s="1115"/>
      <c r="EGB19" s="1115"/>
      <c r="EGC19" s="1115"/>
      <c r="EGD19" s="1115"/>
      <c r="EGE19" s="1115"/>
      <c r="EGF19" s="1115"/>
      <c r="EGG19" s="1115"/>
      <c r="EGH19" s="1115"/>
      <c r="EGI19" s="1115"/>
      <c r="EGJ19" s="1115"/>
      <c r="EGK19" s="1115"/>
      <c r="EGL19" s="1115"/>
      <c r="EGM19" s="1115"/>
      <c r="EGN19" s="1115"/>
      <c r="EGO19" s="1115"/>
      <c r="EGP19" s="1115"/>
      <c r="EGQ19" s="1115"/>
      <c r="EGR19" s="1115"/>
      <c r="EGS19" s="1115"/>
      <c r="EGT19" s="1115"/>
      <c r="EGU19" s="1115"/>
      <c r="EGV19" s="1115"/>
      <c r="EGW19" s="1115"/>
      <c r="EGX19" s="1115"/>
      <c r="EGY19" s="1115"/>
      <c r="EGZ19" s="1115"/>
      <c r="EHA19" s="1115"/>
      <c r="EHB19" s="1115"/>
      <c r="EHC19" s="1115"/>
      <c r="EHD19" s="1115"/>
      <c r="EHE19" s="1115"/>
      <c r="EHF19" s="1115"/>
      <c r="EHG19" s="1115"/>
      <c r="EHH19" s="1115"/>
      <c r="EHI19" s="1115"/>
      <c r="EHJ19" s="1115"/>
      <c r="EHK19" s="1115"/>
      <c r="EHL19" s="1115"/>
      <c r="EHM19" s="1115"/>
      <c r="EHN19" s="1115"/>
      <c r="EHO19" s="1115"/>
      <c r="EHP19" s="1115"/>
      <c r="EHQ19" s="1115"/>
      <c r="EHR19" s="1115"/>
      <c r="EHS19" s="1115"/>
      <c r="EHT19" s="1115"/>
      <c r="EHU19" s="1115"/>
      <c r="EHV19" s="1115"/>
      <c r="EHW19" s="1115"/>
      <c r="EHX19" s="1115"/>
      <c r="EHY19" s="1115"/>
      <c r="EHZ19" s="1115"/>
      <c r="EIA19" s="1115"/>
      <c r="EIB19" s="1115"/>
      <c r="EIC19" s="1115"/>
      <c r="EID19" s="1115"/>
      <c r="EIE19" s="1115"/>
      <c r="EIF19" s="1115"/>
      <c r="EIG19" s="1115"/>
      <c r="EIH19" s="1115"/>
      <c r="EII19" s="1115"/>
      <c r="EIJ19" s="1115"/>
      <c r="EIK19" s="1115"/>
      <c r="EIL19" s="1115"/>
      <c r="EIM19" s="1115"/>
      <c r="EIN19" s="1115"/>
      <c r="EIO19" s="1115"/>
      <c r="EIP19" s="1115"/>
      <c r="EIQ19" s="1115"/>
      <c r="EIR19" s="1115"/>
      <c r="EIS19" s="1115"/>
      <c r="EIT19" s="1115"/>
      <c r="EIU19" s="1115"/>
      <c r="EIV19" s="1115"/>
      <c r="EIW19" s="1115"/>
      <c r="EIX19" s="1115"/>
      <c r="EIY19" s="1115"/>
      <c r="EIZ19" s="1115"/>
      <c r="EJA19" s="1115"/>
      <c r="EJB19" s="1115"/>
      <c r="EJC19" s="1115"/>
      <c r="EJD19" s="1115"/>
      <c r="EJE19" s="1115"/>
      <c r="EJF19" s="1115"/>
      <c r="EJG19" s="1115"/>
      <c r="EJH19" s="1115"/>
      <c r="EJI19" s="1115"/>
      <c r="EJJ19" s="1115"/>
      <c r="EJK19" s="1115"/>
      <c r="EJL19" s="1115"/>
      <c r="EJM19" s="1115"/>
      <c r="EJN19" s="1115"/>
      <c r="EJO19" s="1115"/>
      <c r="EJP19" s="1115"/>
      <c r="EJQ19" s="1115"/>
      <c r="EJR19" s="1115"/>
      <c r="EJS19" s="1115"/>
      <c r="EJT19" s="1115"/>
      <c r="EJU19" s="1115"/>
      <c r="EJV19" s="1115"/>
      <c r="EJW19" s="1115"/>
      <c r="EJX19" s="1115"/>
      <c r="EJY19" s="1115"/>
      <c r="EJZ19" s="1115"/>
      <c r="EKA19" s="1115"/>
      <c r="EKB19" s="1115"/>
      <c r="EKC19" s="1115"/>
      <c r="EKD19" s="1115"/>
      <c r="EKE19" s="1115"/>
      <c r="EKF19" s="1115"/>
      <c r="EKG19" s="1115"/>
      <c r="EKH19" s="1115"/>
      <c r="EKI19" s="1115"/>
      <c r="EKJ19" s="1115"/>
      <c r="EKK19" s="1115"/>
      <c r="EKL19" s="1115"/>
      <c r="EKM19" s="1115"/>
      <c r="EKN19" s="1115"/>
      <c r="EKO19" s="1115"/>
      <c r="EKP19" s="1115"/>
      <c r="EKQ19" s="1115"/>
      <c r="EKR19" s="1115"/>
      <c r="EKS19" s="1115"/>
      <c r="EKT19" s="1115"/>
      <c r="EKU19" s="1115"/>
      <c r="EKV19" s="1115"/>
      <c r="EKW19" s="1115"/>
      <c r="EKX19" s="1115"/>
      <c r="EKY19" s="1115"/>
      <c r="EKZ19" s="1115"/>
      <c r="ELA19" s="1115"/>
      <c r="ELB19" s="1115"/>
      <c r="ELC19" s="1115"/>
      <c r="ELD19" s="1115"/>
      <c r="ELE19" s="1115"/>
      <c r="ELF19" s="1115"/>
      <c r="ELG19" s="1115"/>
      <c r="ELH19" s="1115"/>
      <c r="ELI19" s="1115"/>
      <c r="ELJ19" s="1115"/>
      <c r="ELK19" s="1115"/>
      <c r="ELL19" s="1115"/>
      <c r="ELM19" s="1115"/>
      <c r="ELN19" s="1115"/>
      <c r="ELO19" s="1115"/>
      <c r="ELP19" s="1115"/>
      <c r="ELQ19" s="1115"/>
      <c r="ELR19" s="1115"/>
      <c r="ELS19" s="1115"/>
      <c r="ELT19" s="1115"/>
      <c r="ELU19" s="1115"/>
      <c r="ELV19" s="1115"/>
      <c r="ELW19" s="1115"/>
      <c r="ELX19" s="1115"/>
      <c r="ELY19" s="1115"/>
      <c r="ELZ19" s="1115"/>
      <c r="EMA19" s="1115"/>
      <c r="EMB19" s="1115"/>
      <c r="EMC19" s="1115"/>
      <c r="EMD19" s="1115"/>
      <c r="EME19" s="1115"/>
      <c r="EMF19" s="1115"/>
      <c r="EMG19" s="1115"/>
      <c r="EMH19" s="1115"/>
      <c r="EMI19" s="1115"/>
      <c r="EMJ19" s="1115"/>
      <c r="EMK19" s="1115"/>
      <c r="EML19" s="1115"/>
      <c r="EMM19" s="1115"/>
      <c r="EMN19" s="1115"/>
      <c r="EMO19" s="1115"/>
      <c r="EMP19" s="1115"/>
      <c r="EMQ19" s="1115"/>
      <c r="EMR19" s="1115"/>
      <c r="EMS19" s="1115"/>
      <c r="EMT19" s="1115"/>
      <c r="EMU19" s="1115"/>
      <c r="EMV19" s="1115"/>
      <c r="EMW19" s="1115"/>
      <c r="EMX19" s="1115"/>
      <c r="EMY19" s="1115"/>
      <c r="EMZ19" s="1115"/>
      <c r="ENA19" s="1115"/>
      <c r="ENB19" s="1115"/>
      <c r="ENC19" s="1115"/>
      <c r="END19" s="1115"/>
      <c r="ENE19" s="1115"/>
      <c r="ENF19" s="1115"/>
      <c r="ENG19" s="1115"/>
      <c r="ENH19" s="1115"/>
      <c r="ENI19" s="1115"/>
      <c r="ENJ19" s="1115"/>
      <c r="ENK19" s="1115"/>
      <c r="ENL19" s="1115"/>
      <c r="ENM19" s="1115"/>
      <c r="ENN19" s="1115"/>
      <c r="ENO19" s="1115"/>
      <c r="ENP19" s="1115"/>
      <c r="ENQ19" s="1115"/>
      <c r="ENR19" s="1115"/>
      <c r="ENS19" s="1115"/>
      <c r="ENT19" s="1115"/>
      <c r="ENU19" s="1115"/>
      <c r="ENV19" s="1115"/>
      <c r="ENW19" s="1115"/>
      <c r="ENX19" s="1115"/>
      <c r="ENY19" s="1115"/>
      <c r="ENZ19" s="1115"/>
      <c r="EOA19" s="1115"/>
      <c r="EOB19" s="1115"/>
      <c r="EOC19" s="1115"/>
      <c r="EOD19" s="1115"/>
      <c r="EOE19" s="1115"/>
      <c r="EOF19" s="1115"/>
      <c r="EOG19" s="1115"/>
      <c r="EOH19" s="1115"/>
      <c r="EOI19" s="1115"/>
      <c r="EOJ19" s="1115"/>
      <c r="EOK19" s="1115"/>
      <c r="EOL19" s="1115"/>
      <c r="EOM19" s="1115"/>
      <c r="EON19" s="1115"/>
      <c r="EOO19" s="1115"/>
      <c r="EOP19" s="1115"/>
      <c r="EOQ19" s="1115"/>
      <c r="EOR19" s="1115"/>
      <c r="EOS19" s="1115"/>
      <c r="EOT19" s="1115"/>
      <c r="EOU19" s="1115"/>
      <c r="EOV19" s="1115"/>
      <c r="EOW19" s="1115"/>
      <c r="EOX19" s="1115"/>
      <c r="EOY19" s="1115"/>
      <c r="EOZ19" s="1115"/>
      <c r="EPA19" s="1115"/>
      <c r="EPB19" s="1115"/>
      <c r="EPC19" s="1115"/>
      <c r="EPD19" s="1115"/>
      <c r="EPE19" s="1115"/>
      <c r="EPF19" s="1115"/>
      <c r="EPG19" s="1115"/>
      <c r="EPH19" s="1115"/>
      <c r="EPI19" s="1115"/>
      <c r="EPJ19" s="1115"/>
      <c r="EPK19" s="1115"/>
      <c r="EPL19" s="1115"/>
      <c r="EPM19" s="1115"/>
      <c r="EPN19" s="1115"/>
      <c r="EPO19" s="1115"/>
      <c r="EPP19" s="1115"/>
      <c r="EPQ19" s="1115"/>
      <c r="EPR19" s="1115"/>
      <c r="EPS19" s="1115"/>
      <c r="EPT19" s="1115"/>
      <c r="EPU19" s="1115"/>
      <c r="EPV19" s="1115"/>
      <c r="EPW19" s="1115"/>
      <c r="EPX19" s="1115"/>
      <c r="EPY19" s="1115"/>
      <c r="EPZ19" s="1115"/>
      <c r="EQA19" s="1115"/>
      <c r="EQB19" s="1115"/>
      <c r="EQC19" s="1115"/>
      <c r="EQD19" s="1115"/>
      <c r="EQE19" s="1115"/>
      <c r="EQF19" s="1115"/>
      <c r="EQG19" s="1115"/>
      <c r="EQH19" s="1115"/>
      <c r="EQI19" s="1115"/>
      <c r="EQJ19" s="1115"/>
      <c r="EQK19" s="1115"/>
      <c r="EQL19" s="1115"/>
      <c r="EQM19" s="1115"/>
      <c r="EQN19" s="1115"/>
      <c r="EQO19" s="1115"/>
      <c r="EQP19" s="1115"/>
      <c r="EQQ19" s="1115"/>
      <c r="EQR19" s="1115"/>
      <c r="EQS19" s="1115"/>
      <c r="EQT19" s="1115"/>
      <c r="EQU19" s="1115"/>
      <c r="EQV19" s="1115"/>
      <c r="EQW19" s="1115"/>
      <c r="EQX19" s="1115"/>
      <c r="EQY19" s="1115"/>
      <c r="EQZ19" s="1115"/>
      <c r="ERA19" s="1115"/>
      <c r="ERB19" s="1115"/>
      <c r="ERC19" s="1115"/>
      <c r="ERD19" s="1115"/>
      <c r="ERE19" s="1115"/>
      <c r="ERF19" s="1115"/>
      <c r="ERG19" s="1115"/>
      <c r="ERH19" s="1115"/>
      <c r="ERI19" s="1115"/>
      <c r="ERJ19" s="1115"/>
      <c r="ERK19" s="1115"/>
      <c r="ERL19" s="1115"/>
      <c r="ERM19" s="1115"/>
      <c r="ERN19" s="1115"/>
      <c r="ERO19" s="1115"/>
      <c r="ERP19" s="1115"/>
      <c r="ERQ19" s="1115"/>
      <c r="ERR19" s="1115"/>
      <c r="ERS19" s="1115"/>
      <c r="ERT19" s="1115"/>
      <c r="ERU19" s="1115"/>
      <c r="ERV19" s="1115"/>
      <c r="ERW19" s="1115"/>
      <c r="ERX19" s="1115"/>
      <c r="ERY19" s="1115"/>
      <c r="ERZ19" s="1115"/>
      <c r="ESA19" s="1115"/>
      <c r="ESB19" s="1115"/>
      <c r="ESC19" s="1115"/>
      <c r="ESD19" s="1115"/>
      <c r="ESE19" s="1115"/>
      <c r="ESF19" s="1115"/>
      <c r="ESG19" s="1115"/>
      <c r="ESH19" s="1115"/>
      <c r="ESI19" s="1115"/>
      <c r="ESJ19" s="1115"/>
      <c r="ESK19" s="1115"/>
      <c r="ESL19" s="1115"/>
      <c r="ESM19" s="1115"/>
      <c r="ESN19" s="1115"/>
      <c r="ESO19" s="1115"/>
      <c r="ESP19" s="1115"/>
      <c r="ESQ19" s="1115"/>
      <c r="ESR19" s="1115"/>
      <c r="ESS19" s="1115"/>
      <c r="EST19" s="1115"/>
      <c r="ESU19" s="1115"/>
      <c r="ESV19" s="1115"/>
      <c r="ESW19" s="1115"/>
      <c r="ESX19" s="1115"/>
      <c r="ESY19" s="1115"/>
      <c r="ESZ19" s="1115"/>
      <c r="ETA19" s="1115"/>
      <c r="ETB19" s="1115"/>
      <c r="ETC19" s="1115"/>
      <c r="ETD19" s="1115"/>
      <c r="ETE19" s="1115"/>
      <c r="ETF19" s="1115"/>
      <c r="ETG19" s="1115"/>
      <c r="ETH19" s="1115"/>
      <c r="ETI19" s="1115"/>
      <c r="ETJ19" s="1115"/>
      <c r="ETK19" s="1115"/>
      <c r="ETL19" s="1115"/>
      <c r="ETM19" s="1115"/>
      <c r="ETN19" s="1115"/>
      <c r="ETO19" s="1115"/>
      <c r="ETP19" s="1115"/>
      <c r="ETQ19" s="1115"/>
      <c r="ETR19" s="1115"/>
      <c r="ETS19" s="1115"/>
      <c r="ETT19" s="1115"/>
      <c r="ETU19" s="1115"/>
      <c r="ETV19" s="1115"/>
      <c r="ETW19" s="1115"/>
      <c r="ETX19" s="1115"/>
      <c r="ETY19" s="1115"/>
      <c r="ETZ19" s="1115"/>
      <c r="EUA19" s="1115"/>
      <c r="EUB19" s="1115"/>
      <c r="EUC19" s="1115"/>
      <c r="EUD19" s="1115"/>
      <c r="EUE19" s="1115"/>
      <c r="EUF19" s="1115"/>
      <c r="EUG19" s="1115"/>
      <c r="EUH19" s="1115"/>
      <c r="EUI19" s="1115"/>
      <c r="EUJ19" s="1115"/>
      <c r="EUK19" s="1115"/>
      <c r="EUL19" s="1115"/>
      <c r="EUM19" s="1115"/>
      <c r="EUN19" s="1115"/>
      <c r="EUO19" s="1115"/>
      <c r="EUP19" s="1115"/>
      <c r="EUQ19" s="1115"/>
      <c r="EUR19" s="1115"/>
      <c r="EUS19" s="1115"/>
      <c r="EUT19" s="1115"/>
      <c r="EUU19" s="1115"/>
      <c r="EUV19" s="1115"/>
      <c r="EUW19" s="1115"/>
      <c r="EUX19" s="1115"/>
      <c r="EUY19" s="1115"/>
      <c r="EUZ19" s="1115"/>
      <c r="EVA19" s="1115"/>
      <c r="EVB19" s="1115"/>
      <c r="EVC19" s="1115"/>
      <c r="EVD19" s="1115"/>
      <c r="EVE19" s="1115"/>
      <c r="EVF19" s="1115"/>
      <c r="EVG19" s="1115"/>
      <c r="EVH19" s="1115"/>
      <c r="EVI19" s="1115"/>
      <c r="EVJ19" s="1115"/>
      <c r="EVK19" s="1115"/>
      <c r="EVL19" s="1115"/>
      <c r="EVM19" s="1115"/>
      <c r="EVN19" s="1115"/>
      <c r="EVO19" s="1115"/>
      <c r="EVP19" s="1115"/>
      <c r="EVQ19" s="1115"/>
      <c r="EVR19" s="1115"/>
      <c r="EVS19" s="1115"/>
      <c r="EVT19" s="1115"/>
      <c r="EVU19" s="1115"/>
      <c r="EVV19" s="1115"/>
      <c r="EVW19" s="1115"/>
      <c r="EVX19" s="1115"/>
      <c r="EVY19" s="1115"/>
      <c r="EVZ19" s="1115"/>
      <c r="EWA19" s="1115"/>
      <c r="EWB19" s="1115"/>
      <c r="EWC19" s="1115"/>
      <c r="EWD19" s="1115"/>
      <c r="EWE19" s="1115"/>
      <c r="EWF19" s="1115"/>
      <c r="EWG19" s="1115"/>
      <c r="EWH19" s="1115"/>
      <c r="EWI19" s="1115"/>
      <c r="EWJ19" s="1115"/>
      <c r="EWK19" s="1115"/>
      <c r="EWL19" s="1115"/>
      <c r="EWM19" s="1115"/>
      <c r="EWN19" s="1115"/>
      <c r="EWO19" s="1115"/>
      <c r="EWP19" s="1115"/>
      <c r="EWQ19" s="1115"/>
      <c r="EWR19" s="1115"/>
      <c r="EWS19" s="1115"/>
      <c r="EWT19" s="1115"/>
      <c r="EWU19" s="1115"/>
      <c r="EWV19" s="1115"/>
      <c r="EWW19" s="1115"/>
      <c r="EWX19" s="1115"/>
      <c r="EWY19" s="1115"/>
      <c r="EWZ19" s="1115"/>
      <c r="EXA19" s="1115"/>
      <c r="EXB19" s="1115"/>
      <c r="EXC19" s="1115"/>
      <c r="EXD19" s="1115"/>
      <c r="EXE19" s="1115"/>
      <c r="EXF19" s="1115"/>
      <c r="EXG19" s="1115"/>
      <c r="EXH19" s="1115"/>
      <c r="EXI19" s="1115"/>
      <c r="EXJ19" s="1115"/>
      <c r="EXK19" s="1115"/>
      <c r="EXL19" s="1115"/>
      <c r="EXM19" s="1115"/>
      <c r="EXN19" s="1115"/>
      <c r="EXO19" s="1115"/>
      <c r="EXP19" s="1115"/>
      <c r="EXQ19" s="1115"/>
      <c r="EXR19" s="1115"/>
      <c r="EXS19" s="1115"/>
      <c r="EXT19" s="1115"/>
      <c r="EXU19" s="1115"/>
      <c r="EXV19" s="1115"/>
      <c r="EXW19" s="1115"/>
      <c r="EXX19" s="1115"/>
      <c r="EXY19" s="1115"/>
      <c r="EXZ19" s="1115"/>
      <c r="EYA19" s="1115"/>
      <c r="EYB19" s="1115"/>
      <c r="EYC19" s="1115"/>
      <c r="EYD19" s="1115"/>
      <c r="EYE19" s="1115"/>
      <c r="EYF19" s="1115"/>
      <c r="EYG19" s="1115"/>
      <c r="EYH19" s="1115"/>
      <c r="EYI19" s="1115"/>
      <c r="EYJ19" s="1115"/>
      <c r="EYK19" s="1115"/>
      <c r="EYL19" s="1115"/>
      <c r="EYM19" s="1115"/>
      <c r="EYN19" s="1115"/>
      <c r="EYO19" s="1115"/>
      <c r="EYP19" s="1115"/>
      <c r="EYQ19" s="1115"/>
      <c r="EYR19" s="1115"/>
      <c r="EYS19" s="1115"/>
      <c r="EYT19" s="1115"/>
      <c r="EYU19" s="1115"/>
      <c r="EYV19" s="1115"/>
      <c r="EYW19" s="1115"/>
      <c r="EYX19" s="1115"/>
      <c r="EYY19" s="1115"/>
      <c r="EYZ19" s="1115"/>
      <c r="EZA19" s="1115"/>
      <c r="EZB19" s="1115"/>
      <c r="EZC19" s="1115"/>
      <c r="EZD19" s="1115"/>
      <c r="EZE19" s="1115"/>
      <c r="EZF19" s="1115"/>
      <c r="EZG19" s="1115"/>
      <c r="EZH19" s="1115"/>
      <c r="EZI19" s="1115"/>
      <c r="EZJ19" s="1115"/>
      <c r="EZK19" s="1115"/>
      <c r="EZL19" s="1115"/>
      <c r="EZM19" s="1115"/>
      <c r="EZN19" s="1115"/>
      <c r="EZO19" s="1115"/>
      <c r="EZP19" s="1115"/>
      <c r="EZQ19" s="1115"/>
      <c r="EZR19" s="1115"/>
      <c r="EZS19" s="1115"/>
      <c r="EZT19" s="1115"/>
      <c r="EZU19" s="1115"/>
      <c r="EZV19" s="1115"/>
      <c r="EZW19" s="1115"/>
      <c r="EZX19" s="1115"/>
      <c r="EZY19" s="1115"/>
      <c r="EZZ19" s="1115"/>
      <c r="FAA19" s="1115"/>
      <c r="FAB19" s="1115"/>
      <c r="FAC19" s="1115"/>
      <c r="FAD19" s="1115"/>
      <c r="FAE19" s="1115"/>
      <c r="FAF19" s="1115"/>
      <c r="FAG19" s="1115"/>
      <c r="FAH19" s="1115"/>
      <c r="FAI19" s="1115"/>
      <c r="FAJ19" s="1115"/>
      <c r="FAK19" s="1115"/>
      <c r="FAL19" s="1115"/>
      <c r="FAM19" s="1115"/>
      <c r="FAN19" s="1115"/>
      <c r="FAO19" s="1115"/>
      <c r="FAP19" s="1115"/>
      <c r="FAQ19" s="1115"/>
      <c r="FAR19" s="1115"/>
      <c r="FAS19" s="1115"/>
      <c r="FAT19" s="1115"/>
      <c r="FAU19" s="1115"/>
      <c r="FAV19" s="1115"/>
      <c r="FAW19" s="1115"/>
      <c r="FAX19" s="1115"/>
      <c r="FAY19" s="1115"/>
      <c r="FAZ19" s="1115"/>
      <c r="FBA19" s="1115"/>
      <c r="FBB19" s="1115"/>
      <c r="FBC19" s="1115"/>
      <c r="FBD19" s="1115"/>
      <c r="FBE19" s="1115"/>
      <c r="FBF19" s="1115"/>
      <c r="FBG19" s="1115"/>
      <c r="FBH19" s="1115"/>
      <c r="FBI19" s="1115"/>
      <c r="FBJ19" s="1115"/>
      <c r="FBK19" s="1115"/>
      <c r="FBL19" s="1115"/>
      <c r="FBM19" s="1115"/>
      <c r="FBN19" s="1115"/>
      <c r="FBO19" s="1115"/>
      <c r="FBP19" s="1115"/>
      <c r="FBQ19" s="1115"/>
      <c r="FBR19" s="1115"/>
      <c r="FBS19" s="1115"/>
      <c r="FBT19" s="1115"/>
      <c r="FBU19" s="1115"/>
      <c r="FBV19" s="1115"/>
      <c r="FBW19" s="1115"/>
      <c r="FBX19" s="1115"/>
      <c r="FBY19" s="1115"/>
      <c r="FBZ19" s="1115"/>
      <c r="FCA19" s="1115"/>
      <c r="FCB19" s="1115"/>
      <c r="FCC19" s="1115"/>
      <c r="FCD19" s="1115"/>
      <c r="FCE19" s="1115"/>
      <c r="FCF19" s="1115"/>
      <c r="FCG19" s="1115"/>
      <c r="FCH19" s="1115"/>
      <c r="FCI19" s="1115"/>
      <c r="FCJ19" s="1115"/>
      <c r="FCK19" s="1115"/>
      <c r="FCL19" s="1115"/>
      <c r="FCM19" s="1115"/>
      <c r="FCN19" s="1115"/>
      <c r="FCO19" s="1115"/>
      <c r="FCP19" s="1115"/>
      <c r="FCQ19" s="1115"/>
      <c r="FCR19" s="1115"/>
      <c r="FCS19" s="1115"/>
      <c r="FCT19" s="1115"/>
      <c r="FCU19" s="1115"/>
      <c r="FCV19" s="1115"/>
      <c r="FCW19" s="1115"/>
      <c r="FCX19" s="1115"/>
      <c r="FCY19" s="1115"/>
      <c r="FCZ19" s="1115"/>
      <c r="FDA19" s="1115"/>
      <c r="FDB19" s="1115"/>
      <c r="FDC19" s="1115"/>
      <c r="FDD19" s="1115"/>
      <c r="FDE19" s="1115"/>
      <c r="FDF19" s="1115"/>
      <c r="FDG19" s="1115"/>
      <c r="FDH19" s="1115"/>
      <c r="FDI19" s="1115"/>
      <c r="FDJ19" s="1115"/>
      <c r="FDK19" s="1115"/>
      <c r="FDL19" s="1115"/>
      <c r="FDM19" s="1115"/>
      <c r="FDN19" s="1115"/>
      <c r="FDO19" s="1115"/>
      <c r="FDP19" s="1115"/>
      <c r="FDQ19" s="1115"/>
      <c r="FDR19" s="1115"/>
      <c r="FDS19" s="1115"/>
      <c r="FDT19" s="1115"/>
      <c r="FDU19" s="1115"/>
      <c r="FDV19" s="1115"/>
      <c r="FDW19" s="1115"/>
      <c r="FDX19" s="1115"/>
      <c r="FDY19" s="1115"/>
      <c r="FDZ19" s="1115"/>
      <c r="FEA19" s="1115"/>
      <c r="FEB19" s="1115"/>
      <c r="FEC19" s="1115"/>
      <c r="FED19" s="1115"/>
      <c r="FEE19" s="1115"/>
      <c r="FEF19" s="1115"/>
      <c r="FEG19" s="1115"/>
      <c r="FEH19" s="1115"/>
      <c r="FEI19" s="1115"/>
      <c r="FEJ19" s="1115"/>
      <c r="FEK19" s="1115"/>
      <c r="FEL19" s="1115"/>
      <c r="FEM19" s="1115"/>
      <c r="FEN19" s="1115"/>
      <c r="FEO19" s="1115"/>
      <c r="FEP19" s="1115"/>
      <c r="FEQ19" s="1115"/>
      <c r="FER19" s="1115"/>
      <c r="FES19" s="1115"/>
      <c r="FET19" s="1115"/>
      <c r="FEU19" s="1115"/>
      <c r="FEV19" s="1115"/>
      <c r="FEW19" s="1115"/>
      <c r="FEX19" s="1115"/>
      <c r="FEY19" s="1115"/>
      <c r="FEZ19" s="1115"/>
      <c r="FFA19" s="1115"/>
      <c r="FFB19" s="1115"/>
      <c r="FFC19" s="1115"/>
      <c r="FFD19" s="1115"/>
      <c r="FFE19" s="1115"/>
      <c r="FFF19" s="1115"/>
      <c r="FFG19" s="1115"/>
      <c r="FFH19" s="1115"/>
      <c r="FFI19" s="1115"/>
      <c r="FFJ19" s="1115"/>
      <c r="FFK19" s="1115"/>
      <c r="FFL19" s="1115"/>
      <c r="FFM19" s="1115"/>
      <c r="FFN19" s="1115"/>
      <c r="FFO19" s="1115"/>
      <c r="FFP19" s="1115"/>
      <c r="FFQ19" s="1115"/>
      <c r="FFR19" s="1115"/>
      <c r="FFS19" s="1115"/>
      <c r="FFT19" s="1115"/>
      <c r="FFU19" s="1115"/>
      <c r="FFV19" s="1115"/>
      <c r="FFW19" s="1115"/>
      <c r="FFX19" s="1115"/>
      <c r="FFY19" s="1115"/>
      <c r="FFZ19" s="1115"/>
      <c r="FGA19" s="1115"/>
      <c r="FGB19" s="1115"/>
      <c r="FGC19" s="1115"/>
      <c r="FGD19" s="1115"/>
      <c r="FGE19" s="1115"/>
      <c r="FGF19" s="1115"/>
      <c r="FGG19" s="1115"/>
      <c r="FGH19" s="1115"/>
      <c r="FGI19" s="1115"/>
      <c r="FGJ19" s="1115"/>
      <c r="FGK19" s="1115"/>
      <c r="FGL19" s="1115"/>
      <c r="FGM19" s="1115"/>
      <c r="FGN19" s="1115"/>
      <c r="FGO19" s="1115"/>
      <c r="FGP19" s="1115"/>
      <c r="FGQ19" s="1115"/>
      <c r="FGR19" s="1115"/>
      <c r="FGS19" s="1115"/>
      <c r="FGT19" s="1115"/>
      <c r="FGU19" s="1115"/>
      <c r="FGV19" s="1115"/>
      <c r="FGW19" s="1115"/>
      <c r="FGX19" s="1115"/>
      <c r="FGY19" s="1115"/>
      <c r="FGZ19" s="1115"/>
      <c r="FHA19" s="1115"/>
      <c r="FHB19" s="1115"/>
      <c r="FHC19" s="1115"/>
      <c r="FHD19" s="1115"/>
      <c r="FHE19" s="1115"/>
      <c r="FHF19" s="1115"/>
      <c r="FHG19" s="1115"/>
      <c r="FHH19" s="1115"/>
      <c r="FHI19" s="1115"/>
      <c r="FHJ19" s="1115"/>
      <c r="FHK19" s="1115"/>
      <c r="FHL19" s="1115"/>
      <c r="FHM19" s="1115"/>
      <c r="FHN19" s="1115"/>
      <c r="FHO19" s="1115"/>
      <c r="FHP19" s="1115"/>
      <c r="FHQ19" s="1115"/>
      <c r="FHR19" s="1115"/>
      <c r="FHS19" s="1115"/>
      <c r="FHT19" s="1115"/>
      <c r="FHU19" s="1115"/>
      <c r="FHV19" s="1115"/>
      <c r="FHW19" s="1115"/>
      <c r="FHX19" s="1115"/>
      <c r="FHY19" s="1115"/>
      <c r="FHZ19" s="1115"/>
      <c r="FIA19" s="1115"/>
      <c r="FIB19" s="1115"/>
      <c r="FIC19" s="1115"/>
      <c r="FID19" s="1115"/>
      <c r="FIE19" s="1115"/>
      <c r="FIF19" s="1115"/>
      <c r="FIG19" s="1115"/>
      <c r="FIH19" s="1115"/>
      <c r="FII19" s="1115"/>
      <c r="FIJ19" s="1115"/>
      <c r="FIK19" s="1115"/>
      <c r="FIL19" s="1115"/>
      <c r="FIM19" s="1115"/>
      <c r="FIN19" s="1115"/>
      <c r="FIO19" s="1115"/>
      <c r="FIP19" s="1115"/>
      <c r="FIQ19" s="1115"/>
      <c r="FIR19" s="1115"/>
      <c r="FIS19" s="1115"/>
      <c r="FIT19" s="1115"/>
      <c r="FIU19" s="1115"/>
      <c r="FIV19" s="1115"/>
      <c r="FIW19" s="1115"/>
      <c r="FIX19" s="1115"/>
      <c r="FIY19" s="1115"/>
      <c r="FIZ19" s="1115"/>
      <c r="FJA19" s="1115"/>
      <c r="FJB19" s="1115"/>
      <c r="FJC19" s="1115"/>
      <c r="FJD19" s="1115"/>
      <c r="FJE19" s="1115"/>
      <c r="FJF19" s="1115"/>
      <c r="FJG19" s="1115"/>
      <c r="FJH19" s="1115"/>
      <c r="FJI19" s="1115"/>
      <c r="FJJ19" s="1115"/>
      <c r="FJK19" s="1115"/>
      <c r="FJL19" s="1115"/>
      <c r="FJM19" s="1115"/>
      <c r="FJN19" s="1115"/>
      <c r="FJO19" s="1115"/>
      <c r="FJP19" s="1115"/>
      <c r="FJQ19" s="1115"/>
      <c r="FJR19" s="1115"/>
      <c r="FJS19" s="1115"/>
      <c r="FJT19" s="1115"/>
      <c r="FJU19" s="1115"/>
      <c r="FJV19" s="1115"/>
      <c r="FJW19" s="1115"/>
      <c r="FJX19" s="1115"/>
      <c r="FJY19" s="1115"/>
      <c r="FJZ19" s="1115"/>
      <c r="FKA19" s="1115"/>
      <c r="FKB19" s="1115"/>
      <c r="FKC19" s="1115"/>
      <c r="FKD19" s="1115"/>
      <c r="FKE19" s="1115"/>
      <c r="FKF19" s="1115"/>
      <c r="FKG19" s="1115"/>
      <c r="FKH19" s="1115"/>
      <c r="FKI19" s="1115"/>
      <c r="FKJ19" s="1115"/>
      <c r="FKK19" s="1115"/>
      <c r="FKL19" s="1115"/>
      <c r="FKM19" s="1115"/>
      <c r="FKN19" s="1115"/>
      <c r="FKO19" s="1115"/>
      <c r="FKP19" s="1115"/>
      <c r="FKQ19" s="1115"/>
      <c r="FKR19" s="1115"/>
      <c r="FKS19" s="1115"/>
      <c r="FKT19" s="1115"/>
      <c r="FKU19" s="1115"/>
      <c r="FKV19" s="1115"/>
      <c r="FKW19" s="1115"/>
      <c r="FKX19" s="1115"/>
      <c r="FKY19" s="1115"/>
      <c r="FKZ19" s="1115"/>
      <c r="FLA19" s="1115"/>
      <c r="FLB19" s="1115"/>
      <c r="FLC19" s="1115"/>
      <c r="FLD19" s="1115"/>
      <c r="FLE19" s="1115"/>
      <c r="FLF19" s="1115"/>
      <c r="FLG19" s="1115"/>
      <c r="FLH19" s="1115"/>
      <c r="FLI19" s="1115"/>
      <c r="FLJ19" s="1115"/>
      <c r="FLK19" s="1115"/>
      <c r="FLL19" s="1115"/>
      <c r="FLM19" s="1115"/>
      <c r="FLN19" s="1115"/>
      <c r="FLO19" s="1115"/>
      <c r="FLP19" s="1115"/>
      <c r="FLQ19" s="1115"/>
      <c r="FLR19" s="1115"/>
      <c r="FLS19" s="1115"/>
      <c r="FLT19" s="1115"/>
      <c r="FLU19" s="1115"/>
      <c r="FLV19" s="1115"/>
      <c r="FLW19" s="1115"/>
      <c r="FLX19" s="1115"/>
      <c r="FLY19" s="1115"/>
      <c r="FLZ19" s="1115"/>
      <c r="FMA19" s="1115"/>
      <c r="FMB19" s="1115"/>
      <c r="FMC19" s="1115"/>
      <c r="FMD19" s="1115"/>
      <c r="FME19" s="1115"/>
      <c r="FMF19" s="1115"/>
      <c r="FMG19" s="1115"/>
      <c r="FMH19" s="1115"/>
      <c r="FMI19" s="1115"/>
      <c r="FMJ19" s="1115"/>
      <c r="FMK19" s="1115"/>
      <c r="FML19" s="1115"/>
      <c r="FMM19" s="1115"/>
      <c r="FMN19" s="1115"/>
      <c r="FMO19" s="1115"/>
      <c r="FMP19" s="1115"/>
      <c r="FMQ19" s="1115"/>
      <c r="FMR19" s="1115"/>
      <c r="FMS19" s="1115"/>
      <c r="FMT19" s="1115"/>
      <c r="FMU19" s="1115"/>
      <c r="FMV19" s="1115"/>
      <c r="FMW19" s="1115"/>
      <c r="FMX19" s="1115"/>
      <c r="FMY19" s="1115"/>
      <c r="FMZ19" s="1115"/>
      <c r="FNA19" s="1115"/>
      <c r="FNB19" s="1115"/>
      <c r="FNC19" s="1115"/>
      <c r="FND19" s="1115"/>
      <c r="FNE19" s="1115"/>
      <c r="FNF19" s="1115"/>
      <c r="FNG19" s="1115"/>
      <c r="FNH19" s="1115"/>
      <c r="FNI19" s="1115"/>
      <c r="FNJ19" s="1115"/>
      <c r="FNK19" s="1115"/>
      <c r="FNL19" s="1115"/>
      <c r="FNM19" s="1115"/>
      <c r="FNN19" s="1115"/>
      <c r="FNO19" s="1115"/>
      <c r="FNP19" s="1115"/>
      <c r="FNQ19" s="1115"/>
      <c r="FNR19" s="1115"/>
      <c r="FNS19" s="1115"/>
      <c r="FNT19" s="1115"/>
      <c r="FNU19" s="1115"/>
      <c r="FNV19" s="1115"/>
      <c r="FNW19" s="1115"/>
      <c r="FNX19" s="1115"/>
      <c r="FNY19" s="1115"/>
      <c r="FNZ19" s="1115"/>
      <c r="FOA19" s="1115"/>
      <c r="FOB19" s="1115"/>
      <c r="FOC19" s="1115"/>
      <c r="FOD19" s="1115"/>
      <c r="FOE19" s="1115"/>
      <c r="FOF19" s="1115"/>
      <c r="FOG19" s="1115"/>
      <c r="FOH19" s="1115"/>
      <c r="FOI19" s="1115"/>
      <c r="FOJ19" s="1115"/>
      <c r="FOK19" s="1115"/>
      <c r="FOL19" s="1115"/>
      <c r="FOM19" s="1115"/>
      <c r="FON19" s="1115"/>
      <c r="FOO19" s="1115"/>
      <c r="FOP19" s="1115"/>
      <c r="FOQ19" s="1115"/>
      <c r="FOR19" s="1115"/>
      <c r="FOS19" s="1115"/>
      <c r="FOT19" s="1115"/>
      <c r="FOU19" s="1115"/>
      <c r="FOV19" s="1115"/>
      <c r="FOW19" s="1115"/>
      <c r="FOX19" s="1115"/>
      <c r="FOY19" s="1115"/>
      <c r="FOZ19" s="1115"/>
      <c r="FPA19" s="1115"/>
      <c r="FPB19" s="1115"/>
      <c r="FPC19" s="1115"/>
      <c r="FPD19" s="1115"/>
      <c r="FPE19" s="1115"/>
      <c r="FPF19" s="1115"/>
      <c r="FPG19" s="1115"/>
      <c r="FPH19" s="1115"/>
      <c r="FPI19" s="1115"/>
      <c r="FPJ19" s="1115"/>
      <c r="FPK19" s="1115"/>
      <c r="FPL19" s="1115"/>
      <c r="FPM19" s="1115"/>
      <c r="FPN19" s="1115"/>
      <c r="FPO19" s="1115"/>
      <c r="FPP19" s="1115"/>
      <c r="FPQ19" s="1115"/>
      <c r="FPR19" s="1115"/>
      <c r="FPS19" s="1115"/>
      <c r="FPT19" s="1115"/>
      <c r="FPU19" s="1115"/>
      <c r="FPV19" s="1115"/>
      <c r="FPW19" s="1115"/>
      <c r="FPX19" s="1115"/>
      <c r="FPY19" s="1115"/>
      <c r="FPZ19" s="1115"/>
      <c r="FQA19" s="1115"/>
      <c r="FQB19" s="1115"/>
      <c r="FQC19" s="1115"/>
      <c r="FQD19" s="1115"/>
      <c r="FQE19" s="1115"/>
      <c r="FQF19" s="1115"/>
      <c r="FQG19" s="1115"/>
      <c r="FQH19" s="1115"/>
      <c r="FQI19" s="1115"/>
      <c r="FQJ19" s="1115"/>
      <c r="FQK19" s="1115"/>
      <c r="FQL19" s="1115"/>
      <c r="FQM19" s="1115"/>
      <c r="FQN19" s="1115"/>
      <c r="FQO19" s="1115"/>
      <c r="FQP19" s="1115"/>
      <c r="FQQ19" s="1115"/>
      <c r="FQR19" s="1115"/>
      <c r="FQS19" s="1115"/>
      <c r="FQT19" s="1115"/>
      <c r="FQU19" s="1115"/>
      <c r="FQV19" s="1115"/>
      <c r="FQW19" s="1115"/>
      <c r="FQX19" s="1115"/>
      <c r="FQY19" s="1115"/>
      <c r="FQZ19" s="1115"/>
      <c r="FRA19" s="1115"/>
      <c r="FRB19" s="1115"/>
      <c r="FRC19" s="1115"/>
      <c r="FRD19" s="1115"/>
      <c r="FRE19" s="1115"/>
      <c r="FRF19" s="1115"/>
      <c r="FRG19" s="1115"/>
      <c r="FRH19" s="1115"/>
      <c r="FRI19" s="1115"/>
      <c r="FRJ19" s="1115"/>
      <c r="FRK19" s="1115"/>
      <c r="FRL19" s="1115"/>
      <c r="FRM19" s="1115"/>
      <c r="FRN19" s="1115"/>
      <c r="FRO19" s="1115"/>
      <c r="FRP19" s="1115"/>
      <c r="FRQ19" s="1115"/>
      <c r="FRR19" s="1115"/>
      <c r="FRS19" s="1115"/>
      <c r="FRT19" s="1115"/>
      <c r="FRU19" s="1115"/>
      <c r="FRV19" s="1115"/>
      <c r="FRW19" s="1115"/>
      <c r="FRX19" s="1115"/>
      <c r="FRY19" s="1115"/>
      <c r="FRZ19" s="1115"/>
      <c r="FSA19" s="1115"/>
      <c r="FSB19" s="1115"/>
      <c r="FSC19" s="1115"/>
      <c r="FSD19" s="1115"/>
      <c r="FSE19" s="1115"/>
      <c r="FSF19" s="1115"/>
      <c r="FSG19" s="1115"/>
      <c r="FSH19" s="1115"/>
      <c r="FSI19" s="1115"/>
      <c r="FSJ19" s="1115"/>
      <c r="FSK19" s="1115"/>
      <c r="FSL19" s="1115"/>
      <c r="FSM19" s="1115"/>
      <c r="FSN19" s="1115"/>
      <c r="FSO19" s="1115"/>
      <c r="FSP19" s="1115"/>
      <c r="FSQ19" s="1115"/>
      <c r="FSR19" s="1115"/>
      <c r="FSS19" s="1115"/>
      <c r="FST19" s="1115"/>
      <c r="FSU19" s="1115"/>
      <c r="FSV19" s="1115"/>
      <c r="FSW19" s="1115"/>
      <c r="FSX19" s="1115"/>
      <c r="FSY19" s="1115"/>
      <c r="FSZ19" s="1115"/>
      <c r="FTA19" s="1115"/>
      <c r="FTB19" s="1115"/>
      <c r="FTC19" s="1115"/>
      <c r="FTD19" s="1115"/>
      <c r="FTE19" s="1115"/>
      <c r="FTF19" s="1115"/>
      <c r="FTG19" s="1115"/>
      <c r="FTH19" s="1115"/>
      <c r="FTI19" s="1115"/>
      <c r="FTJ19" s="1115"/>
      <c r="FTK19" s="1115"/>
      <c r="FTL19" s="1115"/>
      <c r="FTM19" s="1115"/>
      <c r="FTN19" s="1115"/>
      <c r="FTO19" s="1115"/>
      <c r="FTP19" s="1115"/>
      <c r="FTQ19" s="1115"/>
      <c r="FTR19" s="1115"/>
      <c r="FTS19" s="1115"/>
      <c r="FTT19" s="1115"/>
      <c r="FTU19" s="1115"/>
      <c r="FTV19" s="1115"/>
      <c r="FTW19" s="1115"/>
      <c r="FTX19" s="1115"/>
      <c r="FTY19" s="1115"/>
      <c r="FTZ19" s="1115"/>
      <c r="FUA19" s="1115"/>
      <c r="FUB19" s="1115"/>
      <c r="FUC19" s="1115"/>
      <c r="FUD19" s="1115"/>
      <c r="FUE19" s="1115"/>
      <c r="FUF19" s="1115"/>
      <c r="FUG19" s="1115"/>
      <c r="FUH19" s="1115"/>
      <c r="FUI19" s="1115"/>
      <c r="FUJ19" s="1115"/>
      <c r="FUK19" s="1115"/>
      <c r="FUL19" s="1115"/>
      <c r="FUM19" s="1115"/>
      <c r="FUN19" s="1115"/>
      <c r="FUO19" s="1115"/>
      <c r="FUP19" s="1115"/>
      <c r="FUQ19" s="1115"/>
      <c r="FUR19" s="1115"/>
      <c r="FUS19" s="1115"/>
      <c r="FUT19" s="1115"/>
      <c r="FUU19" s="1115"/>
      <c r="FUV19" s="1115"/>
      <c r="FUW19" s="1115"/>
      <c r="FUX19" s="1115"/>
      <c r="FUY19" s="1115"/>
      <c r="FUZ19" s="1115"/>
      <c r="FVA19" s="1115"/>
      <c r="FVB19" s="1115"/>
      <c r="FVC19" s="1115"/>
      <c r="FVD19" s="1115"/>
      <c r="FVE19" s="1115"/>
      <c r="FVF19" s="1115"/>
      <c r="FVG19" s="1115"/>
      <c r="FVH19" s="1115"/>
      <c r="FVI19" s="1115"/>
      <c r="FVJ19" s="1115"/>
      <c r="FVK19" s="1115"/>
      <c r="FVL19" s="1115"/>
      <c r="FVM19" s="1115"/>
      <c r="FVN19" s="1115"/>
      <c r="FVO19" s="1115"/>
      <c r="FVP19" s="1115"/>
      <c r="FVQ19" s="1115"/>
      <c r="FVR19" s="1115"/>
      <c r="FVS19" s="1115"/>
      <c r="FVT19" s="1115"/>
      <c r="FVU19" s="1115"/>
      <c r="FVV19" s="1115"/>
      <c r="FVW19" s="1115"/>
      <c r="FVX19" s="1115"/>
      <c r="FVY19" s="1115"/>
      <c r="FVZ19" s="1115"/>
      <c r="FWA19" s="1115"/>
      <c r="FWB19" s="1115"/>
      <c r="FWC19" s="1115"/>
      <c r="FWD19" s="1115"/>
      <c r="FWE19" s="1115"/>
      <c r="FWF19" s="1115"/>
      <c r="FWG19" s="1115"/>
      <c r="FWH19" s="1115"/>
      <c r="FWI19" s="1115"/>
      <c r="FWJ19" s="1115"/>
      <c r="FWK19" s="1115"/>
      <c r="FWL19" s="1115"/>
      <c r="FWM19" s="1115"/>
      <c r="FWN19" s="1115"/>
      <c r="FWO19" s="1115"/>
      <c r="FWP19" s="1115"/>
      <c r="FWQ19" s="1115"/>
      <c r="FWR19" s="1115"/>
      <c r="FWS19" s="1115"/>
      <c r="FWT19" s="1115"/>
      <c r="FWU19" s="1115"/>
      <c r="FWV19" s="1115"/>
      <c r="FWW19" s="1115"/>
      <c r="FWX19" s="1115"/>
      <c r="FWY19" s="1115"/>
      <c r="FWZ19" s="1115"/>
      <c r="FXA19" s="1115"/>
      <c r="FXB19" s="1115"/>
      <c r="FXC19" s="1115"/>
      <c r="FXD19" s="1115"/>
      <c r="FXE19" s="1115"/>
      <c r="FXF19" s="1115"/>
      <c r="FXG19" s="1115"/>
      <c r="FXH19" s="1115"/>
      <c r="FXI19" s="1115"/>
      <c r="FXJ19" s="1115"/>
      <c r="FXK19" s="1115"/>
      <c r="FXL19" s="1115"/>
      <c r="FXM19" s="1115"/>
      <c r="FXN19" s="1115"/>
      <c r="FXO19" s="1115"/>
      <c r="FXP19" s="1115"/>
      <c r="FXQ19" s="1115"/>
      <c r="FXR19" s="1115"/>
      <c r="FXS19" s="1115"/>
      <c r="FXT19" s="1115"/>
      <c r="FXU19" s="1115"/>
      <c r="FXV19" s="1115"/>
      <c r="FXW19" s="1115"/>
      <c r="FXX19" s="1115"/>
      <c r="FXY19" s="1115"/>
      <c r="FXZ19" s="1115"/>
      <c r="FYA19" s="1115"/>
      <c r="FYB19" s="1115"/>
      <c r="FYC19" s="1115"/>
      <c r="FYD19" s="1115"/>
      <c r="FYE19" s="1115"/>
      <c r="FYF19" s="1115"/>
      <c r="FYG19" s="1115"/>
      <c r="FYH19" s="1115"/>
      <c r="FYI19" s="1115"/>
      <c r="FYJ19" s="1115"/>
      <c r="FYK19" s="1115"/>
      <c r="FYL19" s="1115"/>
      <c r="FYM19" s="1115"/>
      <c r="FYN19" s="1115"/>
      <c r="FYO19" s="1115"/>
      <c r="FYP19" s="1115"/>
      <c r="FYQ19" s="1115"/>
      <c r="FYR19" s="1115"/>
      <c r="FYS19" s="1115"/>
      <c r="FYT19" s="1115"/>
      <c r="FYU19" s="1115"/>
      <c r="FYV19" s="1115"/>
      <c r="FYW19" s="1115"/>
      <c r="FYX19" s="1115"/>
      <c r="FYY19" s="1115"/>
      <c r="FYZ19" s="1115"/>
      <c r="FZA19" s="1115"/>
      <c r="FZB19" s="1115"/>
      <c r="FZC19" s="1115"/>
      <c r="FZD19" s="1115"/>
      <c r="FZE19" s="1115"/>
      <c r="FZF19" s="1115"/>
      <c r="FZG19" s="1115"/>
      <c r="FZH19" s="1115"/>
      <c r="FZI19" s="1115"/>
      <c r="FZJ19" s="1115"/>
      <c r="FZK19" s="1115"/>
      <c r="FZL19" s="1115"/>
      <c r="FZM19" s="1115"/>
      <c r="FZN19" s="1115"/>
      <c r="FZO19" s="1115"/>
      <c r="FZP19" s="1115"/>
      <c r="FZQ19" s="1115"/>
      <c r="FZR19" s="1115"/>
      <c r="FZS19" s="1115"/>
      <c r="FZT19" s="1115"/>
      <c r="FZU19" s="1115"/>
      <c r="FZV19" s="1115"/>
      <c r="FZW19" s="1115"/>
      <c r="FZX19" s="1115"/>
      <c r="FZY19" s="1115"/>
      <c r="FZZ19" s="1115"/>
      <c r="GAA19" s="1115"/>
      <c r="GAB19" s="1115"/>
      <c r="GAC19" s="1115"/>
      <c r="GAD19" s="1115"/>
      <c r="GAE19" s="1115"/>
      <c r="GAF19" s="1115"/>
      <c r="GAG19" s="1115"/>
      <c r="GAH19" s="1115"/>
      <c r="GAI19" s="1115"/>
      <c r="GAJ19" s="1115"/>
      <c r="GAK19" s="1115"/>
      <c r="GAL19" s="1115"/>
      <c r="GAM19" s="1115"/>
      <c r="GAN19" s="1115"/>
      <c r="GAO19" s="1115"/>
      <c r="GAP19" s="1115"/>
      <c r="GAQ19" s="1115"/>
      <c r="GAR19" s="1115"/>
      <c r="GAS19" s="1115"/>
      <c r="GAT19" s="1115"/>
      <c r="GAU19" s="1115"/>
      <c r="GAV19" s="1115"/>
      <c r="GAW19" s="1115"/>
      <c r="GAX19" s="1115"/>
      <c r="GAY19" s="1115"/>
      <c r="GAZ19" s="1115"/>
      <c r="GBA19" s="1115"/>
      <c r="GBB19" s="1115"/>
      <c r="GBC19" s="1115"/>
      <c r="GBD19" s="1115"/>
      <c r="GBE19" s="1115"/>
      <c r="GBF19" s="1115"/>
      <c r="GBG19" s="1115"/>
      <c r="GBH19" s="1115"/>
      <c r="GBI19" s="1115"/>
      <c r="GBJ19" s="1115"/>
      <c r="GBK19" s="1115"/>
      <c r="GBL19" s="1115"/>
      <c r="GBM19" s="1115"/>
      <c r="GBN19" s="1115"/>
      <c r="GBO19" s="1115"/>
      <c r="GBP19" s="1115"/>
      <c r="GBQ19" s="1115"/>
      <c r="GBR19" s="1115"/>
      <c r="GBS19" s="1115"/>
      <c r="GBT19" s="1115"/>
      <c r="GBU19" s="1115"/>
      <c r="GBV19" s="1115"/>
      <c r="GBW19" s="1115"/>
      <c r="GBX19" s="1115"/>
      <c r="GBY19" s="1115"/>
      <c r="GBZ19" s="1115"/>
      <c r="GCA19" s="1115"/>
      <c r="GCB19" s="1115"/>
      <c r="GCC19" s="1115"/>
      <c r="GCD19" s="1115"/>
      <c r="GCE19" s="1115"/>
      <c r="GCF19" s="1115"/>
      <c r="GCG19" s="1115"/>
      <c r="GCH19" s="1115"/>
      <c r="GCI19" s="1115"/>
      <c r="GCJ19" s="1115"/>
      <c r="GCK19" s="1115"/>
      <c r="GCL19" s="1115"/>
      <c r="GCM19" s="1115"/>
      <c r="GCN19" s="1115"/>
      <c r="GCO19" s="1115"/>
      <c r="GCP19" s="1115"/>
      <c r="GCQ19" s="1115"/>
      <c r="GCR19" s="1115"/>
      <c r="GCS19" s="1115"/>
      <c r="GCT19" s="1115"/>
      <c r="GCU19" s="1115"/>
      <c r="GCV19" s="1115"/>
      <c r="GCW19" s="1115"/>
      <c r="GCX19" s="1115"/>
      <c r="GCY19" s="1115"/>
      <c r="GCZ19" s="1115"/>
      <c r="GDA19" s="1115"/>
      <c r="GDB19" s="1115"/>
      <c r="GDC19" s="1115"/>
      <c r="GDD19" s="1115"/>
      <c r="GDE19" s="1115"/>
      <c r="GDF19" s="1115"/>
      <c r="GDG19" s="1115"/>
      <c r="GDH19" s="1115"/>
      <c r="GDI19" s="1115"/>
      <c r="GDJ19" s="1115"/>
      <c r="GDK19" s="1115"/>
      <c r="GDL19" s="1115"/>
      <c r="GDM19" s="1115"/>
      <c r="GDN19" s="1115"/>
      <c r="GDO19" s="1115"/>
      <c r="GDP19" s="1115"/>
      <c r="GDQ19" s="1115"/>
      <c r="GDR19" s="1115"/>
      <c r="GDS19" s="1115"/>
      <c r="GDT19" s="1115"/>
      <c r="GDU19" s="1115"/>
      <c r="GDV19" s="1115"/>
      <c r="GDW19" s="1115"/>
      <c r="GDX19" s="1115"/>
      <c r="GDY19" s="1115"/>
      <c r="GDZ19" s="1115"/>
      <c r="GEA19" s="1115"/>
      <c r="GEB19" s="1115"/>
      <c r="GEC19" s="1115"/>
      <c r="GED19" s="1115"/>
      <c r="GEE19" s="1115"/>
      <c r="GEF19" s="1115"/>
      <c r="GEG19" s="1115"/>
      <c r="GEH19" s="1115"/>
      <c r="GEI19" s="1115"/>
      <c r="GEJ19" s="1115"/>
      <c r="GEK19" s="1115"/>
      <c r="GEL19" s="1115"/>
      <c r="GEM19" s="1115"/>
      <c r="GEN19" s="1115"/>
      <c r="GEO19" s="1115"/>
      <c r="GEP19" s="1115"/>
      <c r="GEQ19" s="1115"/>
      <c r="GER19" s="1115"/>
      <c r="GES19" s="1115"/>
      <c r="GET19" s="1115"/>
      <c r="GEU19" s="1115"/>
      <c r="GEV19" s="1115"/>
      <c r="GEW19" s="1115"/>
      <c r="GEX19" s="1115"/>
      <c r="GEY19" s="1115"/>
      <c r="GEZ19" s="1115"/>
      <c r="GFA19" s="1115"/>
      <c r="GFB19" s="1115"/>
      <c r="GFC19" s="1115"/>
      <c r="GFD19" s="1115"/>
      <c r="GFE19" s="1115"/>
      <c r="GFF19" s="1115"/>
      <c r="GFG19" s="1115"/>
      <c r="GFH19" s="1115"/>
      <c r="GFI19" s="1115"/>
      <c r="GFJ19" s="1115"/>
      <c r="GFK19" s="1115"/>
      <c r="GFL19" s="1115"/>
      <c r="GFM19" s="1115"/>
      <c r="GFN19" s="1115"/>
      <c r="GFO19" s="1115"/>
      <c r="GFP19" s="1115"/>
      <c r="GFQ19" s="1115"/>
      <c r="GFR19" s="1115"/>
      <c r="GFS19" s="1115"/>
      <c r="GFT19" s="1115"/>
      <c r="GFU19" s="1115"/>
      <c r="GFV19" s="1115"/>
      <c r="GFW19" s="1115"/>
      <c r="GFX19" s="1115"/>
      <c r="GFY19" s="1115"/>
      <c r="GFZ19" s="1115"/>
      <c r="GGA19" s="1115"/>
      <c r="GGB19" s="1115"/>
      <c r="GGC19" s="1115"/>
      <c r="GGD19" s="1115"/>
      <c r="GGE19" s="1115"/>
      <c r="GGF19" s="1115"/>
      <c r="GGG19" s="1115"/>
      <c r="GGH19" s="1115"/>
      <c r="GGI19" s="1115"/>
      <c r="GGJ19" s="1115"/>
      <c r="GGK19" s="1115"/>
      <c r="GGL19" s="1115"/>
      <c r="GGM19" s="1115"/>
      <c r="GGN19" s="1115"/>
      <c r="GGO19" s="1115"/>
      <c r="GGP19" s="1115"/>
      <c r="GGQ19" s="1115"/>
      <c r="GGR19" s="1115"/>
      <c r="GGS19" s="1115"/>
      <c r="GGT19" s="1115"/>
      <c r="GGU19" s="1115"/>
      <c r="GGV19" s="1115"/>
      <c r="GGW19" s="1115"/>
      <c r="GGX19" s="1115"/>
      <c r="GGY19" s="1115"/>
      <c r="GGZ19" s="1115"/>
      <c r="GHA19" s="1115"/>
      <c r="GHB19" s="1115"/>
      <c r="GHC19" s="1115"/>
      <c r="GHD19" s="1115"/>
      <c r="GHE19" s="1115"/>
      <c r="GHF19" s="1115"/>
      <c r="GHG19" s="1115"/>
      <c r="GHH19" s="1115"/>
      <c r="GHI19" s="1115"/>
      <c r="GHJ19" s="1115"/>
      <c r="GHK19" s="1115"/>
      <c r="GHL19" s="1115"/>
      <c r="GHM19" s="1115"/>
      <c r="GHN19" s="1115"/>
      <c r="GHO19" s="1115"/>
      <c r="GHP19" s="1115"/>
      <c r="GHQ19" s="1115"/>
      <c r="GHR19" s="1115"/>
      <c r="GHS19" s="1115"/>
      <c r="GHT19" s="1115"/>
      <c r="GHU19" s="1115"/>
      <c r="GHV19" s="1115"/>
      <c r="GHW19" s="1115"/>
      <c r="GHX19" s="1115"/>
      <c r="GHY19" s="1115"/>
      <c r="GHZ19" s="1115"/>
      <c r="GIA19" s="1115"/>
      <c r="GIB19" s="1115"/>
      <c r="GIC19" s="1115"/>
      <c r="GID19" s="1115"/>
      <c r="GIE19" s="1115"/>
      <c r="GIF19" s="1115"/>
      <c r="GIG19" s="1115"/>
      <c r="GIH19" s="1115"/>
      <c r="GII19" s="1115"/>
      <c r="GIJ19" s="1115"/>
      <c r="GIK19" s="1115"/>
      <c r="GIL19" s="1115"/>
      <c r="GIM19" s="1115"/>
      <c r="GIN19" s="1115"/>
      <c r="GIO19" s="1115"/>
      <c r="GIP19" s="1115"/>
      <c r="GIQ19" s="1115"/>
      <c r="GIR19" s="1115"/>
      <c r="GIS19" s="1115"/>
      <c r="GIT19" s="1115"/>
      <c r="GIU19" s="1115"/>
      <c r="GIV19" s="1115"/>
      <c r="GIW19" s="1115"/>
      <c r="GIX19" s="1115"/>
      <c r="GIY19" s="1115"/>
      <c r="GIZ19" s="1115"/>
      <c r="GJA19" s="1115"/>
      <c r="GJB19" s="1115"/>
      <c r="GJC19" s="1115"/>
      <c r="GJD19" s="1115"/>
      <c r="GJE19" s="1115"/>
      <c r="GJF19" s="1115"/>
      <c r="GJG19" s="1115"/>
      <c r="GJH19" s="1115"/>
      <c r="GJI19" s="1115"/>
      <c r="GJJ19" s="1115"/>
      <c r="GJK19" s="1115"/>
      <c r="GJL19" s="1115"/>
      <c r="GJM19" s="1115"/>
      <c r="GJN19" s="1115"/>
      <c r="GJO19" s="1115"/>
      <c r="GJP19" s="1115"/>
      <c r="GJQ19" s="1115"/>
      <c r="GJR19" s="1115"/>
      <c r="GJS19" s="1115"/>
      <c r="GJT19" s="1115"/>
      <c r="GJU19" s="1115"/>
      <c r="GJV19" s="1115"/>
      <c r="GJW19" s="1115"/>
      <c r="GJX19" s="1115"/>
      <c r="GJY19" s="1115"/>
      <c r="GJZ19" s="1115"/>
      <c r="GKA19" s="1115"/>
      <c r="GKB19" s="1115"/>
      <c r="GKC19" s="1115"/>
      <c r="GKD19" s="1115"/>
      <c r="GKE19" s="1115"/>
      <c r="GKF19" s="1115"/>
      <c r="GKG19" s="1115"/>
      <c r="GKH19" s="1115"/>
      <c r="GKI19" s="1115"/>
      <c r="GKJ19" s="1115"/>
      <c r="GKK19" s="1115"/>
      <c r="GKL19" s="1115"/>
      <c r="GKM19" s="1115"/>
      <c r="GKN19" s="1115"/>
      <c r="GKO19" s="1115"/>
      <c r="GKP19" s="1115"/>
      <c r="GKQ19" s="1115"/>
      <c r="GKR19" s="1115"/>
      <c r="GKS19" s="1115"/>
      <c r="GKT19" s="1115"/>
      <c r="GKU19" s="1115"/>
      <c r="GKV19" s="1115"/>
      <c r="GKW19" s="1115"/>
      <c r="GKX19" s="1115"/>
      <c r="GKY19" s="1115"/>
      <c r="GKZ19" s="1115"/>
      <c r="GLA19" s="1115"/>
      <c r="GLB19" s="1115"/>
      <c r="GLC19" s="1115"/>
      <c r="GLD19" s="1115"/>
      <c r="GLE19" s="1115"/>
      <c r="GLF19" s="1115"/>
      <c r="GLG19" s="1115"/>
      <c r="GLH19" s="1115"/>
      <c r="GLI19" s="1115"/>
      <c r="GLJ19" s="1115"/>
      <c r="GLK19" s="1115"/>
      <c r="GLL19" s="1115"/>
      <c r="GLM19" s="1115"/>
      <c r="GLN19" s="1115"/>
      <c r="GLO19" s="1115"/>
      <c r="GLP19" s="1115"/>
      <c r="GLQ19" s="1115"/>
      <c r="GLR19" s="1115"/>
      <c r="GLS19" s="1115"/>
      <c r="GLT19" s="1115"/>
      <c r="GLU19" s="1115"/>
      <c r="GLV19" s="1115"/>
      <c r="GLW19" s="1115"/>
      <c r="GLX19" s="1115"/>
      <c r="GLY19" s="1115"/>
      <c r="GLZ19" s="1115"/>
      <c r="GMA19" s="1115"/>
      <c r="GMB19" s="1115"/>
      <c r="GMC19" s="1115"/>
      <c r="GMD19" s="1115"/>
      <c r="GME19" s="1115"/>
      <c r="GMF19" s="1115"/>
      <c r="GMG19" s="1115"/>
      <c r="GMH19" s="1115"/>
      <c r="GMI19" s="1115"/>
      <c r="GMJ19" s="1115"/>
      <c r="GMK19" s="1115"/>
      <c r="GML19" s="1115"/>
      <c r="GMM19" s="1115"/>
      <c r="GMN19" s="1115"/>
      <c r="GMO19" s="1115"/>
      <c r="GMP19" s="1115"/>
      <c r="GMQ19" s="1115"/>
      <c r="GMR19" s="1115"/>
      <c r="GMS19" s="1115"/>
      <c r="GMT19" s="1115"/>
      <c r="GMU19" s="1115"/>
      <c r="GMV19" s="1115"/>
      <c r="GMW19" s="1115"/>
      <c r="GMX19" s="1115"/>
      <c r="GMY19" s="1115"/>
      <c r="GMZ19" s="1115"/>
      <c r="GNA19" s="1115"/>
      <c r="GNB19" s="1115"/>
      <c r="GNC19" s="1115"/>
      <c r="GND19" s="1115"/>
      <c r="GNE19" s="1115"/>
      <c r="GNF19" s="1115"/>
      <c r="GNG19" s="1115"/>
      <c r="GNH19" s="1115"/>
      <c r="GNI19" s="1115"/>
      <c r="GNJ19" s="1115"/>
      <c r="GNK19" s="1115"/>
      <c r="GNL19" s="1115"/>
      <c r="GNM19" s="1115"/>
      <c r="GNN19" s="1115"/>
      <c r="GNO19" s="1115"/>
      <c r="GNP19" s="1115"/>
      <c r="GNQ19" s="1115"/>
      <c r="GNR19" s="1115"/>
      <c r="GNS19" s="1115"/>
      <c r="GNT19" s="1115"/>
      <c r="GNU19" s="1115"/>
      <c r="GNV19" s="1115"/>
      <c r="GNW19" s="1115"/>
      <c r="GNX19" s="1115"/>
      <c r="GNY19" s="1115"/>
      <c r="GNZ19" s="1115"/>
      <c r="GOA19" s="1115"/>
      <c r="GOB19" s="1115"/>
      <c r="GOC19" s="1115"/>
      <c r="GOD19" s="1115"/>
      <c r="GOE19" s="1115"/>
      <c r="GOF19" s="1115"/>
      <c r="GOG19" s="1115"/>
      <c r="GOH19" s="1115"/>
      <c r="GOI19" s="1115"/>
      <c r="GOJ19" s="1115"/>
      <c r="GOK19" s="1115"/>
      <c r="GOL19" s="1115"/>
      <c r="GOM19" s="1115"/>
      <c r="GON19" s="1115"/>
      <c r="GOO19" s="1115"/>
      <c r="GOP19" s="1115"/>
      <c r="GOQ19" s="1115"/>
      <c r="GOR19" s="1115"/>
      <c r="GOS19" s="1115"/>
      <c r="GOT19" s="1115"/>
      <c r="GOU19" s="1115"/>
      <c r="GOV19" s="1115"/>
      <c r="GOW19" s="1115"/>
      <c r="GOX19" s="1115"/>
      <c r="GOY19" s="1115"/>
      <c r="GOZ19" s="1115"/>
      <c r="GPA19" s="1115"/>
      <c r="GPB19" s="1115"/>
      <c r="GPC19" s="1115"/>
      <c r="GPD19" s="1115"/>
      <c r="GPE19" s="1115"/>
      <c r="GPF19" s="1115"/>
      <c r="GPG19" s="1115"/>
      <c r="GPH19" s="1115"/>
      <c r="GPI19" s="1115"/>
      <c r="GPJ19" s="1115"/>
      <c r="GPK19" s="1115"/>
      <c r="GPL19" s="1115"/>
      <c r="GPM19" s="1115"/>
      <c r="GPN19" s="1115"/>
      <c r="GPO19" s="1115"/>
      <c r="GPP19" s="1115"/>
      <c r="GPQ19" s="1115"/>
      <c r="GPR19" s="1115"/>
      <c r="GPS19" s="1115"/>
      <c r="GPT19" s="1115"/>
      <c r="GPU19" s="1115"/>
      <c r="GPV19" s="1115"/>
      <c r="GPW19" s="1115"/>
      <c r="GPX19" s="1115"/>
      <c r="GPY19" s="1115"/>
      <c r="GPZ19" s="1115"/>
      <c r="GQA19" s="1115"/>
      <c r="GQB19" s="1115"/>
      <c r="GQC19" s="1115"/>
      <c r="GQD19" s="1115"/>
      <c r="GQE19" s="1115"/>
      <c r="GQF19" s="1115"/>
      <c r="GQG19" s="1115"/>
      <c r="GQH19" s="1115"/>
      <c r="GQI19" s="1115"/>
      <c r="GQJ19" s="1115"/>
      <c r="GQK19" s="1115"/>
      <c r="GQL19" s="1115"/>
      <c r="GQM19" s="1115"/>
      <c r="GQN19" s="1115"/>
      <c r="GQO19" s="1115"/>
      <c r="GQP19" s="1115"/>
      <c r="GQQ19" s="1115"/>
      <c r="GQR19" s="1115"/>
      <c r="GQS19" s="1115"/>
      <c r="GQT19" s="1115"/>
      <c r="GQU19" s="1115"/>
      <c r="GQV19" s="1115"/>
      <c r="GQW19" s="1115"/>
      <c r="GQX19" s="1115"/>
      <c r="GQY19" s="1115"/>
      <c r="GQZ19" s="1115"/>
      <c r="GRA19" s="1115"/>
      <c r="GRB19" s="1115"/>
      <c r="GRC19" s="1115"/>
      <c r="GRD19" s="1115"/>
      <c r="GRE19" s="1115"/>
      <c r="GRF19" s="1115"/>
      <c r="GRG19" s="1115"/>
      <c r="GRH19" s="1115"/>
      <c r="GRI19" s="1115"/>
      <c r="GRJ19" s="1115"/>
      <c r="GRK19" s="1115"/>
      <c r="GRL19" s="1115"/>
      <c r="GRM19" s="1115"/>
      <c r="GRN19" s="1115"/>
      <c r="GRO19" s="1115"/>
      <c r="GRP19" s="1115"/>
      <c r="GRQ19" s="1115"/>
      <c r="GRR19" s="1115"/>
      <c r="GRS19" s="1115"/>
      <c r="GRT19" s="1115"/>
      <c r="GRU19" s="1115"/>
      <c r="GRV19" s="1115"/>
      <c r="GRW19" s="1115"/>
      <c r="GRX19" s="1115"/>
      <c r="GRY19" s="1115"/>
      <c r="GRZ19" s="1115"/>
      <c r="GSA19" s="1115"/>
      <c r="GSB19" s="1115"/>
      <c r="GSC19" s="1115"/>
      <c r="GSD19" s="1115"/>
      <c r="GSE19" s="1115"/>
      <c r="GSF19" s="1115"/>
      <c r="GSG19" s="1115"/>
      <c r="GSH19" s="1115"/>
      <c r="GSI19" s="1115"/>
      <c r="GSJ19" s="1115"/>
      <c r="GSK19" s="1115"/>
      <c r="GSL19" s="1115"/>
      <c r="GSM19" s="1115"/>
      <c r="GSN19" s="1115"/>
      <c r="GSO19" s="1115"/>
      <c r="GSP19" s="1115"/>
      <c r="GSQ19" s="1115"/>
      <c r="GSR19" s="1115"/>
      <c r="GSS19" s="1115"/>
      <c r="GST19" s="1115"/>
      <c r="GSU19" s="1115"/>
      <c r="GSV19" s="1115"/>
      <c r="GSW19" s="1115"/>
      <c r="GSX19" s="1115"/>
      <c r="GSY19" s="1115"/>
      <c r="GSZ19" s="1115"/>
      <c r="GTA19" s="1115"/>
      <c r="GTB19" s="1115"/>
      <c r="GTC19" s="1115"/>
      <c r="GTD19" s="1115"/>
      <c r="GTE19" s="1115"/>
      <c r="GTF19" s="1115"/>
      <c r="GTG19" s="1115"/>
      <c r="GTH19" s="1115"/>
      <c r="GTI19" s="1115"/>
      <c r="GTJ19" s="1115"/>
      <c r="GTK19" s="1115"/>
      <c r="GTL19" s="1115"/>
      <c r="GTM19" s="1115"/>
      <c r="GTN19" s="1115"/>
      <c r="GTO19" s="1115"/>
      <c r="GTP19" s="1115"/>
      <c r="GTQ19" s="1115"/>
      <c r="GTR19" s="1115"/>
      <c r="GTS19" s="1115"/>
      <c r="GTT19" s="1115"/>
      <c r="GTU19" s="1115"/>
      <c r="GTV19" s="1115"/>
      <c r="GTW19" s="1115"/>
      <c r="GTX19" s="1115"/>
      <c r="GTY19" s="1115"/>
      <c r="GTZ19" s="1115"/>
      <c r="GUA19" s="1115"/>
      <c r="GUB19" s="1115"/>
      <c r="GUC19" s="1115"/>
      <c r="GUD19" s="1115"/>
      <c r="GUE19" s="1115"/>
      <c r="GUF19" s="1115"/>
      <c r="GUG19" s="1115"/>
      <c r="GUH19" s="1115"/>
      <c r="GUI19" s="1115"/>
      <c r="GUJ19" s="1115"/>
      <c r="GUK19" s="1115"/>
      <c r="GUL19" s="1115"/>
      <c r="GUM19" s="1115"/>
      <c r="GUN19" s="1115"/>
      <c r="GUO19" s="1115"/>
      <c r="GUP19" s="1115"/>
      <c r="GUQ19" s="1115"/>
      <c r="GUR19" s="1115"/>
      <c r="GUS19" s="1115"/>
      <c r="GUT19" s="1115"/>
      <c r="GUU19" s="1115"/>
      <c r="GUV19" s="1115"/>
      <c r="GUW19" s="1115"/>
      <c r="GUX19" s="1115"/>
      <c r="GUY19" s="1115"/>
      <c r="GUZ19" s="1115"/>
      <c r="GVA19" s="1115"/>
      <c r="GVB19" s="1115"/>
      <c r="GVC19" s="1115"/>
      <c r="GVD19" s="1115"/>
      <c r="GVE19" s="1115"/>
      <c r="GVF19" s="1115"/>
      <c r="GVG19" s="1115"/>
      <c r="GVH19" s="1115"/>
      <c r="GVI19" s="1115"/>
      <c r="GVJ19" s="1115"/>
      <c r="GVK19" s="1115"/>
      <c r="GVL19" s="1115"/>
      <c r="GVM19" s="1115"/>
      <c r="GVN19" s="1115"/>
      <c r="GVO19" s="1115"/>
      <c r="GVP19" s="1115"/>
      <c r="GVQ19" s="1115"/>
      <c r="GVR19" s="1115"/>
      <c r="GVS19" s="1115"/>
      <c r="GVT19" s="1115"/>
      <c r="GVU19" s="1115"/>
      <c r="GVV19" s="1115"/>
      <c r="GVW19" s="1115"/>
      <c r="GVX19" s="1115"/>
      <c r="GVY19" s="1115"/>
      <c r="GVZ19" s="1115"/>
      <c r="GWA19" s="1115"/>
      <c r="GWB19" s="1115"/>
      <c r="GWC19" s="1115"/>
      <c r="GWD19" s="1115"/>
      <c r="GWE19" s="1115"/>
      <c r="GWF19" s="1115"/>
      <c r="GWG19" s="1115"/>
      <c r="GWH19" s="1115"/>
      <c r="GWI19" s="1115"/>
      <c r="GWJ19" s="1115"/>
      <c r="GWK19" s="1115"/>
      <c r="GWL19" s="1115"/>
      <c r="GWM19" s="1115"/>
      <c r="GWN19" s="1115"/>
      <c r="GWO19" s="1115"/>
      <c r="GWP19" s="1115"/>
      <c r="GWQ19" s="1115"/>
      <c r="GWR19" s="1115"/>
      <c r="GWS19" s="1115"/>
      <c r="GWT19" s="1115"/>
      <c r="GWU19" s="1115"/>
      <c r="GWV19" s="1115"/>
      <c r="GWW19" s="1115"/>
      <c r="GWX19" s="1115"/>
      <c r="GWY19" s="1115"/>
      <c r="GWZ19" s="1115"/>
      <c r="GXA19" s="1115"/>
      <c r="GXB19" s="1115"/>
      <c r="GXC19" s="1115"/>
      <c r="GXD19" s="1115"/>
      <c r="GXE19" s="1115"/>
      <c r="GXF19" s="1115"/>
      <c r="GXG19" s="1115"/>
      <c r="GXH19" s="1115"/>
      <c r="GXI19" s="1115"/>
      <c r="GXJ19" s="1115"/>
      <c r="GXK19" s="1115"/>
      <c r="GXL19" s="1115"/>
      <c r="GXM19" s="1115"/>
      <c r="GXN19" s="1115"/>
      <c r="GXO19" s="1115"/>
      <c r="GXP19" s="1115"/>
      <c r="GXQ19" s="1115"/>
      <c r="GXR19" s="1115"/>
      <c r="GXS19" s="1115"/>
      <c r="GXT19" s="1115"/>
      <c r="GXU19" s="1115"/>
      <c r="GXV19" s="1115"/>
      <c r="GXW19" s="1115"/>
      <c r="GXX19" s="1115"/>
      <c r="GXY19" s="1115"/>
      <c r="GXZ19" s="1115"/>
      <c r="GYA19" s="1115"/>
      <c r="GYB19" s="1115"/>
      <c r="GYC19" s="1115"/>
      <c r="GYD19" s="1115"/>
      <c r="GYE19" s="1115"/>
      <c r="GYF19" s="1115"/>
      <c r="GYG19" s="1115"/>
      <c r="GYH19" s="1115"/>
      <c r="GYI19" s="1115"/>
      <c r="GYJ19" s="1115"/>
      <c r="GYK19" s="1115"/>
      <c r="GYL19" s="1115"/>
      <c r="GYM19" s="1115"/>
      <c r="GYN19" s="1115"/>
      <c r="GYO19" s="1115"/>
      <c r="GYP19" s="1115"/>
      <c r="GYQ19" s="1115"/>
      <c r="GYR19" s="1115"/>
      <c r="GYS19" s="1115"/>
      <c r="GYT19" s="1115"/>
      <c r="GYU19" s="1115"/>
      <c r="GYV19" s="1115"/>
      <c r="GYW19" s="1115"/>
      <c r="GYX19" s="1115"/>
      <c r="GYY19" s="1115"/>
      <c r="GYZ19" s="1115"/>
      <c r="GZA19" s="1115"/>
      <c r="GZB19" s="1115"/>
      <c r="GZC19" s="1115"/>
      <c r="GZD19" s="1115"/>
      <c r="GZE19" s="1115"/>
      <c r="GZF19" s="1115"/>
      <c r="GZG19" s="1115"/>
      <c r="GZH19" s="1115"/>
      <c r="GZI19" s="1115"/>
      <c r="GZJ19" s="1115"/>
      <c r="GZK19" s="1115"/>
      <c r="GZL19" s="1115"/>
      <c r="GZM19" s="1115"/>
      <c r="GZN19" s="1115"/>
      <c r="GZO19" s="1115"/>
      <c r="GZP19" s="1115"/>
      <c r="GZQ19" s="1115"/>
      <c r="GZR19" s="1115"/>
      <c r="GZS19" s="1115"/>
      <c r="GZT19" s="1115"/>
      <c r="GZU19" s="1115"/>
      <c r="GZV19" s="1115"/>
      <c r="GZW19" s="1115"/>
      <c r="GZX19" s="1115"/>
      <c r="GZY19" s="1115"/>
      <c r="GZZ19" s="1115"/>
      <c r="HAA19" s="1115"/>
      <c r="HAB19" s="1115"/>
      <c r="HAC19" s="1115"/>
      <c r="HAD19" s="1115"/>
      <c r="HAE19" s="1115"/>
      <c r="HAF19" s="1115"/>
      <c r="HAG19" s="1115"/>
      <c r="HAH19" s="1115"/>
      <c r="HAI19" s="1115"/>
      <c r="HAJ19" s="1115"/>
      <c r="HAK19" s="1115"/>
      <c r="HAL19" s="1115"/>
      <c r="HAM19" s="1115"/>
      <c r="HAN19" s="1115"/>
      <c r="HAO19" s="1115"/>
      <c r="HAP19" s="1115"/>
      <c r="HAQ19" s="1115"/>
      <c r="HAR19" s="1115"/>
      <c r="HAS19" s="1115"/>
      <c r="HAT19" s="1115"/>
      <c r="HAU19" s="1115"/>
      <c r="HAV19" s="1115"/>
      <c r="HAW19" s="1115"/>
      <c r="HAX19" s="1115"/>
      <c r="HAY19" s="1115"/>
      <c r="HAZ19" s="1115"/>
      <c r="HBA19" s="1115"/>
      <c r="HBB19" s="1115"/>
      <c r="HBC19" s="1115"/>
      <c r="HBD19" s="1115"/>
      <c r="HBE19" s="1115"/>
      <c r="HBF19" s="1115"/>
      <c r="HBG19" s="1115"/>
      <c r="HBH19" s="1115"/>
      <c r="HBI19" s="1115"/>
      <c r="HBJ19" s="1115"/>
      <c r="HBK19" s="1115"/>
      <c r="HBL19" s="1115"/>
      <c r="HBM19" s="1115"/>
      <c r="HBN19" s="1115"/>
      <c r="HBO19" s="1115"/>
      <c r="HBP19" s="1115"/>
      <c r="HBQ19" s="1115"/>
      <c r="HBR19" s="1115"/>
      <c r="HBS19" s="1115"/>
      <c r="HBT19" s="1115"/>
      <c r="HBU19" s="1115"/>
      <c r="HBV19" s="1115"/>
      <c r="HBW19" s="1115"/>
      <c r="HBX19" s="1115"/>
      <c r="HBY19" s="1115"/>
      <c r="HBZ19" s="1115"/>
      <c r="HCA19" s="1115"/>
      <c r="HCB19" s="1115"/>
      <c r="HCC19" s="1115"/>
      <c r="HCD19" s="1115"/>
      <c r="HCE19" s="1115"/>
      <c r="HCF19" s="1115"/>
      <c r="HCG19" s="1115"/>
      <c r="HCH19" s="1115"/>
      <c r="HCI19" s="1115"/>
      <c r="HCJ19" s="1115"/>
      <c r="HCK19" s="1115"/>
      <c r="HCL19" s="1115"/>
      <c r="HCM19" s="1115"/>
      <c r="HCN19" s="1115"/>
      <c r="HCO19" s="1115"/>
      <c r="HCP19" s="1115"/>
      <c r="HCQ19" s="1115"/>
      <c r="HCR19" s="1115"/>
      <c r="HCS19" s="1115"/>
      <c r="HCT19" s="1115"/>
      <c r="HCU19" s="1115"/>
      <c r="HCV19" s="1115"/>
      <c r="HCW19" s="1115"/>
      <c r="HCX19" s="1115"/>
      <c r="HCY19" s="1115"/>
      <c r="HCZ19" s="1115"/>
      <c r="HDA19" s="1115"/>
      <c r="HDB19" s="1115"/>
      <c r="HDC19" s="1115"/>
      <c r="HDD19" s="1115"/>
      <c r="HDE19" s="1115"/>
      <c r="HDF19" s="1115"/>
      <c r="HDG19" s="1115"/>
      <c r="HDH19" s="1115"/>
      <c r="HDI19" s="1115"/>
      <c r="HDJ19" s="1115"/>
      <c r="HDK19" s="1115"/>
      <c r="HDL19" s="1115"/>
      <c r="HDM19" s="1115"/>
      <c r="HDN19" s="1115"/>
      <c r="HDO19" s="1115"/>
      <c r="HDP19" s="1115"/>
      <c r="HDQ19" s="1115"/>
      <c r="HDR19" s="1115"/>
      <c r="HDS19" s="1115"/>
      <c r="HDT19" s="1115"/>
      <c r="HDU19" s="1115"/>
      <c r="HDV19" s="1115"/>
      <c r="HDW19" s="1115"/>
      <c r="HDX19" s="1115"/>
      <c r="HDY19" s="1115"/>
      <c r="HDZ19" s="1115"/>
      <c r="HEA19" s="1115"/>
      <c r="HEB19" s="1115"/>
      <c r="HEC19" s="1115"/>
      <c r="HED19" s="1115"/>
      <c r="HEE19" s="1115"/>
      <c r="HEF19" s="1115"/>
      <c r="HEG19" s="1115"/>
      <c r="HEH19" s="1115"/>
      <c r="HEI19" s="1115"/>
      <c r="HEJ19" s="1115"/>
      <c r="HEK19" s="1115"/>
      <c r="HEL19" s="1115"/>
      <c r="HEM19" s="1115"/>
      <c r="HEN19" s="1115"/>
      <c r="HEO19" s="1115"/>
      <c r="HEP19" s="1115"/>
      <c r="HEQ19" s="1115"/>
      <c r="HER19" s="1115"/>
      <c r="HES19" s="1115"/>
      <c r="HET19" s="1115"/>
      <c r="HEU19" s="1115"/>
      <c r="HEV19" s="1115"/>
      <c r="HEW19" s="1115"/>
      <c r="HEX19" s="1115"/>
      <c r="HEY19" s="1115"/>
      <c r="HEZ19" s="1115"/>
      <c r="HFA19" s="1115"/>
      <c r="HFB19" s="1115"/>
      <c r="HFC19" s="1115"/>
      <c r="HFD19" s="1115"/>
      <c r="HFE19" s="1115"/>
      <c r="HFF19" s="1115"/>
      <c r="HFG19" s="1115"/>
      <c r="HFH19" s="1115"/>
      <c r="HFI19" s="1115"/>
      <c r="HFJ19" s="1115"/>
      <c r="HFK19" s="1115"/>
      <c r="HFL19" s="1115"/>
      <c r="HFM19" s="1115"/>
      <c r="HFN19" s="1115"/>
      <c r="HFO19" s="1115"/>
      <c r="HFP19" s="1115"/>
      <c r="HFQ19" s="1115"/>
      <c r="HFR19" s="1115"/>
      <c r="HFS19" s="1115"/>
      <c r="HFT19" s="1115"/>
      <c r="HFU19" s="1115"/>
      <c r="HFV19" s="1115"/>
      <c r="HFW19" s="1115"/>
      <c r="HFX19" s="1115"/>
      <c r="HFY19" s="1115"/>
      <c r="HFZ19" s="1115"/>
      <c r="HGA19" s="1115"/>
      <c r="HGB19" s="1115"/>
      <c r="HGC19" s="1115"/>
      <c r="HGD19" s="1115"/>
      <c r="HGE19" s="1115"/>
      <c r="HGF19" s="1115"/>
      <c r="HGG19" s="1115"/>
      <c r="HGH19" s="1115"/>
      <c r="HGI19" s="1115"/>
      <c r="HGJ19" s="1115"/>
      <c r="HGK19" s="1115"/>
      <c r="HGL19" s="1115"/>
      <c r="HGM19" s="1115"/>
      <c r="HGN19" s="1115"/>
      <c r="HGO19" s="1115"/>
      <c r="HGP19" s="1115"/>
      <c r="HGQ19" s="1115"/>
      <c r="HGR19" s="1115"/>
      <c r="HGS19" s="1115"/>
      <c r="HGT19" s="1115"/>
      <c r="HGU19" s="1115"/>
      <c r="HGV19" s="1115"/>
      <c r="HGW19" s="1115"/>
      <c r="HGX19" s="1115"/>
      <c r="HGY19" s="1115"/>
      <c r="HGZ19" s="1115"/>
      <c r="HHA19" s="1115"/>
      <c r="HHB19" s="1115"/>
      <c r="HHC19" s="1115"/>
      <c r="HHD19" s="1115"/>
      <c r="HHE19" s="1115"/>
      <c r="HHF19" s="1115"/>
      <c r="HHG19" s="1115"/>
      <c r="HHH19" s="1115"/>
      <c r="HHI19" s="1115"/>
      <c r="HHJ19" s="1115"/>
      <c r="HHK19" s="1115"/>
      <c r="HHL19" s="1115"/>
      <c r="HHM19" s="1115"/>
      <c r="HHN19" s="1115"/>
      <c r="HHO19" s="1115"/>
      <c r="HHP19" s="1115"/>
      <c r="HHQ19" s="1115"/>
      <c r="HHR19" s="1115"/>
      <c r="HHS19" s="1115"/>
      <c r="HHT19" s="1115"/>
      <c r="HHU19" s="1115"/>
      <c r="HHV19" s="1115"/>
      <c r="HHW19" s="1115"/>
      <c r="HHX19" s="1115"/>
      <c r="HHY19" s="1115"/>
      <c r="HHZ19" s="1115"/>
      <c r="HIA19" s="1115"/>
      <c r="HIB19" s="1115"/>
      <c r="HIC19" s="1115"/>
      <c r="HID19" s="1115"/>
      <c r="HIE19" s="1115"/>
      <c r="HIF19" s="1115"/>
      <c r="HIG19" s="1115"/>
      <c r="HIH19" s="1115"/>
      <c r="HII19" s="1115"/>
      <c r="HIJ19" s="1115"/>
      <c r="HIK19" s="1115"/>
      <c r="HIL19" s="1115"/>
      <c r="HIM19" s="1115"/>
      <c r="HIN19" s="1115"/>
      <c r="HIO19" s="1115"/>
      <c r="HIP19" s="1115"/>
      <c r="HIQ19" s="1115"/>
      <c r="HIR19" s="1115"/>
      <c r="HIS19" s="1115"/>
      <c r="HIT19" s="1115"/>
      <c r="HIU19" s="1115"/>
      <c r="HIV19" s="1115"/>
      <c r="HIW19" s="1115"/>
      <c r="HIX19" s="1115"/>
      <c r="HIY19" s="1115"/>
      <c r="HIZ19" s="1115"/>
      <c r="HJA19" s="1115"/>
      <c r="HJB19" s="1115"/>
      <c r="HJC19" s="1115"/>
      <c r="HJD19" s="1115"/>
      <c r="HJE19" s="1115"/>
      <c r="HJF19" s="1115"/>
      <c r="HJG19" s="1115"/>
      <c r="HJH19" s="1115"/>
      <c r="HJI19" s="1115"/>
      <c r="HJJ19" s="1115"/>
      <c r="HJK19" s="1115"/>
      <c r="HJL19" s="1115"/>
      <c r="HJM19" s="1115"/>
      <c r="HJN19" s="1115"/>
      <c r="HJO19" s="1115"/>
      <c r="HJP19" s="1115"/>
      <c r="HJQ19" s="1115"/>
      <c r="HJR19" s="1115"/>
      <c r="HJS19" s="1115"/>
      <c r="HJT19" s="1115"/>
      <c r="HJU19" s="1115"/>
      <c r="HJV19" s="1115"/>
      <c r="HJW19" s="1115"/>
      <c r="HJX19" s="1115"/>
      <c r="HJY19" s="1115"/>
      <c r="HJZ19" s="1115"/>
      <c r="HKA19" s="1115"/>
      <c r="HKB19" s="1115"/>
      <c r="HKC19" s="1115"/>
      <c r="HKD19" s="1115"/>
      <c r="HKE19" s="1115"/>
      <c r="HKF19" s="1115"/>
      <c r="HKG19" s="1115"/>
      <c r="HKH19" s="1115"/>
      <c r="HKI19" s="1115"/>
      <c r="HKJ19" s="1115"/>
      <c r="HKK19" s="1115"/>
      <c r="HKL19" s="1115"/>
      <c r="HKM19" s="1115"/>
      <c r="HKN19" s="1115"/>
      <c r="HKO19" s="1115"/>
      <c r="HKP19" s="1115"/>
      <c r="HKQ19" s="1115"/>
      <c r="HKR19" s="1115"/>
      <c r="HKS19" s="1115"/>
      <c r="HKT19" s="1115"/>
      <c r="HKU19" s="1115"/>
      <c r="HKV19" s="1115"/>
      <c r="HKW19" s="1115"/>
      <c r="HKX19" s="1115"/>
      <c r="HKY19" s="1115"/>
      <c r="HKZ19" s="1115"/>
      <c r="HLA19" s="1115"/>
      <c r="HLB19" s="1115"/>
      <c r="HLC19" s="1115"/>
      <c r="HLD19" s="1115"/>
      <c r="HLE19" s="1115"/>
      <c r="HLF19" s="1115"/>
      <c r="HLG19" s="1115"/>
      <c r="HLH19" s="1115"/>
      <c r="HLI19" s="1115"/>
      <c r="HLJ19" s="1115"/>
      <c r="HLK19" s="1115"/>
      <c r="HLL19" s="1115"/>
      <c r="HLM19" s="1115"/>
      <c r="HLN19" s="1115"/>
      <c r="HLO19" s="1115"/>
      <c r="HLP19" s="1115"/>
      <c r="HLQ19" s="1115"/>
      <c r="HLR19" s="1115"/>
      <c r="HLS19" s="1115"/>
      <c r="HLT19" s="1115"/>
      <c r="HLU19" s="1115"/>
      <c r="HLV19" s="1115"/>
      <c r="HLW19" s="1115"/>
      <c r="HLX19" s="1115"/>
      <c r="HLY19" s="1115"/>
      <c r="HLZ19" s="1115"/>
      <c r="HMA19" s="1115"/>
      <c r="HMB19" s="1115"/>
      <c r="HMC19" s="1115"/>
      <c r="HMD19" s="1115"/>
      <c r="HME19" s="1115"/>
      <c r="HMF19" s="1115"/>
      <c r="HMG19" s="1115"/>
      <c r="HMH19" s="1115"/>
      <c r="HMI19" s="1115"/>
      <c r="HMJ19" s="1115"/>
      <c r="HMK19" s="1115"/>
      <c r="HML19" s="1115"/>
      <c r="HMM19" s="1115"/>
      <c r="HMN19" s="1115"/>
      <c r="HMO19" s="1115"/>
      <c r="HMP19" s="1115"/>
      <c r="HMQ19" s="1115"/>
      <c r="HMR19" s="1115"/>
      <c r="HMS19" s="1115"/>
      <c r="HMT19" s="1115"/>
      <c r="HMU19" s="1115"/>
      <c r="HMV19" s="1115"/>
      <c r="HMW19" s="1115"/>
      <c r="HMX19" s="1115"/>
      <c r="HMY19" s="1115"/>
      <c r="HMZ19" s="1115"/>
      <c r="HNA19" s="1115"/>
      <c r="HNB19" s="1115"/>
      <c r="HNC19" s="1115"/>
      <c r="HND19" s="1115"/>
      <c r="HNE19" s="1115"/>
      <c r="HNF19" s="1115"/>
      <c r="HNG19" s="1115"/>
      <c r="HNH19" s="1115"/>
      <c r="HNI19" s="1115"/>
      <c r="HNJ19" s="1115"/>
      <c r="HNK19" s="1115"/>
      <c r="HNL19" s="1115"/>
      <c r="HNM19" s="1115"/>
      <c r="HNN19" s="1115"/>
      <c r="HNO19" s="1115"/>
      <c r="HNP19" s="1115"/>
      <c r="HNQ19" s="1115"/>
      <c r="HNR19" s="1115"/>
      <c r="HNS19" s="1115"/>
      <c r="HNT19" s="1115"/>
      <c r="HNU19" s="1115"/>
      <c r="HNV19" s="1115"/>
      <c r="HNW19" s="1115"/>
      <c r="HNX19" s="1115"/>
      <c r="HNY19" s="1115"/>
      <c r="HNZ19" s="1115"/>
      <c r="HOA19" s="1115"/>
      <c r="HOB19" s="1115"/>
      <c r="HOC19" s="1115"/>
      <c r="HOD19" s="1115"/>
      <c r="HOE19" s="1115"/>
      <c r="HOF19" s="1115"/>
      <c r="HOG19" s="1115"/>
      <c r="HOH19" s="1115"/>
      <c r="HOI19" s="1115"/>
      <c r="HOJ19" s="1115"/>
      <c r="HOK19" s="1115"/>
      <c r="HOL19" s="1115"/>
      <c r="HOM19" s="1115"/>
      <c r="HON19" s="1115"/>
      <c r="HOO19" s="1115"/>
      <c r="HOP19" s="1115"/>
      <c r="HOQ19" s="1115"/>
      <c r="HOR19" s="1115"/>
      <c r="HOS19" s="1115"/>
      <c r="HOT19" s="1115"/>
      <c r="HOU19" s="1115"/>
      <c r="HOV19" s="1115"/>
      <c r="HOW19" s="1115"/>
      <c r="HOX19" s="1115"/>
      <c r="HOY19" s="1115"/>
      <c r="HOZ19" s="1115"/>
      <c r="HPA19" s="1115"/>
      <c r="HPB19" s="1115"/>
      <c r="HPC19" s="1115"/>
      <c r="HPD19" s="1115"/>
      <c r="HPE19" s="1115"/>
      <c r="HPF19" s="1115"/>
      <c r="HPG19" s="1115"/>
      <c r="HPH19" s="1115"/>
      <c r="HPI19" s="1115"/>
      <c r="HPJ19" s="1115"/>
      <c r="HPK19" s="1115"/>
      <c r="HPL19" s="1115"/>
      <c r="HPM19" s="1115"/>
      <c r="HPN19" s="1115"/>
      <c r="HPO19" s="1115"/>
      <c r="HPP19" s="1115"/>
      <c r="HPQ19" s="1115"/>
      <c r="HPR19" s="1115"/>
      <c r="HPS19" s="1115"/>
      <c r="HPT19" s="1115"/>
      <c r="HPU19" s="1115"/>
      <c r="HPV19" s="1115"/>
      <c r="HPW19" s="1115"/>
      <c r="HPX19" s="1115"/>
      <c r="HPY19" s="1115"/>
      <c r="HPZ19" s="1115"/>
      <c r="HQA19" s="1115"/>
      <c r="HQB19" s="1115"/>
      <c r="HQC19" s="1115"/>
      <c r="HQD19" s="1115"/>
      <c r="HQE19" s="1115"/>
      <c r="HQF19" s="1115"/>
      <c r="HQG19" s="1115"/>
      <c r="HQH19" s="1115"/>
      <c r="HQI19" s="1115"/>
      <c r="HQJ19" s="1115"/>
      <c r="HQK19" s="1115"/>
      <c r="HQL19" s="1115"/>
      <c r="HQM19" s="1115"/>
      <c r="HQN19" s="1115"/>
      <c r="HQO19" s="1115"/>
      <c r="HQP19" s="1115"/>
      <c r="HQQ19" s="1115"/>
      <c r="HQR19" s="1115"/>
      <c r="HQS19" s="1115"/>
      <c r="HQT19" s="1115"/>
      <c r="HQU19" s="1115"/>
      <c r="HQV19" s="1115"/>
      <c r="HQW19" s="1115"/>
      <c r="HQX19" s="1115"/>
      <c r="HQY19" s="1115"/>
      <c r="HQZ19" s="1115"/>
      <c r="HRA19" s="1115"/>
      <c r="HRB19" s="1115"/>
      <c r="HRC19" s="1115"/>
      <c r="HRD19" s="1115"/>
      <c r="HRE19" s="1115"/>
      <c r="HRF19" s="1115"/>
      <c r="HRG19" s="1115"/>
      <c r="HRH19" s="1115"/>
      <c r="HRI19" s="1115"/>
      <c r="HRJ19" s="1115"/>
      <c r="HRK19" s="1115"/>
      <c r="HRL19" s="1115"/>
      <c r="HRM19" s="1115"/>
      <c r="HRN19" s="1115"/>
      <c r="HRO19" s="1115"/>
      <c r="HRP19" s="1115"/>
      <c r="HRQ19" s="1115"/>
      <c r="HRR19" s="1115"/>
      <c r="HRS19" s="1115"/>
      <c r="HRT19" s="1115"/>
      <c r="HRU19" s="1115"/>
      <c r="HRV19" s="1115"/>
      <c r="HRW19" s="1115"/>
      <c r="HRX19" s="1115"/>
      <c r="HRY19" s="1115"/>
      <c r="HRZ19" s="1115"/>
      <c r="HSA19" s="1115"/>
      <c r="HSB19" s="1115"/>
      <c r="HSC19" s="1115"/>
      <c r="HSD19" s="1115"/>
      <c r="HSE19" s="1115"/>
      <c r="HSF19" s="1115"/>
      <c r="HSG19" s="1115"/>
      <c r="HSH19" s="1115"/>
      <c r="HSI19" s="1115"/>
      <c r="HSJ19" s="1115"/>
      <c r="HSK19" s="1115"/>
      <c r="HSL19" s="1115"/>
      <c r="HSM19" s="1115"/>
      <c r="HSN19" s="1115"/>
      <c r="HSO19" s="1115"/>
      <c r="HSP19" s="1115"/>
      <c r="HSQ19" s="1115"/>
      <c r="HSR19" s="1115"/>
      <c r="HSS19" s="1115"/>
      <c r="HST19" s="1115"/>
      <c r="HSU19" s="1115"/>
      <c r="HSV19" s="1115"/>
      <c r="HSW19" s="1115"/>
      <c r="HSX19" s="1115"/>
      <c r="HSY19" s="1115"/>
      <c r="HSZ19" s="1115"/>
      <c r="HTA19" s="1115"/>
      <c r="HTB19" s="1115"/>
      <c r="HTC19" s="1115"/>
      <c r="HTD19" s="1115"/>
      <c r="HTE19" s="1115"/>
      <c r="HTF19" s="1115"/>
      <c r="HTG19" s="1115"/>
      <c r="HTH19" s="1115"/>
      <c r="HTI19" s="1115"/>
      <c r="HTJ19" s="1115"/>
      <c r="HTK19" s="1115"/>
      <c r="HTL19" s="1115"/>
      <c r="HTM19" s="1115"/>
      <c r="HTN19" s="1115"/>
      <c r="HTO19" s="1115"/>
      <c r="HTP19" s="1115"/>
      <c r="HTQ19" s="1115"/>
      <c r="HTR19" s="1115"/>
      <c r="HTS19" s="1115"/>
      <c r="HTT19" s="1115"/>
      <c r="HTU19" s="1115"/>
      <c r="HTV19" s="1115"/>
      <c r="HTW19" s="1115"/>
      <c r="HTX19" s="1115"/>
      <c r="HTY19" s="1115"/>
      <c r="HTZ19" s="1115"/>
      <c r="HUA19" s="1115"/>
      <c r="HUB19" s="1115"/>
      <c r="HUC19" s="1115"/>
      <c r="HUD19" s="1115"/>
      <c r="HUE19" s="1115"/>
      <c r="HUF19" s="1115"/>
      <c r="HUG19" s="1115"/>
      <c r="HUH19" s="1115"/>
      <c r="HUI19" s="1115"/>
      <c r="HUJ19" s="1115"/>
      <c r="HUK19" s="1115"/>
      <c r="HUL19" s="1115"/>
      <c r="HUM19" s="1115"/>
      <c r="HUN19" s="1115"/>
      <c r="HUO19" s="1115"/>
      <c r="HUP19" s="1115"/>
      <c r="HUQ19" s="1115"/>
      <c r="HUR19" s="1115"/>
      <c r="HUS19" s="1115"/>
      <c r="HUT19" s="1115"/>
      <c r="HUU19" s="1115"/>
      <c r="HUV19" s="1115"/>
      <c r="HUW19" s="1115"/>
      <c r="HUX19" s="1115"/>
      <c r="HUY19" s="1115"/>
      <c r="HUZ19" s="1115"/>
      <c r="HVA19" s="1115"/>
      <c r="HVB19" s="1115"/>
      <c r="HVC19" s="1115"/>
      <c r="HVD19" s="1115"/>
      <c r="HVE19" s="1115"/>
      <c r="HVF19" s="1115"/>
      <c r="HVG19" s="1115"/>
      <c r="HVH19" s="1115"/>
      <c r="HVI19" s="1115"/>
      <c r="HVJ19" s="1115"/>
      <c r="HVK19" s="1115"/>
      <c r="HVL19" s="1115"/>
      <c r="HVM19" s="1115"/>
      <c r="HVN19" s="1115"/>
      <c r="HVO19" s="1115"/>
      <c r="HVP19" s="1115"/>
      <c r="HVQ19" s="1115"/>
      <c r="HVR19" s="1115"/>
      <c r="HVS19" s="1115"/>
      <c r="HVT19" s="1115"/>
      <c r="HVU19" s="1115"/>
      <c r="HVV19" s="1115"/>
      <c r="HVW19" s="1115"/>
      <c r="HVX19" s="1115"/>
      <c r="HVY19" s="1115"/>
      <c r="HVZ19" s="1115"/>
      <c r="HWA19" s="1115"/>
      <c r="HWB19" s="1115"/>
      <c r="HWC19" s="1115"/>
      <c r="HWD19" s="1115"/>
      <c r="HWE19" s="1115"/>
      <c r="HWF19" s="1115"/>
      <c r="HWG19" s="1115"/>
      <c r="HWH19" s="1115"/>
      <c r="HWI19" s="1115"/>
      <c r="HWJ19" s="1115"/>
      <c r="HWK19" s="1115"/>
      <c r="HWL19" s="1115"/>
      <c r="HWM19" s="1115"/>
      <c r="HWN19" s="1115"/>
      <c r="HWO19" s="1115"/>
      <c r="HWP19" s="1115"/>
      <c r="HWQ19" s="1115"/>
      <c r="HWR19" s="1115"/>
      <c r="HWS19" s="1115"/>
      <c r="HWT19" s="1115"/>
      <c r="HWU19" s="1115"/>
      <c r="HWV19" s="1115"/>
      <c r="HWW19" s="1115"/>
      <c r="HWX19" s="1115"/>
      <c r="HWY19" s="1115"/>
      <c r="HWZ19" s="1115"/>
      <c r="HXA19" s="1115"/>
      <c r="HXB19" s="1115"/>
      <c r="HXC19" s="1115"/>
      <c r="HXD19" s="1115"/>
      <c r="HXE19" s="1115"/>
      <c r="HXF19" s="1115"/>
      <c r="HXG19" s="1115"/>
      <c r="HXH19" s="1115"/>
      <c r="HXI19" s="1115"/>
      <c r="HXJ19" s="1115"/>
      <c r="HXK19" s="1115"/>
      <c r="HXL19" s="1115"/>
      <c r="HXM19" s="1115"/>
      <c r="HXN19" s="1115"/>
      <c r="HXO19" s="1115"/>
      <c r="HXP19" s="1115"/>
      <c r="HXQ19" s="1115"/>
      <c r="HXR19" s="1115"/>
      <c r="HXS19" s="1115"/>
      <c r="HXT19" s="1115"/>
      <c r="HXU19" s="1115"/>
      <c r="HXV19" s="1115"/>
      <c r="HXW19" s="1115"/>
      <c r="HXX19" s="1115"/>
      <c r="HXY19" s="1115"/>
      <c r="HXZ19" s="1115"/>
      <c r="HYA19" s="1115"/>
      <c r="HYB19" s="1115"/>
      <c r="HYC19" s="1115"/>
      <c r="HYD19" s="1115"/>
      <c r="HYE19" s="1115"/>
      <c r="HYF19" s="1115"/>
      <c r="HYG19" s="1115"/>
      <c r="HYH19" s="1115"/>
      <c r="HYI19" s="1115"/>
      <c r="HYJ19" s="1115"/>
      <c r="HYK19" s="1115"/>
      <c r="HYL19" s="1115"/>
      <c r="HYM19" s="1115"/>
      <c r="HYN19" s="1115"/>
      <c r="HYO19" s="1115"/>
      <c r="HYP19" s="1115"/>
      <c r="HYQ19" s="1115"/>
      <c r="HYR19" s="1115"/>
      <c r="HYS19" s="1115"/>
      <c r="HYT19" s="1115"/>
      <c r="HYU19" s="1115"/>
      <c r="HYV19" s="1115"/>
      <c r="HYW19" s="1115"/>
      <c r="HYX19" s="1115"/>
      <c r="HYY19" s="1115"/>
      <c r="HYZ19" s="1115"/>
      <c r="HZA19" s="1115"/>
      <c r="HZB19" s="1115"/>
      <c r="HZC19" s="1115"/>
      <c r="HZD19" s="1115"/>
      <c r="HZE19" s="1115"/>
      <c r="HZF19" s="1115"/>
      <c r="HZG19" s="1115"/>
      <c r="HZH19" s="1115"/>
      <c r="HZI19" s="1115"/>
      <c r="HZJ19" s="1115"/>
      <c r="HZK19" s="1115"/>
      <c r="HZL19" s="1115"/>
      <c r="HZM19" s="1115"/>
      <c r="HZN19" s="1115"/>
      <c r="HZO19" s="1115"/>
      <c r="HZP19" s="1115"/>
      <c r="HZQ19" s="1115"/>
      <c r="HZR19" s="1115"/>
      <c r="HZS19" s="1115"/>
      <c r="HZT19" s="1115"/>
      <c r="HZU19" s="1115"/>
      <c r="HZV19" s="1115"/>
      <c r="HZW19" s="1115"/>
      <c r="HZX19" s="1115"/>
      <c r="HZY19" s="1115"/>
      <c r="HZZ19" s="1115"/>
      <c r="IAA19" s="1115"/>
      <c r="IAB19" s="1115"/>
      <c r="IAC19" s="1115"/>
      <c r="IAD19" s="1115"/>
      <c r="IAE19" s="1115"/>
      <c r="IAF19" s="1115"/>
      <c r="IAG19" s="1115"/>
      <c r="IAH19" s="1115"/>
      <c r="IAI19" s="1115"/>
      <c r="IAJ19" s="1115"/>
      <c r="IAK19" s="1115"/>
      <c r="IAL19" s="1115"/>
      <c r="IAM19" s="1115"/>
      <c r="IAN19" s="1115"/>
      <c r="IAO19" s="1115"/>
      <c r="IAP19" s="1115"/>
      <c r="IAQ19" s="1115"/>
      <c r="IAR19" s="1115"/>
      <c r="IAS19" s="1115"/>
      <c r="IAT19" s="1115"/>
      <c r="IAU19" s="1115"/>
      <c r="IAV19" s="1115"/>
      <c r="IAW19" s="1115"/>
      <c r="IAX19" s="1115"/>
      <c r="IAY19" s="1115"/>
      <c r="IAZ19" s="1115"/>
      <c r="IBA19" s="1115"/>
      <c r="IBB19" s="1115"/>
      <c r="IBC19" s="1115"/>
      <c r="IBD19" s="1115"/>
      <c r="IBE19" s="1115"/>
      <c r="IBF19" s="1115"/>
      <c r="IBG19" s="1115"/>
      <c r="IBH19" s="1115"/>
      <c r="IBI19" s="1115"/>
      <c r="IBJ19" s="1115"/>
      <c r="IBK19" s="1115"/>
      <c r="IBL19" s="1115"/>
      <c r="IBM19" s="1115"/>
      <c r="IBN19" s="1115"/>
      <c r="IBO19" s="1115"/>
      <c r="IBP19" s="1115"/>
      <c r="IBQ19" s="1115"/>
      <c r="IBR19" s="1115"/>
      <c r="IBS19" s="1115"/>
      <c r="IBT19" s="1115"/>
      <c r="IBU19" s="1115"/>
      <c r="IBV19" s="1115"/>
      <c r="IBW19" s="1115"/>
      <c r="IBX19" s="1115"/>
      <c r="IBY19" s="1115"/>
      <c r="IBZ19" s="1115"/>
      <c r="ICA19" s="1115"/>
      <c r="ICB19" s="1115"/>
      <c r="ICC19" s="1115"/>
      <c r="ICD19" s="1115"/>
      <c r="ICE19" s="1115"/>
      <c r="ICF19" s="1115"/>
      <c r="ICG19" s="1115"/>
      <c r="ICH19" s="1115"/>
      <c r="ICI19" s="1115"/>
      <c r="ICJ19" s="1115"/>
      <c r="ICK19" s="1115"/>
      <c r="ICL19" s="1115"/>
      <c r="ICM19" s="1115"/>
      <c r="ICN19" s="1115"/>
      <c r="ICO19" s="1115"/>
      <c r="ICP19" s="1115"/>
      <c r="ICQ19" s="1115"/>
      <c r="ICR19" s="1115"/>
      <c r="ICS19" s="1115"/>
      <c r="ICT19" s="1115"/>
      <c r="ICU19" s="1115"/>
      <c r="ICV19" s="1115"/>
      <c r="ICW19" s="1115"/>
      <c r="ICX19" s="1115"/>
      <c r="ICY19" s="1115"/>
      <c r="ICZ19" s="1115"/>
      <c r="IDA19" s="1115"/>
      <c r="IDB19" s="1115"/>
      <c r="IDC19" s="1115"/>
      <c r="IDD19" s="1115"/>
      <c r="IDE19" s="1115"/>
      <c r="IDF19" s="1115"/>
      <c r="IDG19" s="1115"/>
      <c r="IDH19" s="1115"/>
      <c r="IDI19" s="1115"/>
      <c r="IDJ19" s="1115"/>
      <c r="IDK19" s="1115"/>
      <c r="IDL19" s="1115"/>
      <c r="IDM19" s="1115"/>
      <c r="IDN19" s="1115"/>
      <c r="IDO19" s="1115"/>
      <c r="IDP19" s="1115"/>
      <c r="IDQ19" s="1115"/>
      <c r="IDR19" s="1115"/>
      <c r="IDS19" s="1115"/>
      <c r="IDT19" s="1115"/>
      <c r="IDU19" s="1115"/>
      <c r="IDV19" s="1115"/>
      <c r="IDW19" s="1115"/>
      <c r="IDX19" s="1115"/>
      <c r="IDY19" s="1115"/>
      <c r="IDZ19" s="1115"/>
      <c r="IEA19" s="1115"/>
      <c r="IEB19" s="1115"/>
      <c r="IEC19" s="1115"/>
      <c r="IED19" s="1115"/>
      <c r="IEE19" s="1115"/>
      <c r="IEF19" s="1115"/>
      <c r="IEG19" s="1115"/>
      <c r="IEH19" s="1115"/>
      <c r="IEI19" s="1115"/>
      <c r="IEJ19" s="1115"/>
      <c r="IEK19" s="1115"/>
      <c r="IEL19" s="1115"/>
      <c r="IEM19" s="1115"/>
      <c r="IEN19" s="1115"/>
      <c r="IEO19" s="1115"/>
      <c r="IEP19" s="1115"/>
      <c r="IEQ19" s="1115"/>
      <c r="IER19" s="1115"/>
      <c r="IES19" s="1115"/>
      <c r="IET19" s="1115"/>
      <c r="IEU19" s="1115"/>
      <c r="IEV19" s="1115"/>
      <c r="IEW19" s="1115"/>
      <c r="IEX19" s="1115"/>
      <c r="IEY19" s="1115"/>
      <c r="IEZ19" s="1115"/>
      <c r="IFA19" s="1115"/>
      <c r="IFB19" s="1115"/>
      <c r="IFC19" s="1115"/>
      <c r="IFD19" s="1115"/>
      <c r="IFE19" s="1115"/>
      <c r="IFF19" s="1115"/>
      <c r="IFG19" s="1115"/>
      <c r="IFH19" s="1115"/>
      <c r="IFI19" s="1115"/>
      <c r="IFJ19" s="1115"/>
      <c r="IFK19" s="1115"/>
      <c r="IFL19" s="1115"/>
      <c r="IFM19" s="1115"/>
      <c r="IFN19" s="1115"/>
      <c r="IFO19" s="1115"/>
      <c r="IFP19" s="1115"/>
      <c r="IFQ19" s="1115"/>
      <c r="IFR19" s="1115"/>
      <c r="IFS19" s="1115"/>
      <c r="IFT19" s="1115"/>
      <c r="IFU19" s="1115"/>
      <c r="IFV19" s="1115"/>
      <c r="IFW19" s="1115"/>
      <c r="IFX19" s="1115"/>
      <c r="IFY19" s="1115"/>
      <c r="IFZ19" s="1115"/>
      <c r="IGA19" s="1115"/>
      <c r="IGB19" s="1115"/>
      <c r="IGC19" s="1115"/>
      <c r="IGD19" s="1115"/>
      <c r="IGE19" s="1115"/>
      <c r="IGF19" s="1115"/>
      <c r="IGG19" s="1115"/>
      <c r="IGH19" s="1115"/>
      <c r="IGI19" s="1115"/>
      <c r="IGJ19" s="1115"/>
      <c r="IGK19" s="1115"/>
      <c r="IGL19" s="1115"/>
      <c r="IGM19" s="1115"/>
      <c r="IGN19" s="1115"/>
      <c r="IGO19" s="1115"/>
      <c r="IGP19" s="1115"/>
      <c r="IGQ19" s="1115"/>
      <c r="IGR19" s="1115"/>
      <c r="IGS19" s="1115"/>
      <c r="IGT19" s="1115"/>
      <c r="IGU19" s="1115"/>
      <c r="IGV19" s="1115"/>
      <c r="IGW19" s="1115"/>
      <c r="IGX19" s="1115"/>
      <c r="IGY19" s="1115"/>
      <c r="IGZ19" s="1115"/>
      <c r="IHA19" s="1115"/>
      <c r="IHB19" s="1115"/>
      <c r="IHC19" s="1115"/>
      <c r="IHD19" s="1115"/>
      <c r="IHE19" s="1115"/>
      <c r="IHF19" s="1115"/>
      <c r="IHG19" s="1115"/>
      <c r="IHH19" s="1115"/>
      <c r="IHI19" s="1115"/>
      <c r="IHJ19" s="1115"/>
      <c r="IHK19" s="1115"/>
      <c r="IHL19" s="1115"/>
      <c r="IHM19" s="1115"/>
      <c r="IHN19" s="1115"/>
      <c r="IHO19" s="1115"/>
      <c r="IHP19" s="1115"/>
      <c r="IHQ19" s="1115"/>
      <c r="IHR19" s="1115"/>
      <c r="IHS19" s="1115"/>
      <c r="IHT19" s="1115"/>
      <c r="IHU19" s="1115"/>
      <c r="IHV19" s="1115"/>
      <c r="IHW19" s="1115"/>
      <c r="IHX19" s="1115"/>
      <c r="IHY19" s="1115"/>
      <c r="IHZ19" s="1115"/>
      <c r="IIA19" s="1115"/>
      <c r="IIB19" s="1115"/>
      <c r="IIC19" s="1115"/>
      <c r="IID19" s="1115"/>
      <c r="IIE19" s="1115"/>
      <c r="IIF19" s="1115"/>
      <c r="IIG19" s="1115"/>
      <c r="IIH19" s="1115"/>
      <c r="III19" s="1115"/>
      <c r="IIJ19" s="1115"/>
      <c r="IIK19" s="1115"/>
      <c r="IIL19" s="1115"/>
      <c r="IIM19" s="1115"/>
      <c r="IIN19" s="1115"/>
      <c r="IIO19" s="1115"/>
      <c r="IIP19" s="1115"/>
      <c r="IIQ19" s="1115"/>
      <c r="IIR19" s="1115"/>
      <c r="IIS19" s="1115"/>
      <c r="IIT19" s="1115"/>
      <c r="IIU19" s="1115"/>
      <c r="IIV19" s="1115"/>
      <c r="IIW19" s="1115"/>
      <c r="IIX19" s="1115"/>
      <c r="IIY19" s="1115"/>
      <c r="IIZ19" s="1115"/>
      <c r="IJA19" s="1115"/>
      <c r="IJB19" s="1115"/>
      <c r="IJC19" s="1115"/>
      <c r="IJD19" s="1115"/>
      <c r="IJE19" s="1115"/>
      <c r="IJF19" s="1115"/>
      <c r="IJG19" s="1115"/>
      <c r="IJH19" s="1115"/>
      <c r="IJI19" s="1115"/>
      <c r="IJJ19" s="1115"/>
      <c r="IJK19" s="1115"/>
      <c r="IJL19" s="1115"/>
      <c r="IJM19" s="1115"/>
      <c r="IJN19" s="1115"/>
      <c r="IJO19" s="1115"/>
      <c r="IJP19" s="1115"/>
      <c r="IJQ19" s="1115"/>
      <c r="IJR19" s="1115"/>
      <c r="IJS19" s="1115"/>
      <c r="IJT19" s="1115"/>
      <c r="IJU19" s="1115"/>
      <c r="IJV19" s="1115"/>
      <c r="IJW19" s="1115"/>
      <c r="IJX19" s="1115"/>
      <c r="IJY19" s="1115"/>
      <c r="IJZ19" s="1115"/>
      <c r="IKA19" s="1115"/>
      <c r="IKB19" s="1115"/>
      <c r="IKC19" s="1115"/>
      <c r="IKD19" s="1115"/>
      <c r="IKE19" s="1115"/>
      <c r="IKF19" s="1115"/>
      <c r="IKG19" s="1115"/>
      <c r="IKH19" s="1115"/>
      <c r="IKI19" s="1115"/>
      <c r="IKJ19" s="1115"/>
      <c r="IKK19" s="1115"/>
      <c r="IKL19" s="1115"/>
      <c r="IKM19" s="1115"/>
      <c r="IKN19" s="1115"/>
      <c r="IKO19" s="1115"/>
      <c r="IKP19" s="1115"/>
      <c r="IKQ19" s="1115"/>
      <c r="IKR19" s="1115"/>
      <c r="IKS19" s="1115"/>
      <c r="IKT19" s="1115"/>
      <c r="IKU19" s="1115"/>
      <c r="IKV19" s="1115"/>
      <c r="IKW19" s="1115"/>
      <c r="IKX19" s="1115"/>
      <c r="IKY19" s="1115"/>
      <c r="IKZ19" s="1115"/>
      <c r="ILA19" s="1115"/>
      <c r="ILB19" s="1115"/>
      <c r="ILC19" s="1115"/>
      <c r="ILD19" s="1115"/>
      <c r="ILE19" s="1115"/>
      <c r="ILF19" s="1115"/>
      <c r="ILG19" s="1115"/>
      <c r="ILH19" s="1115"/>
      <c r="ILI19" s="1115"/>
      <c r="ILJ19" s="1115"/>
      <c r="ILK19" s="1115"/>
      <c r="ILL19" s="1115"/>
      <c r="ILM19" s="1115"/>
      <c r="ILN19" s="1115"/>
      <c r="ILO19" s="1115"/>
      <c r="ILP19" s="1115"/>
      <c r="ILQ19" s="1115"/>
      <c r="ILR19" s="1115"/>
      <c r="ILS19" s="1115"/>
      <c r="ILT19" s="1115"/>
      <c r="ILU19" s="1115"/>
      <c r="ILV19" s="1115"/>
      <c r="ILW19" s="1115"/>
      <c r="ILX19" s="1115"/>
      <c r="ILY19" s="1115"/>
      <c r="ILZ19" s="1115"/>
      <c r="IMA19" s="1115"/>
      <c r="IMB19" s="1115"/>
      <c r="IMC19" s="1115"/>
      <c r="IMD19" s="1115"/>
      <c r="IME19" s="1115"/>
      <c r="IMF19" s="1115"/>
      <c r="IMG19" s="1115"/>
      <c r="IMH19" s="1115"/>
      <c r="IMI19" s="1115"/>
      <c r="IMJ19" s="1115"/>
      <c r="IMK19" s="1115"/>
      <c r="IML19" s="1115"/>
      <c r="IMM19" s="1115"/>
      <c r="IMN19" s="1115"/>
      <c r="IMO19" s="1115"/>
      <c r="IMP19" s="1115"/>
      <c r="IMQ19" s="1115"/>
      <c r="IMR19" s="1115"/>
      <c r="IMS19" s="1115"/>
      <c r="IMT19" s="1115"/>
      <c r="IMU19" s="1115"/>
      <c r="IMV19" s="1115"/>
      <c r="IMW19" s="1115"/>
      <c r="IMX19" s="1115"/>
      <c r="IMY19" s="1115"/>
      <c r="IMZ19" s="1115"/>
      <c r="INA19" s="1115"/>
      <c r="INB19" s="1115"/>
      <c r="INC19" s="1115"/>
      <c r="IND19" s="1115"/>
      <c r="INE19" s="1115"/>
      <c r="INF19" s="1115"/>
      <c r="ING19" s="1115"/>
      <c r="INH19" s="1115"/>
      <c r="INI19" s="1115"/>
      <c r="INJ19" s="1115"/>
      <c r="INK19" s="1115"/>
      <c r="INL19" s="1115"/>
      <c r="INM19" s="1115"/>
      <c r="INN19" s="1115"/>
      <c r="INO19" s="1115"/>
      <c r="INP19" s="1115"/>
      <c r="INQ19" s="1115"/>
      <c r="INR19" s="1115"/>
      <c r="INS19" s="1115"/>
      <c r="INT19" s="1115"/>
      <c r="INU19" s="1115"/>
      <c r="INV19" s="1115"/>
      <c r="INW19" s="1115"/>
      <c r="INX19" s="1115"/>
      <c r="INY19" s="1115"/>
      <c r="INZ19" s="1115"/>
      <c r="IOA19" s="1115"/>
      <c r="IOB19" s="1115"/>
      <c r="IOC19" s="1115"/>
      <c r="IOD19" s="1115"/>
      <c r="IOE19" s="1115"/>
      <c r="IOF19" s="1115"/>
      <c r="IOG19" s="1115"/>
      <c r="IOH19" s="1115"/>
      <c r="IOI19" s="1115"/>
      <c r="IOJ19" s="1115"/>
      <c r="IOK19" s="1115"/>
      <c r="IOL19" s="1115"/>
      <c r="IOM19" s="1115"/>
      <c r="ION19" s="1115"/>
      <c r="IOO19" s="1115"/>
      <c r="IOP19" s="1115"/>
      <c r="IOQ19" s="1115"/>
      <c r="IOR19" s="1115"/>
      <c r="IOS19" s="1115"/>
      <c r="IOT19" s="1115"/>
      <c r="IOU19" s="1115"/>
      <c r="IOV19" s="1115"/>
      <c r="IOW19" s="1115"/>
      <c r="IOX19" s="1115"/>
      <c r="IOY19" s="1115"/>
      <c r="IOZ19" s="1115"/>
      <c r="IPA19" s="1115"/>
      <c r="IPB19" s="1115"/>
      <c r="IPC19" s="1115"/>
      <c r="IPD19" s="1115"/>
      <c r="IPE19" s="1115"/>
      <c r="IPF19" s="1115"/>
      <c r="IPG19" s="1115"/>
      <c r="IPH19" s="1115"/>
      <c r="IPI19" s="1115"/>
      <c r="IPJ19" s="1115"/>
      <c r="IPK19" s="1115"/>
      <c r="IPL19" s="1115"/>
      <c r="IPM19" s="1115"/>
      <c r="IPN19" s="1115"/>
      <c r="IPO19" s="1115"/>
      <c r="IPP19" s="1115"/>
      <c r="IPQ19" s="1115"/>
      <c r="IPR19" s="1115"/>
      <c r="IPS19" s="1115"/>
      <c r="IPT19" s="1115"/>
      <c r="IPU19" s="1115"/>
      <c r="IPV19" s="1115"/>
      <c r="IPW19" s="1115"/>
      <c r="IPX19" s="1115"/>
      <c r="IPY19" s="1115"/>
      <c r="IPZ19" s="1115"/>
      <c r="IQA19" s="1115"/>
      <c r="IQB19" s="1115"/>
      <c r="IQC19" s="1115"/>
      <c r="IQD19" s="1115"/>
      <c r="IQE19" s="1115"/>
      <c r="IQF19" s="1115"/>
      <c r="IQG19" s="1115"/>
      <c r="IQH19" s="1115"/>
      <c r="IQI19" s="1115"/>
      <c r="IQJ19" s="1115"/>
      <c r="IQK19" s="1115"/>
      <c r="IQL19" s="1115"/>
      <c r="IQM19" s="1115"/>
      <c r="IQN19" s="1115"/>
      <c r="IQO19" s="1115"/>
      <c r="IQP19" s="1115"/>
      <c r="IQQ19" s="1115"/>
      <c r="IQR19" s="1115"/>
      <c r="IQS19" s="1115"/>
      <c r="IQT19" s="1115"/>
      <c r="IQU19" s="1115"/>
      <c r="IQV19" s="1115"/>
      <c r="IQW19" s="1115"/>
      <c r="IQX19" s="1115"/>
      <c r="IQY19" s="1115"/>
      <c r="IQZ19" s="1115"/>
      <c r="IRA19" s="1115"/>
      <c r="IRB19" s="1115"/>
      <c r="IRC19" s="1115"/>
      <c r="IRD19" s="1115"/>
      <c r="IRE19" s="1115"/>
      <c r="IRF19" s="1115"/>
      <c r="IRG19" s="1115"/>
      <c r="IRH19" s="1115"/>
      <c r="IRI19" s="1115"/>
      <c r="IRJ19" s="1115"/>
      <c r="IRK19" s="1115"/>
      <c r="IRL19" s="1115"/>
      <c r="IRM19" s="1115"/>
      <c r="IRN19" s="1115"/>
      <c r="IRO19" s="1115"/>
      <c r="IRP19" s="1115"/>
      <c r="IRQ19" s="1115"/>
      <c r="IRR19" s="1115"/>
      <c r="IRS19" s="1115"/>
      <c r="IRT19" s="1115"/>
      <c r="IRU19" s="1115"/>
      <c r="IRV19" s="1115"/>
      <c r="IRW19" s="1115"/>
      <c r="IRX19" s="1115"/>
      <c r="IRY19" s="1115"/>
      <c r="IRZ19" s="1115"/>
      <c r="ISA19" s="1115"/>
      <c r="ISB19" s="1115"/>
      <c r="ISC19" s="1115"/>
      <c r="ISD19" s="1115"/>
      <c r="ISE19" s="1115"/>
      <c r="ISF19" s="1115"/>
      <c r="ISG19" s="1115"/>
      <c r="ISH19" s="1115"/>
      <c r="ISI19" s="1115"/>
      <c r="ISJ19" s="1115"/>
      <c r="ISK19" s="1115"/>
      <c r="ISL19" s="1115"/>
      <c r="ISM19" s="1115"/>
      <c r="ISN19" s="1115"/>
      <c r="ISO19" s="1115"/>
      <c r="ISP19" s="1115"/>
      <c r="ISQ19" s="1115"/>
      <c r="ISR19" s="1115"/>
      <c r="ISS19" s="1115"/>
      <c r="IST19" s="1115"/>
      <c r="ISU19" s="1115"/>
      <c r="ISV19" s="1115"/>
      <c r="ISW19" s="1115"/>
      <c r="ISX19" s="1115"/>
      <c r="ISY19" s="1115"/>
      <c r="ISZ19" s="1115"/>
      <c r="ITA19" s="1115"/>
      <c r="ITB19" s="1115"/>
      <c r="ITC19" s="1115"/>
      <c r="ITD19" s="1115"/>
      <c r="ITE19" s="1115"/>
      <c r="ITF19" s="1115"/>
      <c r="ITG19" s="1115"/>
      <c r="ITH19" s="1115"/>
      <c r="ITI19" s="1115"/>
      <c r="ITJ19" s="1115"/>
      <c r="ITK19" s="1115"/>
      <c r="ITL19" s="1115"/>
      <c r="ITM19" s="1115"/>
      <c r="ITN19" s="1115"/>
      <c r="ITO19" s="1115"/>
      <c r="ITP19" s="1115"/>
      <c r="ITQ19" s="1115"/>
      <c r="ITR19" s="1115"/>
      <c r="ITS19" s="1115"/>
      <c r="ITT19" s="1115"/>
      <c r="ITU19" s="1115"/>
      <c r="ITV19" s="1115"/>
      <c r="ITW19" s="1115"/>
      <c r="ITX19" s="1115"/>
      <c r="ITY19" s="1115"/>
      <c r="ITZ19" s="1115"/>
      <c r="IUA19" s="1115"/>
      <c r="IUB19" s="1115"/>
      <c r="IUC19" s="1115"/>
      <c r="IUD19" s="1115"/>
      <c r="IUE19" s="1115"/>
      <c r="IUF19" s="1115"/>
      <c r="IUG19" s="1115"/>
      <c r="IUH19" s="1115"/>
      <c r="IUI19" s="1115"/>
      <c r="IUJ19" s="1115"/>
      <c r="IUK19" s="1115"/>
      <c r="IUL19" s="1115"/>
      <c r="IUM19" s="1115"/>
      <c r="IUN19" s="1115"/>
      <c r="IUO19" s="1115"/>
      <c r="IUP19" s="1115"/>
      <c r="IUQ19" s="1115"/>
      <c r="IUR19" s="1115"/>
      <c r="IUS19" s="1115"/>
      <c r="IUT19" s="1115"/>
      <c r="IUU19" s="1115"/>
      <c r="IUV19" s="1115"/>
      <c r="IUW19" s="1115"/>
      <c r="IUX19" s="1115"/>
      <c r="IUY19" s="1115"/>
      <c r="IUZ19" s="1115"/>
      <c r="IVA19" s="1115"/>
      <c r="IVB19" s="1115"/>
      <c r="IVC19" s="1115"/>
      <c r="IVD19" s="1115"/>
      <c r="IVE19" s="1115"/>
      <c r="IVF19" s="1115"/>
      <c r="IVG19" s="1115"/>
      <c r="IVH19" s="1115"/>
      <c r="IVI19" s="1115"/>
      <c r="IVJ19" s="1115"/>
      <c r="IVK19" s="1115"/>
      <c r="IVL19" s="1115"/>
      <c r="IVM19" s="1115"/>
      <c r="IVN19" s="1115"/>
      <c r="IVO19" s="1115"/>
      <c r="IVP19" s="1115"/>
      <c r="IVQ19" s="1115"/>
      <c r="IVR19" s="1115"/>
      <c r="IVS19" s="1115"/>
      <c r="IVT19" s="1115"/>
      <c r="IVU19" s="1115"/>
      <c r="IVV19" s="1115"/>
      <c r="IVW19" s="1115"/>
      <c r="IVX19" s="1115"/>
      <c r="IVY19" s="1115"/>
      <c r="IVZ19" s="1115"/>
      <c r="IWA19" s="1115"/>
      <c r="IWB19" s="1115"/>
      <c r="IWC19" s="1115"/>
      <c r="IWD19" s="1115"/>
      <c r="IWE19" s="1115"/>
      <c r="IWF19" s="1115"/>
      <c r="IWG19" s="1115"/>
      <c r="IWH19" s="1115"/>
      <c r="IWI19" s="1115"/>
      <c r="IWJ19" s="1115"/>
      <c r="IWK19" s="1115"/>
      <c r="IWL19" s="1115"/>
      <c r="IWM19" s="1115"/>
      <c r="IWN19" s="1115"/>
      <c r="IWO19" s="1115"/>
      <c r="IWP19" s="1115"/>
      <c r="IWQ19" s="1115"/>
      <c r="IWR19" s="1115"/>
      <c r="IWS19" s="1115"/>
      <c r="IWT19" s="1115"/>
      <c r="IWU19" s="1115"/>
      <c r="IWV19" s="1115"/>
      <c r="IWW19" s="1115"/>
      <c r="IWX19" s="1115"/>
      <c r="IWY19" s="1115"/>
      <c r="IWZ19" s="1115"/>
      <c r="IXA19" s="1115"/>
      <c r="IXB19" s="1115"/>
      <c r="IXC19" s="1115"/>
      <c r="IXD19" s="1115"/>
      <c r="IXE19" s="1115"/>
      <c r="IXF19" s="1115"/>
      <c r="IXG19" s="1115"/>
      <c r="IXH19" s="1115"/>
      <c r="IXI19" s="1115"/>
      <c r="IXJ19" s="1115"/>
      <c r="IXK19" s="1115"/>
      <c r="IXL19" s="1115"/>
      <c r="IXM19" s="1115"/>
      <c r="IXN19" s="1115"/>
      <c r="IXO19" s="1115"/>
      <c r="IXP19" s="1115"/>
      <c r="IXQ19" s="1115"/>
      <c r="IXR19" s="1115"/>
      <c r="IXS19" s="1115"/>
      <c r="IXT19" s="1115"/>
      <c r="IXU19" s="1115"/>
      <c r="IXV19" s="1115"/>
      <c r="IXW19" s="1115"/>
      <c r="IXX19" s="1115"/>
      <c r="IXY19" s="1115"/>
      <c r="IXZ19" s="1115"/>
      <c r="IYA19" s="1115"/>
      <c r="IYB19" s="1115"/>
      <c r="IYC19" s="1115"/>
      <c r="IYD19" s="1115"/>
      <c r="IYE19" s="1115"/>
      <c r="IYF19" s="1115"/>
      <c r="IYG19" s="1115"/>
      <c r="IYH19" s="1115"/>
      <c r="IYI19" s="1115"/>
      <c r="IYJ19" s="1115"/>
      <c r="IYK19" s="1115"/>
      <c r="IYL19" s="1115"/>
      <c r="IYM19" s="1115"/>
      <c r="IYN19" s="1115"/>
      <c r="IYO19" s="1115"/>
      <c r="IYP19" s="1115"/>
      <c r="IYQ19" s="1115"/>
      <c r="IYR19" s="1115"/>
      <c r="IYS19" s="1115"/>
      <c r="IYT19" s="1115"/>
      <c r="IYU19" s="1115"/>
      <c r="IYV19" s="1115"/>
      <c r="IYW19" s="1115"/>
      <c r="IYX19" s="1115"/>
      <c r="IYY19" s="1115"/>
      <c r="IYZ19" s="1115"/>
      <c r="IZA19" s="1115"/>
      <c r="IZB19" s="1115"/>
      <c r="IZC19" s="1115"/>
      <c r="IZD19" s="1115"/>
      <c r="IZE19" s="1115"/>
      <c r="IZF19" s="1115"/>
      <c r="IZG19" s="1115"/>
      <c r="IZH19" s="1115"/>
      <c r="IZI19" s="1115"/>
      <c r="IZJ19" s="1115"/>
      <c r="IZK19" s="1115"/>
      <c r="IZL19" s="1115"/>
      <c r="IZM19" s="1115"/>
      <c r="IZN19" s="1115"/>
      <c r="IZO19" s="1115"/>
      <c r="IZP19" s="1115"/>
      <c r="IZQ19" s="1115"/>
      <c r="IZR19" s="1115"/>
      <c r="IZS19" s="1115"/>
      <c r="IZT19" s="1115"/>
      <c r="IZU19" s="1115"/>
      <c r="IZV19" s="1115"/>
      <c r="IZW19" s="1115"/>
      <c r="IZX19" s="1115"/>
      <c r="IZY19" s="1115"/>
      <c r="IZZ19" s="1115"/>
      <c r="JAA19" s="1115"/>
      <c r="JAB19" s="1115"/>
      <c r="JAC19" s="1115"/>
      <c r="JAD19" s="1115"/>
      <c r="JAE19" s="1115"/>
      <c r="JAF19" s="1115"/>
      <c r="JAG19" s="1115"/>
      <c r="JAH19" s="1115"/>
      <c r="JAI19" s="1115"/>
      <c r="JAJ19" s="1115"/>
      <c r="JAK19" s="1115"/>
      <c r="JAL19" s="1115"/>
      <c r="JAM19" s="1115"/>
      <c r="JAN19" s="1115"/>
      <c r="JAO19" s="1115"/>
      <c r="JAP19" s="1115"/>
      <c r="JAQ19" s="1115"/>
      <c r="JAR19" s="1115"/>
      <c r="JAS19" s="1115"/>
      <c r="JAT19" s="1115"/>
      <c r="JAU19" s="1115"/>
      <c r="JAV19" s="1115"/>
      <c r="JAW19" s="1115"/>
      <c r="JAX19" s="1115"/>
      <c r="JAY19" s="1115"/>
      <c r="JAZ19" s="1115"/>
      <c r="JBA19" s="1115"/>
      <c r="JBB19" s="1115"/>
      <c r="JBC19" s="1115"/>
      <c r="JBD19" s="1115"/>
      <c r="JBE19" s="1115"/>
      <c r="JBF19" s="1115"/>
      <c r="JBG19" s="1115"/>
      <c r="JBH19" s="1115"/>
      <c r="JBI19" s="1115"/>
      <c r="JBJ19" s="1115"/>
      <c r="JBK19" s="1115"/>
      <c r="JBL19" s="1115"/>
      <c r="JBM19" s="1115"/>
      <c r="JBN19" s="1115"/>
      <c r="JBO19" s="1115"/>
      <c r="JBP19" s="1115"/>
      <c r="JBQ19" s="1115"/>
      <c r="JBR19" s="1115"/>
      <c r="JBS19" s="1115"/>
      <c r="JBT19" s="1115"/>
      <c r="JBU19" s="1115"/>
      <c r="JBV19" s="1115"/>
      <c r="JBW19" s="1115"/>
      <c r="JBX19" s="1115"/>
      <c r="JBY19" s="1115"/>
      <c r="JBZ19" s="1115"/>
      <c r="JCA19" s="1115"/>
      <c r="JCB19" s="1115"/>
      <c r="JCC19" s="1115"/>
      <c r="JCD19" s="1115"/>
      <c r="JCE19" s="1115"/>
      <c r="JCF19" s="1115"/>
      <c r="JCG19" s="1115"/>
      <c r="JCH19" s="1115"/>
      <c r="JCI19" s="1115"/>
      <c r="JCJ19" s="1115"/>
      <c r="JCK19" s="1115"/>
      <c r="JCL19" s="1115"/>
      <c r="JCM19" s="1115"/>
      <c r="JCN19" s="1115"/>
      <c r="JCO19" s="1115"/>
      <c r="JCP19" s="1115"/>
      <c r="JCQ19" s="1115"/>
      <c r="JCR19" s="1115"/>
      <c r="JCS19" s="1115"/>
      <c r="JCT19" s="1115"/>
      <c r="JCU19" s="1115"/>
      <c r="JCV19" s="1115"/>
      <c r="JCW19" s="1115"/>
      <c r="JCX19" s="1115"/>
      <c r="JCY19" s="1115"/>
      <c r="JCZ19" s="1115"/>
      <c r="JDA19" s="1115"/>
      <c r="JDB19" s="1115"/>
      <c r="JDC19" s="1115"/>
      <c r="JDD19" s="1115"/>
      <c r="JDE19" s="1115"/>
      <c r="JDF19" s="1115"/>
      <c r="JDG19" s="1115"/>
      <c r="JDH19" s="1115"/>
      <c r="JDI19" s="1115"/>
      <c r="JDJ19" s="1115"/>
      <c r="JDK19" s="1115"/>
      <c r="JDL19" s="1115"/>
      <c r="JDM19" s="1115"/>
      <c r="JDN19" s="1115"/>
      <c r="JDO19" s="1115"/>
      <c r="JDP19" s="1115"/>
      <c r="JDQ19" s="1115"/>
      <c r="JDR19" s="1115"/>
      <c r="JDS19" s="1115"/>
      <c r="JDT19" s="1115"/>
      <c r="JDU19" s="1115"/>
      <c r="JDV19" s="1115"/>
      <c r="JDW19" s="1115"/>
      <c r="JDX19" s="1115"/>
      <c r="JDY19" s="1115"/>
      <c r="JDZ19" s="1115"/>
      <c r="JEA19" s="1115"/>
      <c r="JEB19" s="1115"/>
      <c r="JEC19" s="1115"/>
      <c r="JED19" s="1115"/>
      <c r="JEE19" s="1115"/>
      <c r="JEF19" s="1115"/>
      <c r="JEG19" s="1115"/>
      <c r="JEH19" s="1115"/>
      <c r="JEI19" s="1115"/>
      <c r="JEJ19" s="1115"/>
      <c r="JEK19" s="1115"/>
      <c r="JEL19" s="1115"/>
      <c r="JEM19" s="1115"/>
      <c r="JEN19" s="1115"/>
      <c r="JEO19" s="1115"/>
      <c r="JEP19" s="1115"/>
      <c r="JEQ19" s="1115"/>
      <c r="JER19" s="1115"/>
      <c r="JES19" s="1115"/>
      <c r="JET19" s="1115"/>
      <c r="JEU19" s="1115"/>
      <c r="JEV19" s="1115"/>
      <c r="JEW19" s="1115"/>
      <c r="JEX19" s="1115"/>
      <c r="JEY19" s="1115"/>
      <c r="JEZ19" s="1115"/>
      <c r="JFA19" s="1115"/>
      <c r="JFB19" s="1115"/>
      <c r="JFC19" s="1115"/>
      <c r="JFD19" s="1115"/>
      <c r="JFE19" s="1115"/>
      <c r="JFF19" s="1115"/>
      <c r="JFG19" s="1115"/>
      <c r="JFH19" s="1115"/>
      <c r="JFI19" s="1115"/>
      <c r="JFJ19" s="1115"/>
      <c r="JFK19" s="1115"/>
      <c r="JFL19" s="1115"/>
      <c r="JFM19" s="1115"/>
      <c r="JFN19" s="1115"/>
      <c r="JFO19" s="1115"/>
      <c r="JFP19" s="1115"/>
      <c r="JFQ19" s="1115"/>
      <c r="JFR19" s="1115"/>
      <c r="JFS19" s="1115"/>
      <c r="JFT19" s="1115"/>
      <c r="JFU19" s="1115"/>
      <c r="JFV19" s="1115"/>
      <c r="JFW19" s="1115"/>
      <c r="JFX19" s="1115"/>
      <c r="JFY19" s="1115"/>
      <c r="JFZ19" s="1115"/>
      <c r="JGA19" s="1115"/>
      <c r="JGB19" s="1115"/>
      <c r="JGC19" s="1115"/>
      <c r="JGD19" s="1115"/>
      <c r="JGE19" s="1115"/>
      <c r="JGF19" s="1115"/>
      <c r="JGG19" s="1115"/>
      <c r="JGH19" s="1115"/>
      <c r="JGI19" s="1115"/>
      <c r="JGJ19" s="1115"/>
      <c r="JGK19" s="1115"/>
      <c r="JGL19" s="1115"/>
      <c r="JGM19" s="1115"/>
      <c r="JGN19" s="1115"/>
      <c r="JGO19" s="1115"/>
      <c r="JGP19" s="1115"/>
      <c r="JGQ19" s="1115"/>
      <c r="JGR19" s="1115"/>
      <c r="JGS19" s="1115"/>
      <c r="JGT19" s="1115"/>
      <c r="JGU19" s="1115"/>
      <c r="JGV19" s="1115"/>
      <c r="JGW19" s="1115"/>
      <c r="JGX19" s="1115"/>
      <c r="JGY19" s="1115"/>
      <c r="JGZ19" s="1115"/>
      <c r="JHA19" s="1115"/>
      <c r="JHB19" s="1115"/>
      <c r="JHC19" s="1115"/>
      <c r="JHD19" s="1115"/>
      <c r="JHE19" s="1115"/>
      <c r="JHF19" s="1115"/>
      <c r="JHG19" s="1115"/>
      <c r="JHH19" s="1115"/>
      <c r="JHI19" s="1115"/>
      <c r="JHJ19" s="1115"/>
      <c r="JHK19" s="1115"/>
      <c r="JHL19" s="1115"/>
      <c r="JHM19" s="1115"/>
      <c r="JHN19" s="1115"/>
      <c r="JHO19" s="1115"/>
      <c r="JHP19" s="1115"/>
      <c r="JHQ19" s="1115"/>
      <c r="JHR19" s="1115"/>
      <c r="JHS19" s="1115"/>
      <c r="JHT19" s="1115"/>
      <c r="JHU19" s="1115"/>
      <c r="JHV19" s="1115"/>
      <c r="JHW19" s="1115"/>
      <c r="JHX19" s="1115"/>
      <c r="JHY19" s="1115"/>
      <c r="JHZ19" s="1115"/>
      <c r="JIA19" s="1115"/>
      <c r="JIB19" s="1115"/>
      <c r="JIC19" s="1115"/>
      <c r="JID19" s="1115"/>
      <c r="JIE19" s="1115"/>
      <c r="JIF19" s="1115"/>
      <c r="JIG19" s="1115"/>
      <c r="JIH19" s="1115"/>
      <c r="JII19" s="1115"/>
      <c r="JIJ19" s="1115"/>
      <c r="JIK19" s="1115"/>
      <c r="JIL19" s="1115"/>
      <c r="JIM19" s="1115"/>
      <c r="JIN19" s="1115"/>
      <c r="JIO19" s="1115"/>
      <c r="JIP19" s="1115"/>
      <c r="JIQ19" s="1115"/>
      <c r="JIR19" s="1115"/>
      <c r="JIS19" s="1115"/>
      <c r="JIT19" s="1115"/>
      <c r="JIU19" s="1115"/>
      <c r="JIV19" s="1115"/>
      <c r="JIW19" s="1115"/>
      <c r="JIX19" s="1115"/>
      <c r="JIY19" s="1115"/>
      <c r="JIZ19" s="1115"/>
      <c r="JJA19" s="1115"/>
      <c r="JJB19" s="1115"/>
      <c r="JJC19" s="1115"/>
      <c r="JJD19" s="1115"/>
      <c r="JJE19" s="1115"/>
      <c r="JJF19" s="1115"/>
      <c r="JJG19" s="1115"/>
      <c r="JJH19" s="1115"/>
      <c r="JJI19" s="1115"/>
      <c r="JJJ19" s="1115"/>
      <c r="JJK19" s="1115"/>
      <c r="JJL19" s="1115"/>
      <c r="JJM19" s="1115"/>
      <c r="JJN19" s="1115"/>
      <c r="JJO19" s="1115"/>
      <c r="JJP19" s="1115"/>
      <c r="JJQ19" s="1115"/>
      <c r="JJR19" s="1115"/>
      <c r="JJS19" s="1115"/>
      <c r="JJT19" s="1115"/>
      <c r="JJU19" s="1115"/>
      <c r="JJV19" s="1115"/>
      <c r="JJW19" s="1115"/>
      <c r="JJX19" s="1115"/>
      <c r="JJY19" s="1115"/>
      <c r="JJZ19" s="1115"/>
      <c r="JKA19" s="1115"/>
      <c r="JKB19" s="1115"/>
      <c r="JKC19" s="1115"/>
      <c r="JKD19" s="1115"/>
      <c r="JKE19" s="1115"/>
      <c r="JKF19" s="1115"/>
      <c r="JKG19" s="1115"/>
      <c r="JKH19" s="1115"/>
      <c r="JKI19" s="1115"/>
      <c r="JKJ19" s="1115"/>
      <c r="JKK19" s="1115"/>
      <c r="JKL19" s="1115"/>
      <c r="JKM19" s="1115"/>
      <c r="JKN19" s="1115"/>
      <c r="JKO19" s="1115"/>
      <c r="JKP19" s="1115"/>
      <c r="JKQ19" s="1115"/>
      <c r="JKR19" s="1115"/>
      <c r="JKS19" s="1115"/>
      <c r="JKT19" s="1115"/>
      <c r="JKU19" s="1115"/>
      <c r="JKV19" s="1115"/>
      <c r="JKW19" s="1115"/>
      <c r="JKX19" s="1115"/>
      <c r="JKY19" s="1115"/>
      <c r="JKZ19" s="1115"/>
      <c r="JLA19" s="1115"/>
      <c r="JLB19" s="1115"/>
      <c r="JLC19" s="1115"/>
      <c r="JLD19" s="1115"/>
      <c r="JLE19" s="1115"/>
      <c r="JLF19" s="1115"/>
      <c r="JLG19" s="1115"/>
      <c r="JLH19" s="1115"/>
      <c r="JLI19" s="1115"/>
      <c r="JLJ19" s="1115"/>
      <c r="JLK19" s="1115"/>
      <c r="JLL19" s="1115"/>
      <c r="JLM19" s="1115"/>
      <c r="JLN19" s="1115"/>
      <c r="JLO19" s="1115"/>
      <c r="JLP19" s="1115"/>
      <c r="JLQ19" s="1115"/>
      <c r="JLR19" s="1115"/>
      <c r="JLS19" s="1115"/>
      <c r="JLT19" s="1115"/>
      <c r="JLU19" s="1115"/>
      <c r="JLV19" s="1115"/>
      <c r="JLW19" s="1115"/>
      <c r="JLX19" s="1115"/>
      <c r="JLY19" s="1115"/>
      <c r="JLZ19" s="1115"/>
      <c r="JMA19" s="1115"/>
      <c r="JMB19" s="1115"/>
      <c r="JMC19" s="1115"/>
      <c r="JMD19" s="1115"/>
      <c r="JME19" s="1115"/>
      <c r="JMF19" s="1115"/>
      <c r="JMG19" s="1115"/>
      <c r="JMH19" s="1115"/>
      <c r="JMI19" s="1115"/>
      <c r="JMJ19" s="1115"/>
      <c r="JMK19" s="1115"/>
      <c r="JML19" s="1115"/>
      <c r="JMM19" s="1115"/>
      <c r="JMN19" s="1115"/>
      <c r="JMO19" s="1115"/>
      <c r="JMP19" s="1115"/>
      <c r="JMQ19" s="1115"/>
      <c r="JMR19" s="1115"/>
      <c r="JMS19" s="1115"/>
      <c r="JMT19" s="1115"/>
      <c r="JMU19" s="1115"/>
      <c r="JMV19" s="1115"/>
      <c r="JMW19" s="1115"/>
      <c r="JMX19" s="1115"/>
      <c r="JMY19" s="1115"/>
      <c r="JMZ19" s="1115"/>
      <c r="JNA19" s="1115"/>
      <c r="JNB19" s="1115"/>
      <c r="JNC19" s="1115"/>
      <c r="JND19" s="1115"/>
      <c r="JNE19" s="1115"/>
      <c r="JNF19" s="1115"/>
      <c r="JNG19" s="1115"/>
      <c r="JNH19" s="1115"/>
      <c r="JNI19" s="1115"/>
      <c r="JNJ19" s="1115"/>
      <c r="JNK19" s="1115"/>
      <c r="JNL19" s="1115"/>
      <c r="JNM19" s="1115"/>
      <c r="JNN19" s="1115"/>
      <c r="JNO19" s="1115"/>
      <c r="JNP19" s="1115"/>
      <c r="JNQ19" s="1115"/>
      <c r="JNR19" s="1115"/>
      <c r="JNS19" s="1115"/>
      <c r="JNT19" s="1115"/>
      <c r="JNU19" s="1115"/>
      <c r="JNV19" s="1115"/>
      <c r="JNW19" s="1115"/>
      <c r="JNX19" s="1115"/>
      <c r="JNY19" s="1115"/>
      <c r="JNZ19" s="1115"/>
      <c r="JOA19" s="1115"/>
      <c r="JOB19" s="1115"/>
      <c r="JOC19" s="1115"/>
      <c r="JOD19" s="1115"/>
      <c r="JOE19" s="1115"/>
      <c r="JOF19" s="1115"/>
      <c r="JOG19" s="1115"/>
      <c r="JOH19" s="1115"/>
      <c r="JOI19" s="1115"/>
      <c r="JOJ19" s="1115"/>
      <c r="JOK19" s="1115"/>
      <c r="JOL19" s="1115"/>
      <c r="JOM19" s="1115"/>
      <c r="JON19" s="1115"/>
      <c r="JOO19" s="1115"/>
      <c r="JOP19" s="1115"/>
      <c r="JOQ19" s="1115"/>
      <c r="JOR19" s="1115"/>
      <c r="JOS19" s="1115"/>
      <c r="JOT19" s="1115"/>
      <c r="JOU19" s="1115"/>
      <c r="JOV19" s="1115"/>
      <c r="JOW19" s="1115"/>
      <c r="JOX19" s="1115"/>
      <c r="JOY19" s="1115"/>
      <c r="JOZ19" s="1115"/>
      <c r="JPA19" s="1115"/>
      <c r="JPB19" s="1115"/>
      <c r="JPC19" s="1115"/>
      <c r="JPD19" s="1115"/>
      <c r="JPE19" s="1115"/>
      <c r="JPF19" s="1115"/>
      <c r="JPG19" s="1115"/>
      <c r="JPH19" s="1115"/>
      <c r="JPI19" s="1115"/>
      <c r="JPJ19" s="1115"/>
      <c r="JPK19" s="1115"/>
      <c r="JPL19" s="1115"/>
      <c r="JPM19" s="1115"/>
      <c r="JPN19" s="1115"/>
      <c r="JPO19" s="1115"/>
      <c r="JPP19" s="1115"/>
      <c r="JPQ19" s="1115"/>
      <c r="JPR19" s="1115"/>
      <c r="JPS19" s="1115"/>
      <c r="JPT19" s="1115"/>
      <c r="JPU19" s="1115"/>
      <c r="JPV19" s="1115"/>
      <c r="JPW19" s="1115"/>
      <c r="JPX19" s="1115"/>
      <c r="JPY19" s="1115"/>
      <c r="JPZ19" s="1115"/>
      <c r="JQA19" s="1115"/>
      <c r="JQB19" s="1115"/>
      <c r="JQC19" s="1115"/>
      <c r="JQD19" s="1115"/>
      <c r="JQE19" s="1115"/>
      <c r="JQF19" s="1115"/>
      <c r="JQG19" s="1115"/>
      <c r="JQH19" s="1115"/>
      <c r="JQI19" s="1115"/>
      <c r="JQJ19" s="1115"/>
      <c r="JQK19" s="1115"/>
      <c r="JQL19" s="1115"/>
      <c r="JQM19" s="1115"/>
      <c r="JQN19" s="1115"/>
      <c r="JQO19" s="1115"/>
      <c r="JQP19" s="1115"/>
      <c r="JQQ19" s="1115"/>
      <c r="JQR19" s="1115"/>
      <c r="JQS19" s="1115"/>
      <c r="JQT19" s="1115"/>
      <c r="JQU19" s="1115"/>
      <c r="JQV19" s="1115"/>
      <c r="JQW19" s="1115"/>
      <c r="JQX19" s="1115"/>
      <c r="JQY19" s="1115"/>
      <c r="JQZ19" s="1115"/>
      <c r="JRA19" s="1115"/>
      <c r="JRB19" s="1115"/>
      <c r="JRC19" s="1115"/>
      <c r="JRD19" s="1115"/>
      <c r="JRE19" s="1115"/>
      <c r="JRF19" s="1115"/>
      <c r="JRG19" s="1115"/>
      <c r="JRH19" s="1115"/>
      <c r="JRI19" s="1115"/>
      <c r="JRJ19" s="1115"/>
      <c r="JRK19" s="1115"/>
      <c r="JRL19" s="1115"/>
      <c r="JRM19" s="1115"/>
      <c r="JRN19" s="1115"/>
      <c r="JRO19" s="1115"/>
      <c r="JRP19" s="1115"/>
      <c r="JRQ19" s="1115"/>
      <c r="JRR19" s="1115"/>
      <c r="JRS19" s="1115"/>
      <c r="JRT19" s="1115"/>
      <c r="JRU19" s="1115"/>
      <c r="JRV19" s="1115"/>
      <c r="JRW19" s="1115"/>
      <c r="JRX19" s="1115"/>
      <c r="JRY19" s="1115"/>
      <c r="JRZ19" s="1115"/>
      <c r="JSA19" s="1115"/>
      <c r="JSB19" s="1115"/>
      <c r="JSC19" s="1115"/>
      <c r="JSD19" s="1115"/>
      <c r="JSE19" s="1115"/>
      <c r="JSF19" s="1115"/>
      <c r="JSG19" s="1115"/>
      <c r="JSH19" s="1115"/>
      <c r="JSI19" s="1115"/>
      <c r="JSJ19" s="1115"/>
      <c r="JSK19" s="1115"/>
      <c r="JSL19" s="1115"/>
      <c r="JSM19" s="1115"/>
      <c r="JSN19" s="1115"/>
      <c r="JSO19" s="1115"/>
      <c r="JSP19" s="1115"/>
      <c r="JSQ19" s="1115"/>
      <c r="JSR19" s="1115"/>
      <c r="JSS19" s="1115"/>
      <c r="JST19" s="1115"/>
      <c r="JSU19" s="1115"/>
      <c r="JSV19" s="1115"/>
      <c r="JSW19" s="1115"/>
      <c r="JSX19" s="1115"/>
      <c r="JSY19" s="1115"/>
      <c r="JSZ19" s="1115"/>
      <c r="JTA19" s="1115"/>
      <c r="JTB19" s="1115"/>
      <c r="JTC19" s="1115"/>
      <c r="JTD19" s="1115"/>
      <c r="JTE19" s="1115"/>
      <c r="JTF19" s="1115"/>
      <c r="JTG19" s="1115"/>
      <c r="JTH19" s="1115"/>
      <c r="JTI19" s="1115"/>
      <c r="JTJ19" s="1115"/>
      <c r="JTK19" s="1115"/>
      <c r="JTL19" s="1115"/>
      <c r="JTM19" s="1115"/>
      <c r="JTN19" s="1115"/>
      <c r="JTO19" s="1115"/>
      <c r="JTP19" s="1115"/>
      <c r="JTQ19" s="1115"/>
      <c r="JTR19" s="1115"/>
      <c r="JTS19" s="1115"/>
      <c r="JTT19" s="1115"/>
      <c r="JTU19" s="1115"/>
      <c r="JTV19" s="1115"/>
      <c r="JTW19" s="1115"/>
      <c r="JTX19" s="1115"/>
      <c r="JTY19" s="1115"/>
      <c r="JTZ19" s="1115"/>
      <c r="JUA19" s="1115"/>
      <c r="JUB19" s="1115"/>
      <c r="JUC19" s="1115"/>
      <c r="JUD19" s="1115"/>
      <c r="JUE19" s="1115"/>
      <c r="JUF19" s="1115"/>
      <c r="JUG19" s="1115"/>
      <c r="JUH19" s="1115"/>
      <c r="JUI19" s="1115"/>
      <c r="JUJ19" s="1115"/>
      <c r="JUK19" s="1115"/>
      <c r="JUL19" s="1115"/>
      <c r="JUM19" s="1115"/>
      <c r="JUN19" s="1115"/>
      <c r="JUO19" s="1115"/>
      <c r="JUP19" s="1115"/>
      <c r="JUQ19" s="1115"/>
      <c r="JUR19" s="1115"/>
      <c r="JUS19" s="1115"/>
      <c r="JUT19" s="1115"/>
      <c r="JUU19" s="1115"/>
      <c r="JUV19" s="1115"/>
      <c r="JUW19" s="1115"/>
      <c r="JUX19" s="1115"/>
      <c r="JUY19" s="1115"/>
      <c r="JUZ19" s="1115"/>
      <c r="JVA19" s="1115"/>
      <c r="JVB19" s="1115"/>
      <c r="JVC19" s="1115"/>
      <c r="JVD19" s="1115"/>
      <c r="JVE19" s="1115"/>
      <c r="JVF19" s="1115"/>
      <c r="JVG19" s="1115"/>
      <c r="JVH19" s="1115"/>
      <c r="JVI19" s="1115"/>
      <c r="JVJ19" s="1115"/>
      <c r="JVK19" s="1115"/>
      <c r="JVL19" s="1115"/>
      <c r="JVM19" s="1115"/>
      <c r="JVN19" s="1115"/>
      <c r="JVO19" s="1115"/>
      <c r="JVP19" s="1115"/>
      <c r="JVQ19" s="1115"/>
      <c r="JVR19" s="1115"/>
      <c r="JVS19" s="1115"/>
      <c r="JVT19" s="1115"/>
      <c r="JVU19" s="1115"/>
      <c r="JVV19" s="1115"/>
      <c r="JVW19" s="1115"/>
      <c r="JVX19" s="1115"/>
      <c r="JVY19" s="1115"/>
      <c r="JVZ19" s="1115"/>
      <c r="JWA19" s="1115"/>
      <c r="JWB19" s="1115"/>
      <c r="JWC19" s="1115"/>
      <c r="JWD19" s="1115"/>
      <c r="JWE19" s="1115"/>
      <c r="JWF19" s="1115"/>
      <c r="JWG19" s="1115"/>
      <c r="JWH19" s="1115"/>
      <c r="JWI19" s="1115"/>
      <c r="JWJ19" s="1115"/>
      <c r="JWK19" s="1115"/>
      <c r="JWL19" s="1115"/>
      <c r="JWM19" s="1115"/>
      <c r="JWN19" s="1115"/>
      <c r="JWO19" s="1115"/>
      <c r="JWP19" s="1115"/>
      <c r="JWQ19" s="1115"/>
      <c r="JWR19" s="1115"/>
      <c r="JWS19" s="1115"/>
      <c r="JWT19" s="1115"/>
      <c r="JWU19" s="1115"/>
      <c r="JWV19" s="1115"/>
      <c r="JWW19" s="1115"/>
      <c r="JWX19" s="1115"/>
      <c r="JWY19" s="1115"/>
      <c r="JWZ19" s="1115"/>
      <c r="JXA19" s="1115"/>
      <c r="JXB19" s="1115"/>
      <c r="JXC19" s="1115"/>
      <c r="JXD19" s="1115"/>
      <c r="JXE19" s="1115"/>
      <c r="JXF19" s="1115"/>
      <c r="JXG19" s="1115"/>
      <c r="JXH19" s="1115"/>
      <c r="JXI19" s="1115"/>
      <c r="JXJ19" s="1115"/>
      <c r="JXK19" s="1115"/>
      <c r="JXL19" s="1115"/>
      <c r="JXM19" s="1115"/>
      <c r="JXN19" s="1115"/>
      <c r="JXO19" s="1115"/>
      <c r="JXP19" s="1115"/>
      <c r="JXQ19" s="1115"/>
      <c r="JXR19" s="1115"/>
      <c r="JXS19" s="1115"/>
      <c r="JXT19" s="1115"/>
      <c r="JXU19" s="1115"/>
      <c r="JXV19" s="1115"/>
      <c r="JXW19" s="1115"/>
      <c r="JXX19" s="1115"/>
      <c r="JXY19" s="1115"/>
      <c r="JXZ19" s="1115"/>
      <c r="JYA19" s="1115"/>
      <c r="JYB19" s="1115"/>
      <c r="JYC19" s="1115"/>
      <c r="JYD19" s="1115"/>
      <c r="JYE19" s="1115"/>
      <c r="JYF19" s="1115"/>
      <c r="JYG19" s="1115"/>
      <c r="JYH19" s="1115"/>
      <c r="JYI19" s="1115"/>
      <c r="JYJ19" s="1115"/>
      <c r="JYK19" s="1115"/>
      <c r="JYL19" s="1115"/>
      <c r="JYM19" s="1115"/>
      <c r="JYN19" s="1115"/>
      <c r="JYO19" s="1115"/>
      <c r="JYP19" s="1115"/>
      <c r="JYQ19" s="1115"/>
      <c r="JYR19" s="1115"/>
      <c r="JYS19" s="1115"/>
      <c r="JYT19" s="1115"/>
      <c r="JYU19" s="1115"/>
      <c r="JYV19" s="1115"/>
      <c r="JYW19" s="1115"/>
      <c r="JYX19" s="1115"/>
      <c r="JYY19" s="1115"/>
      <c r="JYZ19" s="1115"/>
      <c r="JZA19" s="1115"/>
      <c r="JZB19" s="1115"/>
      <c r="JZC19" s="1115"/>
      <c r="JZD19" s="1115"/>
      <c r="JZE19" s="1115"/>
      <c r="JZF19" s="1115"/>
      <c r="JZG19" s="1115"/>
      <c r="JZH19" s="1115"/>
      <c r="JZI19" s="1115"/>
      <c r="JZJ19" s="1115"/>
      <c r="JZK19" s="1115"/>
      <c r="JZL19" s="1115"/>
      <c r="JZM19" s="1115"/>
      <c r="JZN19" s="1115"/>
      <c r="JZO19" s="1115"/>
      <c r="JZP19" s="1115"/>
      <c r="JZQ19" s="1115"/>
      <c r="JZR19" s="1115"/>
      <c r="JZS19" s="1115"/>
      <c r="JZT19" s="1115"/>
      <c r="JZU19" s="1115"/>
      <c r="JZV19" s="1115"/>
      <c r="JZW19" s="1115"/>
      <c r="JZX19" s="1115"/>
      <c r="JZY19" s="1115"/>
      <c r="JZZ19" s="1115"/>
      <c r="KAA19" s="1115"/>
      <c r="KAB19" s="1115"/>
      <c r="KAC19" s="1115"/>
      <c r="KAD19" s="1115"/>
      <c r="KAE19" s="1115"/>
      <c r="KAF19" s="1115"/>
      <c r="KAG19" s="1115"/>
      <c r="KAH19" s="1115"/>
      <c r="KAI19" s="1115"/>
      <c r="KAJ19" s="1115"/>
      <c r="KAK19" s="1115"/>
      <c r="KAL19" s="1115"/>
      <c r="KAM19" s="1115"/>
      <c r="KAN19" s="1115"/>
      <c r="KAO19" s="1115"/>
      <c r="KAP19" s="1115"/>
      <c r="KAQ19" s="1115"/>
      <c r="KAR19" s="1115"/>
      <c r="KAS19" s="1115"/>
      <c r="KAT19" s="1115"/>
      <c r="KAU19" s="1115"/>
      <c r="KAV19" s="1115"/>
      <c r="KAW19" s="1115"/>
      <c r="KAX19" s="1115"/>
      <c r="KAY19" s="1115"/>
      <c r="KAZ19" s="1115"/>
      <c r="KBA19" s="1115"/>
      <c r="KBB19" s="1115"/>
      <c r="KBC19" s="1115"/>
      <c r="KBD19" s="1115"/>
      <c r="KBE19" s="1115"/>
      <c r="KBF19" s="1115"/>
      <c r="KBG19" s="1115"/>
      <c r="KBH19" s="1115"/>
      <c r="KBI19" s="1115"/>
      <c r="KBJ19" s="1115"/>
      <c r="KBK19" s="1115"/>
      <c r="KBL19" s="1115"/>
      <c r="KBM19" s="1115"/>
      <c r="KBN19" s="1115"/>
      <c r="KBO19" s="1115"/>
      <c r="KBP19" s="1115"/>
      <c r="KBQ19" s="1115"/>
      <c r="KBR19" s="1115"/>
      <c r="KBS19" s="1115"/>
      <c r="KBT19" s="1115"/>
      <c r="KBU19" s="1115"/>
      <c r="KBV19" s="1115"/>
      <c r="KBW19" s="1115"/>
      <c r="KBX19" s="1115"/>
      <c r="KBY19" s="1115"/>
      <c r="KBZ19" s="1115"/>
      <c r="KCA19" s="1115"/>
      <c r="KCB19" s="1115"/>
      <c r="KCC19" s="1115"/>
      <c r="KCD19" s="1115"/>
      <c r="KCE19" s="1115"/>
      <c r="KCF19" s="1115"/>
      <c r="KCG19" s="1115"/>
      <c r="KCH19" s="1115"/>
      <c r="KCI19" s="1115"/>
      <c r="KCJ19" s="1115"/>
      <c r="KCK19" s="1115"/>
      <c r="KCL19" s="1115"/>
      <c r="KCM19" s="1115"/>
      <c r="KCN19" s="1115"/>
      <c r="KCO19" s="1115"/>
      <c r="KCP19" s="1115"/>
      <c r="KCQ19" s="1115"/>
      <c r="KCR19" s="1115"/>
      <c r="KCS19" s="1115"/>
      <c r="KCT19" s="1115"/>
      <c r="KCU19" s="1115"/>
      <c r="KCV19" s="1115"/>
      <c r="KCW19" s="1115"/>
      <c r="KCX19" s="1115"/>
      <c r="KCY19" s="1115"/>
      <c r="KCZ19" s="1115"/>
      <c r="KDA19" s="1115"/>
      <c r="KDB19" s="1115"/>
      <c r="KDC19" s="1115"/>
      <c r="KDD19" s="1115"/>
      <c r="KDE19" s="1115"/>
      <c r="KDF19" s="1115"/>
      <c r="KDG19" s="1115"/>
      <c r="KDH19" s="1115"/>
      <c r="KDI19" s="1115"/>
      <c r="KDJ19" s="1115"/>
      <c r="KDK19" s="1115"/>
      <c r="KDL19" s="1115"/>
      <c r="KDM19" s="1115"/>
      <c r="KDN19" s="1115"/>
      <c r="KDO19" s="1115"/>
      <c r="KDP19" s="1115"/>
      <c r="KDQ19" s="1115"/>
      <c r="KDR19" s="1115"/>
      <c r="KDS19" s="1115"/>
      <c r="KDT19" s="1115"/>
      <c r="KDU19" s="1115"/>
      <c r="KDV19" s="1115"/>
      <c r="KDW19" s="1115"/>
      <c r="KDX19" s="1115"/>
      <c r="KDY19" s="1115"/>
      <c r="KDZ19" s="1115"/>
      <c r="KEA19" s="1115"/>
      <c r="KEB19" s="1115"/>
      <c r="KEC19" s="1115"/>
      <c r="KED19" s="1115"/>
      <c r="KEE19" s="1115"/>
      <c r="KEF19" s="1115"/>
      <c r="KEG19" s="1115"/>
      <c r="KEH19" s="1115"/>
      <c r="KEI19" s="1115"/>
      <c r="KEJ19" s="1115"/>
      <c r="KEK19" s="1115"/>
      <c r="KEL19" s="1115"/>
      <c r="KEM19" s="1115"/>
      <c r="KEN19" s="1115"/>
      <c r="KEO19" s="1115"/>
      <c r="KEP19" s="1115"/>
      <c r="KEQ19" s="1115"/>
      <c r="KER19" s="1115"/>
      <c r="KES19" s="1115"/>
      <c r="KET19" s="1115"/>
      <c r="KEU19" s="1115"/>
      <c r="KEV19" s="1115"/>
      <c r="KEW19" s="1115"/>
      <c r="KEX19" s="1115"/>
      <c r="KEY19" s="1115"/>
      <c r="KEZ19" s="1115"/>
      <c r="KFA19" s="1115"/>
      <c r="KFB19" s="1115"/>
      <c r="KFC19" s="1115"/>
      <c r="KFD19" s="1115"/>
      <c r="KFE19" s="1115"/>
      <c r="KFF19" s="1115"/>
      <c r="KFG19" s="1115"/>
      <c r="KFH19" s="1115"/>
      <c r="KFI19" s="1115"/>
      <c r="KFJ19" s="1115"/>
      <c r="KFK19" s="1115"/>
      <c r="KFL19" s="1115"/>
      <c r="KFM19" s="1115"/>
      <c r="KFN19" s="1115"/>
      <c r="KFO19" s="1115"/>
      <c r="KFP19" s="1115"/>
      <c r="KFQ19" s="1115"/>
      <c r="KFR19" s="1115"/>
      <c r="KFS19" s="1115"/>
      <c r="KFT19" s="1115"/>
      <c r="KFU19" s="1115"/>
      <c r="KFV19" s="1115"/>
      <c r="KFW19" s="1115"/>
      <c r="KFX19" s="1115"/>
      <c r="KFY19" s="1115"/>
      <c r="KFZ19" s="1115"/>
      <c r="KGA19" s="1115"/>
      <c r="KGB19" s="1115"/>
      <c r="KGC19" s="1115"/>
      <c r="KGD19" s="1115"/>
      <c r="KGE19" s="1115"/>
      <c r="KGF19" s="1115"/>
      <c r="KGG19" s="1115"/>
      <c r="KGH19" s="1115"/>
      <c r="KGI19" s="1115"/>
      <c r="KGJ19" s="1115"/>
      <c r="KGK19" s="1115"/>
      <c r="KGL19" s="1115"/>
      <c r="KGM19" s="1115"/>
      <c r="KGN19" s="1115"/>
      <c r="KGO19" s="1115"/>
      <c r="KGP19" s="1115"/>
      <c r="KGQ19" s="1115"/>
      <c r="KGR19" s="1115"/>
      <c r="KGS19" s="1115"/>
      <c r="KGT19" s="1115"/>
      <c r="KGU19" s="1115"/>
      <c r="KGV19" s="1115"/>
      <c r="KGW19" s="1115"/>
      <c r="KGX19" s="1115"/>
      <c r="KGY19" s="1115"/>
      <c r="KGZ19" s="1115"/>
      <c r="KHA19" s="1115"/>
      <c r="KHB19" s="1115"/>
      <c r="KHC19" s="1115"/>
      <c r="KHD19" s="1115"/>
      <c r="KHE19" s="1115"/>
      <c r="KHF19" s="1115"/>
      <c r="KHG19" s="1115"/>
      <c r="KHH19" s="1115"/>
      <c r="KHI19" s="1115"/>
      <c r="KHJ19" s="1115"/>
      <c r="KHK19" s="1115"/>
      <c r="KHL19" s="1115"/>
      <c r="KHM19" s="1115"/>
      <c r="KHN19" s="1115"/>
      <c r="KHO19" s="1115"/>
      <c r="KHP19" s="1115"/>
      <c r="KHQ19" s="1115"/>
      <c r="KHR19" s="1115"/>
      <c r="KHS19" s="1115"/>
      <c r="KHT19" s="1115"/>
      <c r="KHU19" s="1115"/>
      <c r="KHV19" s="1115"/>
      <c r="KHW19" s="1115"/>
      <c r="KHX19" s="1115"/>
      <c r="KHY19" s="1115"/>
      <c r="KHZ19" s="1115"/>
      <c r="KIA19" s="1115"/>
      <c r="KIB19" s="1115"/>
      <c r="KIC19" s="1115"/>
      <c r="KID19" s="1115"/>
      <c r="KIE19" s="1115"/>
      <c r="KIF19" s="1115"/>
      <c r="KIG19" s="1115"/>
      <c r="KIH19" s="1115"/>
      <c r="KII19" s="1115"/>
      <c r="KIJ19" s="1115"/>
      <c r="KIK19" s="1115"/>
      <c r="KIL19" s="1115"/>
      <c r="KIM19" s="1115"/>
      <c r="KIN19" s="1115"/>
      <c r="KIO19" s="1115"/>
      <c r="KIP19" s="1115"/>
      <c r="KIQ19" s="1115"/>
      <c r="KIR19" s="1115"/>
      <c r="KIS19" s="1115"/>
      <c r="KIT19" s="1115"/>
      <c r="KIU19" s="1115"/>
      <c r="KIV19" s="1115"/>
      <c r="KIW19" s="1115"/>
      <c r="KIX19" s="1115"/>
      <c r="KIY19" s="1115"/>
      <c r="KIZ19" s="1115"/>
      <c r="KJA19" s="1115"/>
      <c r="KJB19" s="1115"/>
      <c r="KJC19" s="1115"/>
      <c r="KJD19" s="1115"/>
      <c r="KJE19" s="1115"/>
      <c r="KJF19" s="1115"/>
      <c r="KJG19" s="1115"/>
      <c r="KJH19" s="1115"/>
      <c r="KJI19" s="1115"/>
      <c r="KJJ19" s="1115"/>
      <c r="KJK19" s="1115"/>
      <c r="KJL19" s="1115"/>
      <c r="KJM19" s="1115"/>
      <c r="KJN19" s="1115"/>
      <c r="KJO19" s="1115"/>
      <c r="KJP19" s="1115"/>
      <c r="KJQ19" s="1115"/>
      <c r="KJR19" s="1115"/>
      <c r="KJS19" s="1115"/>
      <c r="KJT19" s="1115"/>
      <c r="KJU19" s="1115"/>
      <c r="KJV19" s="1115"/>
      <c r="KJW19" s="1115"/>
      <c r="KJX19" s="1115"/>
      <c r="KJY19" s="1115"/>
      <c r="KJZ19" s="1115"/>
      <c r="KKA19" s="1115"/>
      <c r="KKB19" s="1115"/>
      <c r="KKC19" s="1115"/>
      <c r="KKD19" s="1115"/>
      <c r="KKE19" s="1115"/>
      <c r="KKF19" s="1115"/>
      <c r="KKG19" s="1115"/>
      <c r="KKH19" s="1115"/>
      <c r="KKI19" s="1115"/>
      <c r="KKJ19" s="1115"/>
      <c r="KKK19" s="1115"/>
      <c r="KKL19" s="1115"/>
      <c r="KKM19" s="1115"/>
      <c r="KKN19" s="1115"/>
      <c r="KKO19" s="1115"/>
      <c r="KKP19" s="1115"/>
      <c r="KKQ19" s="1115"/>
      <c r="KKR19" s="1115"/>
      <c r="KKS19" s="1115"/>
      <c r="KKT19" s="1115"/>
      <c r="KKU19" s="1115"/>
      <c r="KKV19" s="1115"/>
      <c r="KKW19" s="1115"/>
      <c r="KKX19" s="1115"/>
      <c r="KKY19" s="1115"/>
      <c r="KKZ19" s="1115"/>
      <c r="KLA19" s="1115"/>
      <c r="KLB19" s="1115"/>
      <c r="KLC19" s="1115"/>
      <c r="KLD19" s="1115"/>
      <c r="KLE19" s="1115"/>
      <c r="KLF19" s="1115"/>
      <c r="KLG19" s="1115"/>
      <c r="KLH19" s="1115"/>
      <c r="KLI19" s="1115"/>
      <c r="KLJ19" s="1115"/>
      <c r="KLK19" s="1115"/>
      <c r="KLL19" s="1115"/>
      <c r="KLM19" s="1115"/>
      <c r="KLN19" s="1115"/>
      <c r="KLO19" s="1115"/>
      <c r="KLP19" s="1115"/>
      <c r="KLQ19" s="1115"/>
      <c r="KLR19" s="1115"/>
      <c r="KLS19" s="1115"/>
      <c r="KLT19" s="1115"/>
      <c r="KLU19" s="1115"/>
      <c r="KLV19" s="1115"/>
      <c r="KLW19" s="1115"/>
      <c r="KLX19" s="1115"/>
      <c r="KLY19" s="1115"/>
      <c r="KLZ19" s="1115"/>
      <c r="KMA19" s="1115"/>
      <c r="KMB19" s="1115"/>
      <c r="KMC19" s="1115"/>
      <c r="KMD19" s="1115"/>
      <c r="KME19" s="1115"/>
      <c r="KMF19" s="1115"/>
      <c r="KMG19" s="1115"/>
      <c r="KMH19" s="1115"/>
      <c r="KMI19" s="1115"/>
      <c r="KMJ19" s="1115"/>
      <c r="KMK19" s="1115"/>
      <c r="KML19" s="1115"/>
      <c r="KMM19" s="1115"/>
      <c r="KMN19" s="1115"/>
      <c r="KMO19" s="1115"/>
      <c r="KMP19" s="1115"/>
      <c r="KMQ19" s="1115"/>
      <c r="KMR19" s="1115"/>
      <c r="KMS19" s="1115"/>
      <c r="KMT19" s="1115"/>
      <c r="KMU19" s="1115"/>
      <c r="KMV19" s="1115"/>
      <c r="KMW19" s="1115"/>
      <c r="KMX19" s="1115"/>
      <c r="KMY19" s="1115"/>
      <c r="KMZ19" s="1115"/>
      <c r="KNA19" s="1115"/>
      <c r="KNB19" s="1115"/>
      <c r="KNC19" s="1115"/>
      <c r="KND19" s="1115"/>
      <c r="KNE19" s="1115"/>
      <c r="KNF19" s="1115"/>
      <c r="KNG19" s="1115"/>
      <c r="KNH19" s="1115"/>
      <c r="KNI19" s="1115"/>
      <c r="KNJ19" s="1115"/>
      <c r="KNK19" s="1115"/>
      <c r="KNL19" s="1115"/>
      <c r="KNM19" s="1115"/>
      <c r="KNN19" s="1115"/>
      <c r="KNO19" s="1115"/>
      <c r="KNP19" s="1115"/>
      <c r="KNQ19" s="1115"/>
      <c r="KNR19" s="1115"/>
      <c r="KNS19" s="1115"/>
      <c r="KNT19" s="1115"/>
      <c r="KNU19" s="1115"/>
      <c r="KNV19" s="1115"/>
      <c r="KNW19" s="1115"/>
      <c r="KNX19" s="1115"/>
      <c r="KNY19" s="1115"/>
      <c r="KNZ19" s="1115"/>
      <c r="KOA19" s="1115"/>
      <c r="KOB19" s="1115"/>
      <c r="KOC19" s="1115"/>
      <c r="KOD19" s="1115"/>
      <c r="KOE19" s="1115"/>
      <c r="KOF19" s="1115"/>
      <c r="KOG19" s="1115"/>
      <c r="KOH19" s="1115"/>
      <c r="KOI19" s="1115"/>
      <c r="KOJ19" s="1115"/>
      <c r="KOK19" s="1115"/>
      <c r="KOL19" s="1115"/>
      <c r="KOM19" s="1115"/>
      <c r="KON19" s="1115"/>
      <c r="KOO19" s="1115"/>
      <c r="KOP19" s="1115"/>
      <c r="KOQ19" s="1115"/>
      <c r="KOR19" s="1115"/>
      <c r="KOS19" s="1115"/>
      <c r="KOT19" s="1115"/>
      <c r="KOU19" s="1115"/>
      <c r="KOV19" s="1115"/>
      <c r="KOW19" s="1115"/>
      <c r="KOX19" s="1115"/>
      <c r="KOY19" s="1115"/>
      <c r="KOZ19" s="1115"/>
      <c r="KPA19" s="1115"/>
      <c r="KPB19" s="1115"/>
      <c r="KPC19" s="1115"/>
      <c r="KPD19" s="1115"/>
      <c r="KPE19" s="1115"/>
      <c r="KPF19" s="1115"/>
      <c r="KPG19" s="1115"/>
      <c r="KPH19" s="1115"/>
      <c r="KPI19" s="1115"/>
      <c r="KPJ19" s="1115"/>
      <c r="KPK19" s="1115"/>
      <c r="KPL19" s="1115"/>
      <c r="KPM19" s="1115"/>
      <c r="KPN19" s="1115"/>
      <c r="KPO19" s="1115"/>
      <c r="KPP19" s="1115"/>
      <c r="KPQ19" s="1115"/>
      <c r="KPR19" s="1115"/>
      <c r="KPS19" s="1115"/>
      <c r="KPT19" s="1115"/>
      <c r="KPU19" s="1115"/>
      <c r="KPV19" s="1115"/>
      <c r="KPW19" s="1115"/>
      <c r="KPX19" s="1115"/>
      <c r="KPY19" s="1115"/>
      <c r="KPZ19" s="1115"/>
      <c r="KQA19" s="1115"/>
      <c r="KQB19" s="1115"/>
      <c r="KQC19" s="1115"/>
      <c r="KQD19" s="1115"/>
      <c r="KQE19" s="1115"/>
      <c r="KQF19" s="1115"/>
      <c r="KQG19" s="1115"/>
      <c r="KQH19" s="1115"/>
      <c r="KQI19" s="1115"/>
      <c r="KQJ19" s="1115"/>
      <c r="KQK19" s="1115"/>
      <c r="KQL19" s="1115"/>
      <c r="KQM19" s="1115"/>
      <c r="KQN19" s="1115"/>
      <c r="KQO19" s="1115"/>
      <c r="KQP19" s="1115"/>
      <c r="KQQ19" s="1115"/>
      <c r="KQR19" s="1115"/>
      <c r="KQS19" s="1115"/>
      <c r="KQT19" s="1115"/>
      <c r="KQU19" s="1115"/>
      <c r="KQV19" s="1115"/>
      <c r="KQW19" s="1115"/>
      <c r="KQX19" s="1115"/>
      <c r="KQY19" s="1115"/>
      <c r="KQZ19" s="1115"/>
      <c r="KRA19" s="1115"/>
      <c r="KRB19" s="1115"/>
      <c r="KRC19" s="1115"/>
      <c r="KRD19" s="1115"/>
      <c r="KRE19" s="1115"/>
      <c r="KRF19" s="1115"/>
      <c r="KRG19" s="1115"/>
      <c r="KRH19" s="1115"/>
      <c r="KRI19" s="1115"/>
      <c r="KRJ19" s="1115"/>
      <c r="KRK19" s="1115"/>
      <c r="KRL19" s="1115"/>
      <c r="KRM19" s="1115"/>
      <c r="KRN19" s="1115"/>
      <c r="KRO19" s="1115"/>
      <c r="KRP19" s="1115"/>
      <c r="KRQ19" s="1115"/>
      <c r="KRR19" s="1115"/>
      <c r="KRS19" s="1115"/>
      <c r="KRT19" s="1115"/>
      <c r="KRU19" s="1115"/>
      <c r="KRV19" s="1115"/>
      <c r="KRW19" s="1115"/>
      <c r="KRX19" s="1115"/>
      <c r="KRY19" s="1115"/>
      <c r="KRZ19" s="1115"/>
      <c r="KSA19" s="1115"/>
      <c r="KSB19" s="1115"/>
      <c r="KSC19" s="1115"/>
      <c r="KSD19" s="1115"/>
      <c r="KSE19" s="1115"/>
      <c r="KSF19" s="1115"/>
      <c r="KSG19" s="1115"/>
      <c r="KSH19" s="1115"/>
      <c r="KSI19" s="1115"/>
      <c r="KSJ19" s="1115"/>
      <c r="KSK19" s="1115"/>
      <c r="KSL19" s="1115"/>
      <c r="KSM19" s="1115"/>
      <c r="KSN19" s="1115"/>
      <c r="KSO19" s="1115"/>
      <c r="KSP19" s="1115"/>
      <c r="KSQ19" s="1115"/>
      <c r="KSR19" s="1115"/>
      <c r="KSS19" s="1115"/>
      <c r="KST19" s="1115"/>
      <c r="KSU19" s="1115"/>
      <c r="KSV19" s="1115"/>
      <c r="KSW19" s="1115"/>
      <c r="KSX19" s="1115"/>
      <c r="KSY19" s="1115"/>
      <c r="KSZ19" s="1115"/>
      <c r="KTA19" s="1115"/>
      <c r="KTB19" s="1115"/>
      <c r="KTC19" s="1115"/>
      <c r="KTD19" s="1115"/>
      <c r="KTE19" s="1115"/>
      <c r="KTF19" s="1115"/>
      <c r="KTG19" s="1115"/>
      <c r="KTH19" s="1115"/>
      <c r="KTI19" s="1115"/>
      <c r="KTJ19" s="1115"/>
      <c r="KTK19" s="1115"/>
      <c r="KTL19" s="1115"/>
      <c r="KTM19" s="1115"/>
      <c r="KTN19" s="1115"/>
      <c r="KTO19" s="1115"/>
      <c r="KTP19" s="1115"/>
      <c r="KTQ19" s="1115"/>
      <c r="KTR19" s="1115"/>
      <c r="KTS19" s="1115"/>
      <c r="KTT19" s="1115"/>
      <c r="KTU19" s="1115"/>
      <c r="KTV19" s="1115"/>
      <c r="KTW19" s="1115"/>
      <c r="KTX19" s="1115"/>
      <c r="KTY19" s="1115"/>
      <c r="KTZ19" s="1115"/>
      <c r="KUA19" s="1115"/>
      <c r="KUB19" s="1115"/>
      <c r="KUC19" s="1115"/>
      <c r="KUD19" s="1115"/>
      <c r="KUE19" s="1115"/>
      <c r="KUF19" s="1115"/>
      <c r="KUG19" s="1115"/>
      <c r="KUH19" s="1115"/>
      <c r="KUI19" s="1115"/>
      <c r="KUJ19" s="1115"/>
      <c r="KUK19" s="1115"/>
      <c r="KUL19" s="1115"/>
      <c r="KUM19" s="1115"/>
      <c r="KUN19" s="1115"/>
      <c r="KUO19" s="1115"/>
      <c r="KUP19" s="1115"/>
      <c r="KUQ19" s="1115"/>
      <c r="KUR19" s="1115"/>
      <c r="KUS19" s="1115"/>
      <c r="KUT19" s="1115"/>
      <c r="KUU19" s="1115"/>
      <c r="KUV19" s="1115"/>
      <c r="KUW19" s="1115"/>
      <c r="KUX19" s="1115"/>
      <c r="KUY19" s="1115"/>
      <c r="KUZ19" s="1115"/>
      <c r="KVA19" s="1115"/>
      <c r="KVB19" s="1115"/>
      <c r="KVC19" s="1115"/>
      <c r="KVD19" s="1115"/>
      <c r="KVE19" s="1115"/>
      <c r="KVF19" s="1115"/>
      <c r="KVG19" s="1115"/>
      <c r="KVH19" s="1115"/>
      <c r="KVI19" s="1115"/>
      <c r="KVJ19" s="1115"/>
      <c r="KVK19" s="1115"/>
      <c r="KVL19" s="1115"/>
      <c r="KVM19" s="1115"/>
      <c r="KVN19" s="1115"/>
      <c r="KVO19" s="1115"/>
      <c r="KVP19" s="1115"/>
      <c r="KVQ19" s="1115"/>
      <c r="KVR19" s="1115"/>
      <c r="KVS19" s="1115"/>
      <c r="KVT19" s="1115"/>
      <c r="KVU19" s="1115"/>
      <c r="KVV19" s="1115"/>
      <c r="KVW19" s="1115"/>
      <c r="KVX19" s="1115"/>
      <c r="KVY19" s="1115"/>
      <c r="KVZ19" s="1115"/>
      <c r="KWA19" s="1115"/>
      <c r="KWB19" s="1115"/>
      <c r="KWC19" s="1115"/>
      <c r="KWD19" s="1115"/>
      <c r="KWE19" s="1115"/>
      <c r="KWF19" s="1115"/>
      <c r="KWG19" s="1115"/>
      <c r="KWH19" s="1115"/>
      <c r="KWI19" s="1115"/>
      <c r="KWJ19" s="1115"/>
      <c r="KWK19" s="1115"/>
      <c r="KWL19" s="1115"/>
      <c r="KWM19" s="1115"/>
      <c r="KWN19" s="1115"/>
      <c r="KWO19" s="1115"/>
      <c r="KWP19" s="1115"/>
      <c r="KWQ19" s="1115"/>
      <c r="KWR19" s="1115"/>
      <c r="KWS19" s="1115"/>
      <c r="KWT19" s="1115"/>
      <c r="KWU19" s="1115"/>
      <c r="KWV19" s="1115"/>
      <c r="KWW19" s="1115"/>
      <c r="KWX19" s="1115"/>
      <c r="KWY19" s="1115"/>
      <c r="KWZ19" s="1115"/>
      <c r="KXA19" s="1115"/>
      <c r="KXB19" s="1115"/>
      <c r="KXC19" s="1115"/>
      <c r="KXD19" s="1115"/>
      <c r="KXE19" s="1115"/>
      <c r="KXF19" s="1115"/>
      <c r="KXG19" s="1115"/>
      <c r="KXH19" s="1115"/>
      <c r="KXI19" s="1115"/>
      <c r="KXJ19" s="1115"/>
      <c r="KXK19" s="1115"/>
      <c r="KXL19" s="1115"/>
      <c r="KXM19" s="1115"/>
      <c r="KXN19" s="1115"/>
      <c r="KXO19" s="1115"/>
      <c r="KXP19" s="1115"/>
      <c r="KXQ19" s="1115"/>
      <c r="KXR19" s="1115"/>
      <c r="KXS19" s="1115"/>
      <c r="KXT19" s="1115"/>
      <c r="KXU19" s="1115"/>
      <c r="KXV19" s="1115"/>
      <c r="KXW19" s="1115"/>
      <c r="KXX19" s="1115"/>
      <c r="KXY19" s="1115"/>
      <c r="KXZ19" s="1115"/>
      <c r="KYA19" s="1115"/>
      <c r="KYB19" s="1115"/>
      <c r="KYC19" s="1115"/>
      <c r="KYD19" s="1115"/>
      <c r="KYE19" s="1115"/>
      <c r="KYF19" s="1115"/>
      <c r="KYG19" s="1115"/>
      <c r="KYH19" s="1115"/>
      <c r="KYI19" s="1115"/>
      <c r="KYJ19" s="1115"/>
      <c r="KYK19" s="1115"/>
      <c r="KYL19" s="1115"/>
      <c r="KYM19" s="1115"/>
      <c r="KYN19" s="1115"/>
      <c r="KYO19" s="1115"/>
      <c r="KYP19" s="1115"/>
      <c r="KYQ19" s="1115"/>
      <c r="KYR19" s="1115"/>
      <c r="KYS19" s="1115"/>
      <c r="KYT19" s="1115"/>
      <c r="KYU19" s="1115"/>
      <c r="KYV19" s="1115"/>
      <c r="KYW19" s="1115"/>
      <c r="KYX19" s="1115"/>
      <c r="KYY19" s="1115"/>
      <c r="KYZ19" s="1115"/>
      <c r="KZA19" s="1115"/>
      <c r="KZB19" s="1115"/>
      <c r="KZC19" s="1115"/>
      <c r="KZD19" s="1115"/>
      <c r="KZE19" s="1115"/>
      <c r="KZF19" s="1115"/>
      <c r="KZG19" s="1115"/>
      <c r="KZH19" s="1115"/>
      <c r="KZI19" s="1115"/>
      <c r="KZJ19" s="1115"/>
      <c r="KZK19" s="1115"/>
      <c r="KZL19" s="1115"/>
      <c r="KZM19" s="1115"/>
      <c r="KZN19" s="1115"/>
      <c r="KZO19" s="1115"/>
      <c r="KZP19" s="1115"/>
      <c r="KZQ19" s="1115"/>
      <c r="KZR19" s="1115"/>
      <c r="KZS19" s="1115"/>
      <c r="KZT19" s="1115"/>
      <c r="KZU19" s="1115"/>
      <c r="KZV19" s="1115"/>
      <c r="KZW19" s="1115"/>
      <c r="KZX19" s="1115"/>
      <c r="KZY19" s="1115"/>
      <c r="KZZ19" s="1115"/>
      <c r="LAA19" s="1115"/>
      <c r="LAB19" s="1115"/>
      <c r="LAC19" s="1115"/>
      <c r="LAD19" s="1115"/>
      <c r="LAE19" s="1115"/>
      <c r="LAF19" s="1115"/>
      <c r="LAG19" s="1115"/>
      <c r="LAH19" s="1115"/>
      <c r="LAI19" s="1115"/>
      <c r="LAJ19" s="1115"/>
      <c r="LAK19" s="1115"/>
      <c r="LAL19" s="1115"/>
      <c r="LAM19" s="1115"/>
      <c r="LAN19" s="1115"/>
      <c r="LAO19" s="1115"/>
      <c r="LAP19" s="1115"/>
      <c r="LAQ19" s="1115"/>
      <c r="LAR19" s="1115"/>
      <c r="LAS19" s="1115"/>
      <c r="LAT19" s="1115"/>
      <c r="LAU19" s="1115"/>
      <c r="LAV19" s="1115"/>
      <c r="LAW19" s="1115"/>
      <c r="LAX19" s="1115"/>
      <c r="LAY19" s="1115"/>
      <c r="LAZ19" s="1115"/>
      <c r="LBA19" s="1115"/>
      <c r="LBB19" s="1115"/>
      <c r="LBC19" s="1115"/>
      <c r="LBD19" s="1115"/>
      <c r="LBE19" s="1115"/>
      <c r="LBF19" s="1115"/>
      <c r="LBG19" s="1115"/>
      <c r="LBH19" s="1115"/>
      <c r="LBI19" s="1115"/>
      <c r="LBJ19" s="1115"/>
      <c r="LBK19" s="1115"/>
      <c r="LBL19" s="1115"/>
      <c r="LBM19" s="1115"/>
      <c r="LBN19" s="1115"/>
      <c r="LBO19" s="1115"/>
      <c r="LBP19" s="1115"/>
      <c r="LBQ19" s="1115"/>
      <c r="LBR19" s="1115"/>
      <c r="LBS19" s="1115"/>
      <c r="LBT19" s="1115"/>
      <c r="LBU19" s="1115"/>
      <c r="LBV19" s="1115"/>
      <c r="LBW19" s="1115"/>
      <c r="LBX19" s="1115"/>
      <c r="LBY19" s="1115"/>
      <c r="LBZ19" s="1115"/>
      <c r="LCA19" s="1115"/>
      <c r="LCB19" s="1115"/>
      <c r="LCC19" s="1115"/>
      <c r="LCD19" s="1115"/>
      <c r="LCE19" s="1115"/>
      <c r="LCF19" s="1115"/>
      <c r="LCG19" s="1115"/>
      <c r="LCH19" s="1115"/>
      <c r="LCI19" s="1115"/>
      <c r="LCJ19" s="1115"/>
      <c r="LCK19" s="1115"/>
      <c r="LCL19" s="1115"/>
      <c r="LCM19" s="1115"/>
      <c r="LCN19" s="1115"/>
      <c r="LCO19" s="1115"/>
      <c r="LCP19" s="1115"/>
      <c r="LCQ19" s="1115"/>
      <c r="LCR19" s="1115"/>
      <c r="LCS19" s="1115"/>
      <c r="LCT19" s="1115"/>
      <c r="LCU19" s="1115"/>
      <c r="LCV19" s="1115"/>
      <c r="LCW19" s="1115"/>
      <c r="LCX19" s="1115"/>
      <c r="LCY19" s="1115"/>
      <c r="LCZ19" s="1115"/>
      <c r="LDA19" s="1115"/>
      <c r="LDB19" s="1115"/>
      <c r="LDC19" s="1115"/>
      <c r="LDD19" s="1115"/>
      <c r="LDE19" s="1115"/>
      <c r="LDF19" s="1115"/>
      <c r="LDG19" s="1115"/>
      <c r="LDH19" s="1115"/>
      <c r="LDI19" s="1115"/>
      <c r="LDJ19" s="1115"/>
      <c r="LDK19" s="1115"/>
      <c r="LDL19" s="1115"/>
      <c r="LDM19" s="1115"/>
      <c r="LDN19" s="1115"/>
      <c r="LDO19" s="1115"/>
      <c r="LDP19" s="1115"/>
      <c r="LDQ19" s="1115"/>
      <c r="LDR19" s="1115"/>
      <c r="LDS19" s="1115"/>
      <c r="LDT19" s="1115"/>
      <c r="LDU19" s="1115"/>
      <c r="LDV19" s="1115"/>
      <c r="LDW19" s="1115"/>
      <c r="LDX19" s="1115"/>
      <c r="LDY19" s="1115"/>
      <c r="LDZ19" s="1115"/>
      <c r="LEA19" s="1115"/>
      <c r="LEB19" s="1115"/>
      <c r="LEC19" s="1115"/>
      <c r="LED19" s="1115"/>
      <c r="LEE19" s="1115"/>
      <c r="LEF19" s="1115"/>
      <c r="LEG19" s="1115"/>
      <c r="LEH19" s="1115"/>
      <c r="LEI19" s="1115"/>
      <c r="LEJ19" s="1115"/>
      <c r="LEK19" s="1115"/>
      <c r="LEL19" s="1115"/>
      <c r="LEM19" s="1115"/>
      <c r="LEN19" s="1115"/>
      <c r="LEO19" s="1115"/>
      <c r="LEP19" s="1115"/>
      <c r="LEQ19" s="1115"/>
      <c r="LER19" s="1115"/>
      <c r="LES19" s="1115"/>
      <c r="LET19" s="1115"/>
      <c r="LEU19" s="1115"/>
      <c r="LEV19" s="1115"/>
      <c r="LEW19" s="1115"/>
      <c r="LEX19" s="1115"/>
      <c r="LEY19" s="1115"/>
      <c r="LEZ19" s="1115"/>
      <c r="LFA19" s="1115"/>
      <c r="LFB19" s="1115"/>
      <c r="LFC19" s="1115"/>
      <c r="LFD19" s="1115"/>
      <c r="LFE19" s="1115"/>
      <c r="LFF19" s="1115"/>
      <c r="LFG19" s="1115"/>
      <c r="LFH19" s="1115"/>
      <c r="LFI19" s="1115"/>
      <c r="LFJ19" s="1115"/>
      <c r="LFK19" s="1115"/>
      <c r="LFL19" s="1115"/>
      <c r="LFM19" s="1115"/>
      <c r="LFN19" s="1115"/>
      <c r="LFO19" s="1115"/>
      <c r="LFP19" s="1115"/>
      <c r="LFQ19" s="1115"/>
      <c r="LFR19" s="1115"/>
      <c r="LFS19" s="1115"/>
      <c r="LFT19" s="1115"/>
      <c r="LFU19" s="1115"/>
      <c r="LFV19" s="1115"/>
      <c r="LFW19" s="1115"/>
      <c r="LFX19" s="1115"/>
      <c r="LFY19" s="1115"/>
      <c r="LFZ19" s="1115"/>
      <c r="LGA19" s="1115"/>
      <c r="LGB19" s="1115"/>
      <c r="LGC19" s="1115"/>
      <c r="LGD19" s="1115"/>
      <c r="LGE19" s="1115"/>
      <c r="LGF19" s="1115"/>
      <c r="LGG19" s="1115"/>
      <c r="LGH19" s="1115"/>
      <c r="LGI19" s="1115"/>
      <c r="LGJ19" s="1115"/>
      <c r="LGK19" s="1115"/>
      <c r="LGL19" s="1115"/>
      <c r="LGM19" s="1115"/>
      <c r="LGN19" s="1115"/>
      <c r="LGO19" s="1115"/>
      <c r="LGP19" s="1115"/>
      <c r="LGQ19" s="1115"/>
      <c r="LGR19" s="1115"/>
      <c r="LGS19" s="1115"/>
      <c r="LGT19" s="1115"/>
      <c r="LGU19" s="1115"/>
      <c r="LGV19" s="1115"/>
      <c r="LGW19" s="1115"/>
      <c r="LGX19" s="1115"/>
      <c r="LGY19" s="1115"/>
      <c r="LGZ19" s="1115"/>
      <c r="LHA19" s="1115"/>
      <c r="LHB19" s="1115"/>
      <c r="LHC19" s="1115"/>
      <c r="LHD19" s="1115"/>
      <c r="LHE19" s="1115"/>
      <c r="LHF19" s="1115"/>
      <c r="LHG19" s="1115"/>
      <c r="LHH19" s="1115"/>
      <c r="LHI19" s="1115"/>
      <c r="LHJ19" s="1115"/>
      <c r="LHK19" s="1115"/>
      <c r="LHL19" s="1115"/>
      <c r="LHM19" s="1115"/>
      <c r="LHN19" s="1115"/>
      <c r="LHO19" s="1115"/>
      <c r="LHP19" s="1115"/>
      <c r="LHQ19" s="1115"/>
      <c r="LHR19" s="1115"/>
      <c r="LHS19" s="1115"/>
      <c r="LHT19" s="1115"/>
      <c r="LHU19" s="1115"/>
      <c r="LHV19" s="1115"/>
      <c r="LHW19" s="1115"/>
      <c r="LHX19" s="1115"/>
      <c r="LHY19" s="1115"/>
      <c r="LHZ19" s="1115"/>
      <c r="LIA19" s="1115"/>
      <c r="LIB19" s="1115"/>
      <c r="LIC19" s="1115"/>
      <c r="LID19" s="1115"/>
      <c r="LIE19" s="1115"/>
      <c r="LIF19" s="1115"/>
      <c r="LIG19" s="1115"/>
      <c r="LIH19" s="1115"/>
      <c r="LII19" s="1115"/>
      <c r="LIJ19" s="1115"/>
      <c r="LIK19" s="1115"/>
      <c r="LIL19" s="1115"/>
      <c r="LIM19" s="1115"/>
      <c r="LIN19" s="1115"/>
      <c r="LIO19" s="1115"/>
      <c r="LIP19" s="1115"/>
      <c r="LIQ19" s="1115"/>
      <c r="LIR19" s="1115"/>
      <c r="LIS19" s="1115"/>
      <c r="LIT19" s="1115"/>
      <c r="LIU19" s="1115"/>
      <c r="LIV19" s="1115"/>
      <c r="LIW19" s="1115"/>
      <c r="LIX19" s="1115"/>
      <c r="LIY19" s="1115"/>
      <c r="LIZ19" s="1115"/>
      <c r="LJA19" s="1115"/>
      <c r="LJB19" s="1115"/>
      <c r="LJC19" s="1115"/>
      <c r="LJD19" s="1115"/>
      <c r="LJE19" s="1115"/>
      <c r="LJF19" s="1115"/>
      <c r="LJG19" s="1115"/>
      <c r="LJH19" s="1115"/>
      <c r="LJI19" s="1115"/>
      <c r="LJJ19" s="1115"/>
      <c r="LJK19" s="1115"/>
      <c r="LJL19" s="1115"/>
      <c r="LJM19" s="1115"/>
      <c r="LJN19" s="1115"/>
      <c r="LJO19" s="1115"/>
      <c r="LJP19" s="1115"/>
      <c r="LJQ19" s="1115"/>
      <c r="LJR19" s="1115"/>
      <c r="LJS19" s="1115"/>
      <c r="LJT19" s="1115"/>
      <c r="LJU19" s="1115"/>
      <c r="LJV19" s="1115"/>
      <c r="LJW19" s="1115"/>
      <c r="LJX19" s="1115"/>
      <c r="LJY19" s="1115"/>
      <c r="LJZ19" s="1115"/>
      <c r="LKA19" s="1115"/>
      <c r="LKB19" s="1115"/>
      <c r="LKC19" s="1115"/>
      <c r="LKD19" s="1115"/>
      <c r="LKE19" s="1115"/>
      <c r="LKF19" s="1115"/>
      <c r="LKG19" s="1115"/>
      <c r="LKH19" s="1115"/>
      <c r="LKI19" s="1115"/>
      <c r="LKJ19" s="1115"/>
      <c r="LKK19" s="1115"/>
      <c r="LKL19" s="1115"/>
      <c r="LKM19" s="1115"/>
      <c r="LKN19" s="1115"/>
      <c r="LKO19" s="1115"/>
      <c r="LKP19" s="1115"/>
      <c r="LKQ19" s="1115"/>
      <c r="LKR19" s="1115"/>
      <c r="LKS19" s="1115"/>
      <c r="LKT19" s="1115"/>
      <c r="LKU19" s="1115"/>
      <c r="LKV19" s="1115"/>
      <c r="LKW19" s="1115"/>
      <c r="LKX19" s="1115"/>
      <c r="LKY19" s="1115"/>
      <c r="LKZ19" s="1115"/>
      <c r="LLA19" s="1115"/>
      <c r="LLB19" s="1115"/>
      <c r="LLC19" s="1115"/>
      <c r="LLD19" s="1115"/>
      <c r="LLE19" s="1115"/>
      <c r="LLF19" s="1115"/>
      <c r="LLG19" s="1115"/>
      <c r="LLH19" s="1115"/>
      <c r="LLI19" s="1115"/>
      <c r="LLJ19" s="1115"/>
      <c r="LLK19" s="1115"/>
      <c r="LLL19" s="1115"/>
      <c r="LLM19" s="1115"/>
      <c r="LLN19" s="1115"/>
      <c r="LLO19" s="1115"/>
      <c r="LLP19" s="1115"/>
      <c r="LLQ19" s="1115"/>
      <c r="LLR19" s="1115"/>
      <c r="LLS19" s="1115"/>
      <c r="LLT19" s="1115"/>
      <c r="LLU19" s="1115"/>
      <c r="LLV19" s="1115"/>
      <c r="LLW19" s="1115"/>
      <c r="LLX19" s="1115"/>
      <c r="LLY19" s="1115"/>
      <c r="LLZ19" s="1115"/>
      <c r="LMA19" s="1115"/>
      <c r="LMB19" s="1115"/>
      <c r="LMC19" s="1115"/>
      <c r="LMD19" s="1115"/>
      <c r="LME19" s="1115"/>
      <c r="LMF19" s="1115"/>
      <c r="LMG19" s="1115"/>
      <c r="LMH19" s="1115"/>
      <c r="LMI19" s="1115"/>
      <c r="LMJ19" s="1115"/>
      <c r="LMK19" s="1115"/>
      <c r="LML19" s="1115"/>
      <c r="LMM19" s="1115"/>
      <c r="LMN19" s="1115"/>
      <c r="LMO19" s="1115"/>
      <c r="LMP19" s="1115"/>
      <c r="LMQ19" s="1115"/>
      <c r="LMR19" s="1115"/>
      <c r="LMS19" s="1115"/>
      <c r="LMT19" s="1115"/>
      <c r="LMU19" s="1115"/>
      <c r="LMV19" s="1115"/>
      <c r="LMW19" s="1115"/>
      <c r="LMX19" s="1115"/>
      <c r="LMY19" s="1115"/>
      <c r="LMZ19" s="1115"/>
      <c r="LNA19" s="1115"/>
      <c r="LNB19" s="1115"/>
      <c r="LNC19" s="1115"/>
      <c r="LND19" s="1115"/>
      <c r="LNE19" s="1115"/>
      <c r="LNF19" s="1115"/>
      <c r="LNG19" s="1115"/>
      <c r="LNH19" s="1115"/>
      <c r="LNI19" s="1115"/>
      <c r="LNJ19" s="1115"/>
      <c r="LNK19" s="1115"/>
      <c r="LNL19" s="1115"/>
      <c r="LNM19" s="1115"/>
      <c r="LNN19" s="1115"/>
      <c r="LNO19" s="1115"/>
      <c r="LNP19" s="1115"/>
      <c r="LNQ19" s="1115"/>
      <c r="LNR19" s="1115"/>
      <c r="LNS19" s="1115"/>
      <c r="LNT19" s="1115"/>
      <c r="LNU19" s="1115"/>
      <c r="LNV19" s="1115"/>
      <c r="LNW19" s="1115"/>
      <c r="LNX19" s="1115"/>
      <c r="LNY19" s="1115"/>
      <c r="LNZ19" s="1115"/>
      <c r="LOA19" s="1115"/>
      <c r="LOB19" s="1115"/>
      <c r="LOC19" s="1115"/>
      <c r="LOD19" s="1115"/>
      <c r="LOE19" s="1115"/>
      <c r="LOF19" s="1115"/>
      <c r="LOG19" s="1115"/>
      <c r="LOH19" s="1115"/>
      <c r="LOI19" s="1115"/>
      <c r="LOJ19" s="1115"/>
      <c r="LOK19" s="1115"/>
      <c r="LOL19" s="1115"/>
      <c r="LOM19" s="1115"/>
      <c r="LON19" s="1115"/>
      <c r="LOO19" s="1115"/>
      <c r="LOP19" s="1115"/>
      <c r="LOQ19" s="1115"/>
      <c r="LOR19" s="1115"/>
      <c r="LOS19" s="1115"/>
      <c r="LOT19" s="1115"/>
      <c r="LOU19" s="1115"/>
      <c r="LOV19" s="1115"/>
      <c r="LOW19" s="1115"/>
      <c r="LOX19" s="1115"/>
      <c r="LOY19" s="1115"/>
      <c r="LOZ19" s="1115"/>
      <c r="LPA19" s="1115"/>
      <c r="LPB19" s="1115"/>
      <c r="LPC19" s="1115"/>
      <c r="LPD19" s="1115"/>
      <c r="LPE19" s="1115"/>
      <c r="LPF19" s="1115"/>
      <c r="LPG19" s="1115"/>
      <c r="LPH19" s="1115"/>
      <c r="LPI19" s="1115"/>
      <c r="LPJ19" s="1115"/>
      <c r="LPK19" s="1115"/>
      <c r="LPL19" s="1115"/>
      <c r="LPM19" s="1115"/>
      <c r="LPN19" s="1115"/>
      <c r="LPO19" s="1115"/>
      <c r="LPP19" s="1115"/>
      <c r="LPQ19" s="1115"/>
      <c r="LPR19" s="1115"/>
      <c r="LPS19" s="1115"/>
      <c r="LPT19" s="1115"/>
      <c r="LPU19" s="1115"/>
      <c r="LPV19" s="1115"/>
      <c r="LPW19" s="1115"/>
      <c r="LPX19" s="1115"/>
      <c r="LPY19" s="1115"/>
      <c r="LPZ19" s="1115"/>
      <c r="LQA19" s="1115"/>
      <c r="LQB19" s="1115"/>
      <c r="LQC19" s="1115"/>
      <c r="LQD19" s="1115"/>
      <c r="LQE19" s="1115"/>
      <c r="LQF19" s="1115"/>
      <c r="LQG19" s="1115"/>
      <c r="LQH19" s="1115"/>
      <c r="LQI19" s="1115"/>
      <c r="LQJ19" s="1115"/>
      <c r="LQK19" s="1115"/>
      <c r="LQL19" s="1115"/>
      <c r="LQM19" s="1115"/>
      <c r="LQN19" s="1115"/>
      <c r="LQO19" s="1115"/>
      <c r="LQP19" s="1115"/>
      <c r="LQQ19" s="1115"/>
      <c r="LQR19" s="1115"/>
      <c r="LQS19" s="1115"/>
      <c r="LQT19" s="1115"/>
      <c r="LQU19" s="1115"/>
      <c r="LQV19" s="1115"/>
      <c r="LQW19" s="1115"/>
      <c r="LQX19" s="1115"/>
      <c r="LQY19" s="1115"/>
      <c r="LQZ19" s="1115"/>
      <c r="LRA19" s="1115"/>
      <c r="LRB19" s="1115"/>
      <c r="LRC19" s="1115"/>
      <c r="LRD19" s="1115"/>
      <c r="LRE19" s="1115"/>
      <c r="LRF19" s="1115"/>
      <c r="LRG19" s="1115"/>
      <c r="LRH19" s="1115"/>
      <c r="LRI19" s="1115"/>
      <c r="LRJ19" s="1115"/>
      <c r="LRK19" s="1115"/>
      <c r="LRL19" s="1115"/>
      <c r="LRM19" s="1115"/>
      <c r="LRN19" s="1115"/>
      <c r="LRO19" s="1115"/>
      <c r="LRP19" s="1115"/>
      <c r="LRQ19" s="1115"/>
      <c r="LRR19" s="1115"/>
      <c r="LRS19" s="1115"/>
      <c r="LRT19" s="1115"/>
      <c r="LRU19" s="1115"/>
      <c r="LRV19" s="1115"/>
      <c r="LRW19" s="1115"/>
      <c r="LRX19" s="1115"/>
      <c r="LRY19" s="1115"/>
      <c r="LRZ19" s="1115"/>
      <c r="LSA19" s="1115"/>
      <c r="LSB19" s="1115"/>
      <c r="LSC19" s="1115"/>
      <c r="LSD19" s="1115"/>
      <c r="LSE19" s="1115"/>
      <c r="LSF19" s="1115"/>
      <c r="LSG19" s="1115"/>
      <c r="LSH19" s="1115"/>
      <c r="LSI19" s="1115"/>
      <c r="LSJ19" s="1115"/>
      <c r="LSK19" s="1115"/>
      <c r="LSL19" s="1115"/>
      <c r="LSM19" s="1115"/>
      <c r="LSN19" s="1115"/>
      <c r="LSO19" s="1115"/>
      <c r="LSP19" s="1115"/>
      <c r="LSQ19" s="1115"/>
      <c r="LSR19" s="1115"/>
      <c r="LSS19" s="1115"/>
      <c r="LST19" s="1115"/>
      <c r="LSU19" s="1115"/>
      <c r="LSV19" s="1115"/>
      <c r="LSW19" s="1115"/>
      <c r="LSX19" s="1115"/>
      <c r="LSY19" s="1115"/>
      <c r="LSZ19" s="1115"/>
      <c r="LTA19" s="1115"/>
      <c r="LTB19" s="1115"/>
      <c r="LTC19" s="1115"/>
      <c r="LTD19" s="1115"/>
      <c r="LTE19" s="1115"/>
      <c r="LTF19" s="1115"/>
      <c r="LTG19" s="1115"/>
      <c r="LTH19" s="1115"/>
      <c r="LTI19" s="1115"/>
      <c r="LTJ19" s="1115"/>
      <c r="LTK19" s="1115"/>
      <c r="LTL19" s="1115"/>
      <c r="LTM19" s="1115"/>
      <c r="LTN19" s="1115"/>
      <c r="LTO19" s="1115"/>
      <c r="LTP19" s="1115"/>
      <c r="LTQ19" s="1115"/>
      <c r="LTR19" s="1115"/>
      <c r="LTS19" s="1115"/>
      <c r="LTT19" s="1115"/>
      <c r="LTU19" s="1115"/>
      <c r="LTV19" s="1115"/>
      <c r="LTW19" s="1115"/>
      <c r="LTX19" s="1115"/>
      <c r="LTY19" s="1115"/>
      <c r="LTZ19" s="1115"/>
      <c r="LUA19" s="1115"/>
      <c r="LUB19" s="1115"/>
      <c r="LUC19" s="1115"/>
      <c r="LUD19" s="1115"/>
      <c r="LUE19" s="1115"/>
      <c r="LUF19" s="1115"/>
      <c r="LUG19" s="1115"/>
      <c r="LUH19" s="1115"/>
      <c r="LUI19" s="1115"/>
      <c r="LUJ19" s="1115"/>
      <c r="LUK19" s="1115"/>
      <c r="LUL19" s="1115"/>
      <c r="LUM19" s="1115"/>
      <c r="LUN19" s="1115"/>
      <c r="LUO19" s="1115"/>
      <c r="LUP19" s="1115"/>
      <c r="LUQ19" s="1115"/>
      <c r="LUR19" s="1115"/>
      <c r="LUS19" s="1115"/>
      <c r="LUT19" s="1115"/>
      <c r="LUU19" s="1115"/>
      <c r="LUV19" s="1115"/>
      <c r="LUW19" s="1115"/>
      <c r="LUX19" s="1115"/>
      <c r="LUY19" s="1115"/>
      <c r="LUZ19" s="1115"/>
      <c r="LVA19" s="1115"/>
      <c r="LVB19" s="1115"/>
      <c r="LVC19" s="1115"/>
      <c r="LVD19" s="1115"/>
      <c r="LVE19" s="1115"/>
      <c r="LVF19" s="1115"/>
      <c r="LVG19" s="1115"/>
      <c r="LVH19" s="1115"/>
      <c r="LVI19" s="1115"/>
      <c r="LVJ19" s="1115"/>
      <c r="LVK19" s="1115"/>
      <c r="LVL19" s="1115"/>
      <c r="LVM19" s="1115"/>
      <c r="LVN19" s="1115"/>
      <c r="LVO19" s="1115"/>
      <c r="LVP19" s="1115"/>
      <c r="LVQ19" s="1115"/>
      <c r="LVR19" s="1115"/>
      <c r="LVS19" s="1115"/>
      <c r="LVT19" s="1115"/>
      <c r="LVU19" s="1115"/>
      <c r="LVV19" s="1115"/>
      <c r="LVW19" s="1115"/>
      <c r="LVX19" s="1115"/>
      <c r="LVY19" s="1115"/>
      <c r="LVZ19" s="1115"/>
      <c r="LWA19" s="1115"/>
      <c r="LWB19" s="1115"/>
      <c r="LWC19" s="1115"/>
      <c r="LWD19" s="1115"/>
      <c r="LWE19" s="1115"/>
      <c r="LWF19" s="1115"/>
      <c r="LWG19" s="1115"/>
      <c r="LWH19" s="1115"/>
      <c r="LWI19" s="1115"/>
      <c r="LWJ19" s="1115"/>
      <c r="LWK19" s="1115"/>
      <c r="LWL19" s="1115"/>
      <c r="LWM19" s="1115"/>
      <c r="LWN19" s="1115"/>
      <c r="LWO19" s="1115"/>
      <c r="LWP19" s="1115"/>
      <c r="LWQ19" s="1115"/>
      <c r="LWR19" s="1115"/>
      <c r="LWS19" s="1115"/>
      <c r="LWT19" s="1115"/>
      <c r="LWU19" s="1115"/>
      <c r="LWV19" s="1115"/>
      <c r="LWW19" s="1115"/>
      <c r="LWX19" s="1115"/>
      <c r="LWY19" s="1115"/>
      <c r="LWZ19" s="1115"/>
      <c r="LXA19" s="1115"/>
      <c r="LXB19" s="1115"/>
      <c r="LXC19" s="1115"/>
      <c r="LXD19" s="1115"/>
      <c r="LXE19" s="1115"/>
      <c r="LXF19" s="1115"/>
      <c r="LXG19" s="1115"/>
      <c r="LXH19" s="1115"/>
      <c r="LXI19" s="1115"/>
      <c r="LXJ19" s="1115"/>
      <c r="LXK19" s="1115"/>
      <c r="LXL19" s="1115"/>
      <c r="LXM19" s="1115"/>
      <c r="LXN19" s="1115"/>
      <c r="LXO19" s="1115"/>
      <c r="LXP19" s="1115"/>
      <c r="LXQ19" s="1115"/>
      <c r="LXR19" s="1115"/>
      <c r="LXS19" s="1115"/>
      <c r="LXT19" s="1115"/>
      <c r="LXU19" s="1115"/>
      <c r="LXV19" s="1115"/>
      <c r="LXW19" s="1115"/>
      <c r="LXX19" s="1115"/>
      <c r="LXY19" s="1115"/>
      <c r="LXZ19" s="1115"/>
      <c r="LYA19" s="1115"/>
      <c r="LYB19" s="1115"/>
      <c r="LYC19" s="1115"/>
      <c r="LYD19" s="1115"/>
      <c r="LYE19" s="1115"/>
      <c r="LYF19" s="1115"/>
      <c r="LYG19" s="1115"/>
      <c r="LYH19" s="1115"/>
      <c r="LYI19" s="1115"/>
      <c r="LYJ19" s="1115"/>
      <c r="LYK19" s="1115"/>
      <c r="LYL19" s="1115"/>
      <c r="LYM19" s="1115"/>
      <c r="LYN19" s="1115"/>
      <c r="LYO19" s="1115"/>
      <c r="LYP19" s="1115"/>
      <c r="LYQ19" s="1115"/>
      <c r="LYR19" s="1115"/>
      <c r="LYS19" s="1115"/>
      <c r="LYT19" s="1115"/>
      <c r="LYU19" s="1115"/>
      <c r="LYV19" s="1115"/>
      <c r="LYW19" s="1115"/>
      <c r="LYX19" s="1115"/>
      <c r="LYY19" s="1115"/>
      <c r="LYZ19" s="1115"/>
      <c r="LZA19" s="1115"/>
      <c r="LZB19" s="1115"/>
      <c r="LZC19" s="1115"/>
      <c r="LZD19" s="1115"/>
      <c r="LZE19" s="1115"/>
      <c r="LZF19" s="1115"/>
      <c r="LZG19" s="1115"/>
      <c r="LZH19" s="1115"/>
      <c r="LZI19" s="1115"/>
      <c r="LZJ19" s="1115"/>
      <c r="LZK19" s="1115"/>
      <c r="LZL19" s="1115"/>
      <c r="LZM19" s="1115"/>
      <c r="LZN19" s="1115"/>
      <c r="LZO19" s="1115"/>
      <c r="LZP19" s="1115"/>
      <c r="LZQ19" s="1115"/>
      <c r="LZR19" s="1115"/>
      <c r="LZS19" s="1115"/>
      <c r="LZT19" s="1115"/>
      <c r="LZU19" s="1115"/>
      <c r="LZV19" s="1115"/>
      <c r="LZW19" s="1115"/>
      <c r="LZX19" s="1115"/>
      <c r="LZY19" s="1115"/>
      <c r="LZZ19" s="1115"/>
      <c r="MAA19" s="1115"/>
      <c r="MAB19" s="1115"/>
      <c r="MAC19" s="1115"/>
      <c r="MAD19" s="1115"/>
      <c r="MAE19" s="1115"/>
      <c r="MAF19" s="1115"/>
      <c r="MAG19" s="1115"/>
      <c r="MAH19" s="1115"/>
      <c r="MAI19" s="1115"/>
      <c r="MAJ19" s="1115"/>
      <c r="MAK19" s="1115"/>
      <c r="MAL19" s="1115"/>
      <c r="MAM19" s="1115"/>
      <c r="MAN19" s="1115"/>
      <c r="MAO19" s="1115"/>
      <c r="MAP19" s="1115"/>
      <c r="MAQ19" s="1115"/>
      <c r="MAR19" s="1115"/>
      <c r="MAS19" s="1115"/>
      <c r="MAT19" s="1115"/>
      <c r="MAU19" s="1115"/>
      <c r="MAV19" s="1115"/>
      <c r="MAW19" s="1115"/>
      <c r="MAX19" s="1115"/>
      <c r="MAY19" s="1115"/>
      <c r="MAZ19" s="1115"/>
      <c r="MBA19" s="1115"/>
      <c r="MBB19" s="1115"/>
      <c r="MBC19" s="1115"/>
      <c r="MBD19" s="1115"/>
      <c r="MBE19" s="1115"/>
      <c r="MBF19" s="1115"/>
      <c r="MBG19" s="1115"/>
      <c r="MBH19" s="1115"/>
      <c r="MBI19" s="1115"/>
      <c r="MBJ19" s="1115"/>
      <c r="MBK19" s="1115"/>
      <c r="MBL19" s="1115"/>
      <c r="MBM19" s="1115"/>
      <c r="MBN19" s="1115"/>
      <c r="MBO19" s="1115"/>
      <c r="MBP19" s="1115"/>
      <c r="MBQ19" s="1115"/>
      <c r="MBR19" s="1115"/>
      <c r="MBS19" s="1115"/>
      <c r="MBT19" s="1115"/>
      <c r="MBU19" s="1115"/>
      <c r="MBV19" s="1115"/>
      <c r="MBW19" s="1115"/>
      <c r="MBX19" s="1115"/>
      <c r="MBY19" s="1115"/>
      <c r="MBZ19" s="1115"/>
      <c r="MCA19" s="1115"/>
      <c r="MCB19" s="1115"/>
      <c r="MCC19" s="1115"/>
      <c r="MCD19" s="1115"/>
      <c r="MCE19" s="1115"/>
      <c r="MCF19" s="1115"/>
      <c r="MCG19" s="1115"/>
      <c r="MCH19" s="1115"/>
      <c r="MCI19" s="1115"/>
      <c r="MCJ19" s="1115"/>
      <c r="MCK19" s="1115"/>
      <c r="MCL19" s="1115"/>
      <c r="MCM19" s="1115"/>
      <c r="MCN19" s="1115"/>
      <c r="MCO19" s="1115"/>
      <c r="MCP19" s="1115"/>
      <c r="MCQ19" s="1115"/>
      <c r="MCR19" s="1115"/>
      <c r="MCS19" s="1115"/>
      <c r="MCT19" s="1115"/>
      <c r="MCU19" s="1115"/>
      <c r="MCV19" s="1115"/>
      <c r="MCW19" s="1115"/>
      <c r="MCX19" s="1115"/>
      <c r="MCY19" s="1115"/>
      <c r="MCZ19" s="1115"/>
      <c r="MDA19" s="1115"/>
      <c r="MDB19" s="1115"/>
      <c r="MDC19" s="1115"/>
      <c r="MDD19" s="1115"/>
      <c r="MDE19" s="1115"/>
      <c r="MDF19" s="1115"/>
      <c r="MDG19" s="1115"/>
      <c r="MDH19" s="1115"/>
      <c r="MDI19" s="1115"/>
      <c r="MDJ19" s="1115"/>
      <c r="MDK19" s="1115"/>
      <c r="MDL19" s="1115"/>
      <c r="MDM19" s="1115"/>
      <c r="MDN19" s="1115"/>
      <c r="MDO19" s="1115"/>
      <c r="MDP19" s="1115"/>
      <c r="MDQ19" s="1115"/>
      <c r="MDR19" s="1115"/>
      <c r="MDS19" s="1115"/>
      <c r="MDT19" s="1115"/>
      <c r="MDU19" s="1115"/>
      <c r="MDV19" s="1115"/>
      <c r="MDW19" s="1115"/>
      <c r="MDX19" s="1115"/>
      <c r="MDY19" s="1115"/>
      <c r="MDZ19" s="1115"/>
      <c r="MEA19" s="1115"/>
      <c r="MEB19" s="1115"/>
      <c r="MEC19" s="1115"/>
      <c r="MED19" s="1115"/>
      <c r="MEE19" s="1115"/>
      <c r="MEF19" s="1115"/>
      <c r="MEG19" s="1115"/>
      <c r="MEH19" s="1115"/>
      <c r="MEI19" s="1115"/>
      <c r="MEJ19" s="1115"/>
      <c r="MEK19" s="1115"/>
      <c r="MEL19" s="1115"/>
      <c r="MEM19" s="1115"/>
      <c r="MEN19" s="1115"/>
      <c r="MEO19" s="1115"/>
      <c r="MEP19" s="1115"/>
      <c r="MEQ19" s="1115"/>
      <c r="MER19" s="1115"/>
      <c r="MES19" s="1115"/>
      <c r="MET19" s="1115"/>
      <c r="MEU19" s="1115"/>
      <c r="MEV19" s="1115"/>
      <c r="MEW19" s="1115"/>
      <c r="MEX19" s="1115"/>
      <c r="MEY19" s="1115"/>
      <c r="MEZ19" s="1115"/>
      <c r="MFA19" s="1115"/>
      <c r="MFB19" s="1115"/>
      <c r="MFC19" s="1115"/>
      <c r="MFD19" s="1115"/>
      <c r="MFE19" s="1115"/>
      <c r="MFF19" s="1115"/>
      <c r="MFG19" s="1115"/>
      <c r="MFH19" s="1115"/>
      <c r="MFI19" s="1115"/>
      <c r="MFJ19" s="1115"/>
      <c r="MFK19" s="1115"/>
      <c r="MFL19" s="1115"/>
      <c r="MFM19" s="1115"/>
      <c r="MFN19" s="1115"/>
      <c r="MFO19" s="1115"/>
      <c r="MFP19" s="1115"/>
      <c r="MFQ19" s="1115"/>
      <c r="MFR19" s="1115"/>
      <c r="MFS19" s="1115"/>
      <c r="MFT19" s="1115"/>
      <c r="MFU19" s="1115"/>
      <c r="MFV19" s="1115"/>
      <c r="MFW19" s="1115"/>
      <c r="MFX19" s="1115"/>
      <c r="MFY19" s="1115"/>
      <c r="MFZ19" s="1115"/>
      <c r="MGA19" s="1115"/>
      <c r="MGB19" s="1115"/>
      <c r="MGC19" s="1115"/>
      <c r="MGD19" s="1115"/>
      <c r="MGE19" s="1115"/>
      <c r="MGF19" s="1115"/>
      <c r="MGG19" s="1115"/>
      <c r="MGH19" s="1115"/>
      <c r="MGI19" s="1115"/>
      <c r="MGJ19" s="1115"/>
      <c r="MGK19" s="1115"/>
      <c r="MGL19" s="1115"/>
      <c r="MGM19" s="1115"/>
      <c r="MGN19" s="1115"/>
      <c r="MGO19" s="1115"/>
      <c r="MGP19" s="1115"/>
      <c r="MGQ19" s="1115"/>
      <c r="MGR19" s="1115"/>
      <c r="MGS19" s="1115"/>
      <c r="MGT19" s="1115"/>
      <c r="MGU19" s="1115"/>
      <c r="MGV19" s="1115"/>
      <c r="MGW19" s="1115"/>
      <c r="MGX19" s="1115"/>
      <c r="MGY19" s="1115"/>
      <c r="MGZ19" s="1115"/>
      <c r="MHA19" s="1115"/>
      <c r="MHB19" s="1115"/>
      <c r="MHC19" s="1115"/>
      <c r="MHD19" s="1115"/>
      <c r="MHE19" s="1115"/>
      <c r="MHF19" s="1115"/>
      <c r="MHG19" s="1115"/>
      <c r="MHH19" s="1115"/>
      <c r="MHI19" s="1115"/>
      <c r="MHJ19" s="1115"/>
      <c r="MHK19" s="1115"/>
      <c r="MHL19" s="1115"/>
      <c r="MHM19" s="1115"/>
      <c r="MHN19" s="1115"/>
      <c r="MHO19" s="1115"/>
      <c r="MHP19" s="1115"/>
      <c r="MHQ19" s="1115"/>
      <c r="MHR19" s="1115"/>
      <c r="MHS19" s="1115"/>
      <c r="MHT19" s="1115"/>
      <c r="MHU19" s="1115"/>
      <c r="MHV19" s="1115"/>
      <c r="MHW19" s="1115"/>
      <c r="MHX19" s="1115"/>
      <c r="MHY19" s="1115"/>
      <c r="MHZ19" s="1115"/>
      <c r="MIA19" s="1115"/>
      <c r="MIB19" s="1115"/>
      <c r="MIC19" s="1115"/>
      <c r="MID19" s="1115"/>
      <c r="MIE19" s="1115"/>
      <c r="MIF19" s="1115"/>
      <c r="MIG19" s="1115"/>
      <c r="MIH19" s="1115"/>
      <c r="MII19" s="1115"/>
      <c r="MIJ19" s="1115"/>
      <c r="MIK19" s="1115"/>
      <c r="MIL19" s="1115"/>
      <c r="MIM19" s="1115"/>
      <c r="MIN19" s="1115"/>
      <c r="MIO19" s="1115"/>
      <c r="MIP19" s="1115"/>
      <c r="MIQ19" s="1115"/>
      <c r="MIR19" s="1115"/>
      <c r="MIS19" s="1115"/>
      <c r="MIT19" s="1115"/>
      <c r="MIU19" s="1115"/>
      <c r="MIV19" s="1115"/>
      <c r="MIW19" s="1115"/>
      <c r="MIX19" s="1115"/>
      <c r="MIY19" s="1115"/>
      <c r="MIZ19" s="1115"/>
      <c r="MJA19" s="1115"/>
      <c r="MJB19" s="1115"/>
      <c r="MJC19" s="1115"/>
      <c r="MJD19" s="1115"/>
      <c r="MJE19" s="1115"/>
      <c r="MJF19" s="1115"/>
      <c r="MJG19" s="1115"/>
      <c r="MJH19" s="1115"/>
      <c r="MJI19" s="1115"/>
      <c r="MJJ19" s="1115"/>
      <c r="MJK19" s="1115"/>
      <c r="MJL19" s="1115"/>
      <c r="MJM19" s="1115"/>
      <c r="MJN19" s="1115"/>
      <c r="MJO19" s="1115"/>
      <c r="MJP19" s="1115"/>
      <c r="MJQ19" s="1115"/>
      <c r="MJR19" s="1115"/>
      <c r="MJS19" s="1115"/>
      <c r="MJT19" s="1115"/>
      <c r="MJU19" s="1115"/>
      <c r="MJV19" s="1115"/>
      <c r="MJW19" s="1115"/>
      <c r="MJX19" s="1115"/>
      <c r="MJY19" s="1115"/>
      <c r="MJZ19" s="1115"/>
      <c r="MKA19" s="1115"/>
      <c r="MKB19" s="1115"/>
      <c r="MKC19" s="1115"/>
      <c r="MKD19" s="1115"/>
      <c r="MKE19" s="1115"/>
      <c r="MKF19" s="1115"/>
      <c r="MKG19" s="1115"/>
      <c r="MKH19" s="1115"/>
      <c r="MKI19" s="1115"/>
      <c r="MKJ19" s="1115"/>
      <c r="MKK19" s="1115"/>
      <c r="MKL19" s="1115"/>
      <c r="MKM19" s="1115"/>
      <c r="MKN19" s="1115"/>
      <c r="MKO19" s="1115"/>
      <c r="MKP19" s="1115"/>
      <c r="MKQ19" s="1115"/>
      <c r="MKR19" s="1115"/>
      <c r="MKS19" s="1115"/>
      <c r="MKT19" s="1115"/>
      <c r="MKU19" s="1115"/>
      <c r="MKV19" s="1115"/>
      <c r="MKW19" s="1115"/>
      <c r="MKX19" s="1115"/>
      <c r="MKY19" s="1115"/>
      <c r="MKZ19" s="1115"/>
      <c r="MLA19" s="1115"/>
      <c r="MLB19" s="1115"/>
      <c r="MLC19" s="1115"/>
      <c r="MLD19" s="1115"/>
      <c r="MLE19" s="1115"/>
      <c r="MLF19" s="1115"/>
      <c r="MLG19" s="1115"/>
      <c r="MLH19" s="1115"/>
      <c r="MLI19" s="1115"/>
      <c r="MLJ19" s="1115"/>
      <c r="MLK19" s="1115"/>
      <c r="MLL19" s="1115"/>
      <c r="MLM19" s="1115"/>
      <c r="MLN19" s="1115"/>
      <c r="MLO19" s="1115"/>
      <c r="MLP19" s="1115"/>
      <c r="MLQ19" s="1115"/>
      <c r="MLR19" s="1115"/>
      <c r="MLS19" s="1115"/>
      <c r="MLT19" s="1115"/>
      <c r="MLU19" s="1115"/>
      <c r="MLV19" s="1115"/>
      <c r="MLW19" s="1115"/>
      <c r="MLX19" s="1115"/>
      <c r="MLY19" s="1115"/>
      <c r="MLZ19" s="1115"/>
      <c r="MMA19" s="1115"/>
      <c r="MMB19" s="1115"/>
      <c r="MMC19" s="1115"/>
      <c r="MMD19" s="1115"/>
      <c r="MME19" s="1115"/>
      <c r="MMF19" s="1115"/>
      <c r="MMG19" s="1115"/>
      <c r="MMH19" s="1115"/>
      <c r="MMI19" s="1115"/>
      <c r="MMJ19" s="1115"/>
      <c r="MMK19" s="1115"/>
      <c r="MML19" s="1115"/>
      <c r="MMM19" s="1115"/>
      <c r="MMN19" s="1115"/>
      <c r="MMO19" s="1115"/>
      <c r="MMP19" s="1115"/>
      <c r="MMQ19" s="1115"/>
      <c r="MMR19" s="1115"/>
      <c r="MMS19" s="1115"/>
      <c r="MMT19" s="1115"/>
      <c r="MMU19" s="1115"/>
      <c r="MMV19" s="1115"/>
      <c r="MMW19" s="1115"/>
      <c r="MMX19" s="1115"/>
      <c r="MMY19" s="1115"/>
      <c r="MMZ19" s="1115"/>
      <c r="MNA19" s="1115"/>
      <c r="MNB19" s="1115"/>
      <c r="MNC19" s="1115"/>
      <c r="MND19" s="1115"/>
      <c r="MNE19" s="1115"/>
      <c r="MNF19" s="1115"/>
      <c r="MNG19" s="1115"/>
      <c r="MNH19" s="1115"/>
      <c r="MNI19" s="1115"/>
      <c r="MNJ19" s="1115"/>
      <c r="MNK19" s="1115"/>
      <c r="MNL19" s="1115"/>
      <c r="MNM19" s="1115"/>
      <c r="MNN19" s="1115"/>
      <c r="MNO19" s="1115"/>
      <c r="MNP19" s="1115"/>
      <c r="MNQ19" s="1115"/>
      <c r="MNR19" s="1115"/>
      <c r="MNS19" s="1115"/>
      <c r="MNT19" s="1115"/>
      <c r="MNU19" s="1115"/>
      <c r="MNV19" s="1115"/>
      <c r="MNW19" s="1115"/>
      <c r="MNX19" s="1115"/>
      <c r="MNY19" s="1115"/>
      <c r="MNZ19" s="1115"/>
      <c r="MOA19" s="1115"/>
      <c r="MOB19" s="1115"/>
      <c r="MOC19" s="1115"/>
      <c r="MOD19" s="1115"/>
      <c r="MOE19" s="1115"/>
      <c r="MOF19" s="1115"/>
      <c r="MOG19" s="1115"/>
      <c r="MOH19" s="1115"/>
      <c r="MOI19" s="1115"/>
      <c r="MOJ19" s="1115"/>
      <c r="MOK19" s="1115"/>
      <c r="MOL19" s="1115"/>
      <c r="MOM19" s="1115"/>
      <c r="MON19" s="1115"/>
      <c r="MOO19" s="1115"/>
      <c r="MOP19" s="1115"/>
      <c r="MOQ19" s="1115"/>
      <c r="MOR19" s="1115"/>
      <c r="MOS19" s="1115"/>
      <c r="MOT19" s="1115"/>
      <c r="MOU19" s="1115"/>
      <c r="MOV19" s="1115"/>
      <c r="MOW19" s="1115"/>
      <c r="MOX19" s="1115"/>
      <c r="MOY19" s="1115"/>
      <c r="MOZ19" s="1115"/>
      <c r="MPA19" s="1115"/>
      <c r="MPB19" s="1115"/>
      <c r="MPC19" s="1115"/>
      <c r="MPD19" s="1115"/>
      <c r="MPE19" s="1115"/>
      <c r="MPF19" s="1115"/>
      <c r="MPG19" s="1115"/>
      <c r="MPH19" s="1115"/>
      <c r="MPI19" s="1115"/>
      <c r="MPJ19" s="1115"/>
      <c r="MPK19" s="1115"/>
      <c r="MPL19" s="1115"/>
      <c r="MPM19" s="1115"/>
      <c r="MPN19" s="1115"/>
      <c r="MPO19" s="1115"/>
      <c r="MPP19" s="1115"/>
      <c r="MPQ19" s="1115"/>
      <c r="MPR19" s="1115"/>
      <c r="MPS19" s="1115"/>
      <c r="MPT19" s="1115"/>
      <c r="MPU19" s="1115"/>
      <c r="MPV19" s="1115"/>
      <c r="MPW19" s="1115"/>
      <c r="MPX19" s="1115"/>
      <c r="MPY19" s="1115"/>
      <c r="MPZ19" s="1115"/>
      <c r="MQA19" s="1115"/>
      <c r="MQB19" s="1115"/>
      <c r="MQC19" s="1115"/>
      <c r="MQD19" s="1115"/>
      <c r="MQE19" s="1115"/>
      <c r="MQF19" s="1115"/>
      <c r="MQG19" s="1115"/>
      <c r="MQH19" s="1115"/>
      <c r="MQI19" s="1115"/>
      <c r="MQJ19" s="1115"/>
      <c r="MQK19" s="1115"/>
      <c r="MQL19" s="1115"/>
      <c r="MQM19" s="1115"/>
      <c r="MQN19" s="1115"/>
      <c r="MQO19" s="1115"/>
      <c r="MQP19" s="1115"/>
      <c r="MQQ19" s="1115"/>
      <c r="MQR19" s="1115"/>
      <c r="MQS19" s="1115"/>
      <c r="MQT19" s="1115"/>
      <c r="MQU19" s="1115"/>
      <c r="MQV19" s="1115"/>
      <c r="MQW19" s="1115"/>
      <c r="MQX19" s="1115"/>
      <c r="MQY19" s="1115"/>
      <c r="MQZ19" s="1115"/>
      <c r="MRA19" s="1115"/>
      <c r="MRB19" s="1115"/>
      <c r="MRC19" s="1115"/>
      <c r="MRD19" s="1115"/>
      <c r="MRE19" s="1115"/>
      <c r="MRF19" s="1115"/>
      <c r="MRG19" s="1115"/>
      <c r="MRH19" s="1115"/>
      <c r="MRI19" s="1115"/>
      <c r="MRJ19" s="1115"/>
      <c r="MRK19" s="1115"/>
      <c r="MRL19" s="1115"/>
      <c r="MRM19" s="1115"/>
      <c r="MRN19" s="1115"/>
      <c r="MRO19" s="1115"/>
      <c r="MRP19" s="1115"/>
      <c r="MRQ19" s="1115"/>
      <c r="MRR19" s="1115"/>
      <c r="MRS19" s="1115"/>
      <c r="MRT19" s="1115"/>
      <c r="MRU19" s="1115"/>
      <c r="MRV19" s="1115"/>
      <c r="MRW19" s="1115"/>
      <c r="MRX19" s="1115"/>
      <c r="MRY19" s="1115"/>
      <c r="MRZ19" s="1115"/>
      <c r="MSA19" s="1115"/>
      <c r="MSB19" s="1115"/>
      <c r="MSC19" s="1115"/>
      <c r="MSD19" s="1115"/>
      <c r="MSE19" s="1115"/>
      <c r="MSF19" s="1115"/>
      <c r="MSG19" s="1115"/>
      <c r="MSH19" s="1115"/>
      <c r="MSI19" s="1115"/>
      <c r="MSJ19" s="1115"/>
      <c r="MSK19" s="1115"/>
      <c r="MSL19" s="1115"/>
      <c r="MSM19" s="1115"/>
      <c r="MSN19" s="1115"/>
      <c r="MSO19" s="1115"/>
      <c r="MSP19" s="1115"/>
      <c r="MSQ19" s="1115"/>
      <c r="MSR19" s="1115"/>
      <c r="MSS19" s="1115"/>
      <c r="MST19" s="1115"/>
      <c r="MSU19" s="1115"/>
      <c r="MSV19" s="1115"/>
      <c r="MSW19" s="1115"/>
      <c r="MSX19" s="1115"/>
      <c r="MSY19" s="1115"/>
      <c r="MSZ19" s="1115"/>
      <c r="MTA19" s="1115"/>
      <c r="MTB19" s="1115"/>
      <c r="MTC19" s="1115"/>
      <c r="MTD19" s="1115"/>
      <c r="MTE19" s="1115"/>
      <c r="MTF19" s="1115"/>
      <c r="MTG19" s="1115"/>
      <c r="MTH19" s="1115"/>
      <c r="MTI19" s="1115"/>
      <c r="MTJ19" s="1115"/>
      <c r="MTK19" s="1115"/>
      <c r="MTL19" s="1115"/>
      <c r="MTM19" s="1115"/>
      <c r="MTN19" s="1115"/>
      <c r="MTO19" s="1115"/>
      <c r="MTP19" s="1115"/>
      <c r="MTQ19" s="1115"/>
      <c r="MTR19" s="1115"/>
      <c r="MTS19" s="1115"/>
      <c r="MTT19" s="1115"/>
      <c r="MTU19" s="1115"/>
      <c r="MTV19" s="1115"/>
      <c r="MTW19" s="1115"/>
      <c r="MTX19" s="1115"/>
      <c r="MTY19" s="1115"/>
      <c r="MTZ19" s="1115"/>
      <c r="MUA19" s="1115"/>
      <c r="MUB19" s="1115"/>
      <c r="MUC19" s="1115"/>
      <c r="MUD19" s="1115"/>
      <c r="MUE19" s="1115"/>
      <c r="MUF19" s="1115"/>
      <c r="MUG19" s="1115"/>
      <c r="MUH19" s="1115"/>
      <c r="MUI19" s="1115"/>
      <c r="MUJ19" s="1115"/>
      <c r="MUK19" s="1115"/>
      <c r="MUL19" s="1115"/>
      <c r="MUM19" s="1115"/>
      <c r="MUN19" s="1115"/>
      <c r="MUO19" s="1115"/>
      <c r="MUP19" s="1115"/>
      <c r="MUQ19" s="1115"/>
      <c r="MUR19" s="1115"/>
      <c r="MUS19" s="1115"/>
      <c r="MUT19" s="1115"/>
      <c r="MUU19" s="1115"/>
      <c r="MUV19" s="1115"/>
      <c r="MUW19" s="1115"/>
      <c r="MUX19" s="1115"/>
      <c r="MUY19" s="1115"/>
      <c r="MUZ19" s="1115"/>
      <c r="MVA19" s="1115"/>
      <c r="MVB19" s="1115"/>
      <c r="MVC19" s="1115"/>
      <c r="MVD19" s="1115"/>
      <c r="MVE19" s="1115"/>
      <c r="MVF19" s="1115"/>
      <c r="MVG19" s="1115"/>
      <c r="MVH19" s="1115"/>
      <c r="MVI19" s="1115"/>
      <c r="MVJ19" s="1115"/>
      <c r="MVK19" s="1115"/>
      <c r="MVL19" s="1115"/>
      <c r="MVM19" s="1115"/>
      <c r="MVN19" s="1115"/>
      <c r="MVO19" s="1115"/>
      <c r="MVP19" s="1115"/>
      <c r="MVQ19" s="1115"/>
      <c r="MVR19" s="1115"/>
      <c r="MVS19" s="1115"/>
      <c r="MVT19" s="1115"/>
      <c r="MVU19" s="1115"/>
      <c r="MVV19" s="1115"/>
      <c r="MVW19" s="1115"/>
      <c r="MVX19" s="1115"/>
      <c r="MVY19" s="1115"/>
      <c r="MVZ19" s="1115"/>
      <c r="MWA19" s="1115"/>
      <c r="MWB19" s="1115"/>
      <c r="MWC19" s="1115"/>
      <c r="MWD19" s="1115"/>
      <c r="MWE19" s="1115"/>
      <c r="MWF19" s="1115"/>
      <c r="MWG19" s="1115"/>
      <c r="MWH19" s="1115"/>
      <c r="MWI19" s="1115"/>
      <c r="MWJ19" s="1115"/>
      <c r="MWK19" s="1115"/>
      <c r="MWL19" s="1115"/>
      <c r="MWM19" s="1115"/>
      <c r="MWN19" s="1115"/>
      <c r="MWO19" s="1115"/>
      <c r="MWP19" s="1115"/>
      <c r="MWQ19" s="1115"/>
      <c r="MWR19" s="1115"/>
      <c r="MWS19" s="1115"/>
      <c r="MWT19" s="1115"/>
      <c r="MWU19" s="1115"/>
      <c r="MWV19" s="1115"/>
      <c r="MWW19" s="1115"/>
      <c r="MWX19" s="1115"/>
      <c r="MWY19" s="1115"/>
      <c r="MWZ19" s="1115"/>
      <c r="MXA19" s="1115"/>
      <c r="MXB19" s="1115"/>
      <c r="MXC19" s="1115"/>
      <c r="MXD19" s="1115"/>
      <c r="MXE19" s="1115"/>
      <c r="MXF19" s="1115"/>
      <c r="MXG19" s="1115"/>
      <c r="MXH19" s="1115"/>
      <c r="MXI19" s="1115"/>
      <c r="MXJ19" s="1115"/>
      <c r="MXK19" s="1115"/>
      <c r="MXL19" s="1115"/>
      <c r="MXM19" s="1115"/>
      <c r="MXN19" s="1115"/>
      <c r="MXO19" s="1115"/>
      <c r="MXP19" s="1115"/>
      <c r="MXQ19" s="1115"/>
      <c r="MXR19" s="1115"/>
      <c r="MXS19" s="1115"/>
      <c r="MXT19" s="1115"/>
      <c r="MXU19" s="1115"/>
      <c r="MXV19" s="1115"/>
      <c r="MXW19" s="1115"/>
      <c r="MXX19" s="1115"/>
      <c r="MXY19" s="1115"/>
      <c r="MXZ19" s="1115"/>
      <c r="MYA19" s="1115"/>
      <c r="MYB19" s="1115"/>
      <c r="MYC19" s="1115"/>
      <c r="MYD19" s="1115"/>
      <c r="MYE19" s="1115"/>
      <c r="MYF19" s="1115"/>
      <c r="MYG19" s="1115"/>
      <c r="MYH19" s="1115"/>
      <c r="MYI19" s="1115"/>
      <c r="MYJ19" s="1115"/>
      <c r="MYK19" s="1115"/>
      <c r="MYL19" s="1115"/>
      <c r="MYM19" s="1115"/>
      <c r="MYN19" s="1115"/>
      <c r="MYO19" s="1115"/>
      <c r="MYP19" s="1115"/>
      <c r="MYQ19" s="1115"/>
      <c r="MYR19" s="1115"/>
      <c r="MYS19" s="1115"/>
      <c r="MYT19" s="1115"/>
      <c r="MYU19" s="1115"/>
      <c r="MYV19" s="1115"/>
      <c r="MYW19" s="1115"/>
      <c r="MYX19" s="1115"/>
      <c r="MYY19" s="1115"/>
      <c r="MYZ19" s="1115"/>
      <c r="MZA19" s="1115"/>
      <c r="MZB19" s="1115"/>
      <c r="MZC19" s="1115"/>
      <c r="MZD19" s="1115"/>
      <c r="MZE19" s="1115"/>
      <c r="MZF19" s="1115"/>
      <c r="MZG19" s="1115"/>
      <c r="MZH19" s="1115"/>
      <c r="MZI19" s="1115"/>
      <c r="MZJ19" s="1115"/>
      <c r="MZK19" s="1115"/>
      <c r="MZL19" s="1115"/>
      <c r="MZM19" s="1115"/>
      <c r="MZN19" s="1115"/>
      <c r="MZO19" s="1115"/>
      <c r="MZP19" s="1115"/>
      <c r="MZQ19" s="1115"/>
      <c r="MZR19" s="1115"/>
      <c r="MZS19" s="1115"/>
      <c r="MZT19" s="1115"/>
      <c r="MZU19" s="1115"/>
      <c r="MZV19" s="1115"/>
      <c r="MZW19" s="1115"/>
      <c r="MZX19" s="1115"/>
      <c r="MZY19" s="1115"/>
      <c r="MZZ19" s="1115"/>
      <c r="NAA19" s="1115"/>
      <c r="NAB19" s="1115"/>
      <c r="NAC19" s="1115"/>
      <c r="NAD19" s="1115"/>
      <c r="NAE19" s="1115"/>
      <c r="NAF19" s="1115"/>
      <c r="NAG19" s="1115"/>
      <c r="NAH19" s="1115"/>
      <c r="NAI19" s="1115"/>
      <c r="NAJ19" s="1115"/>
      <c r="NAK19" s="1115"/>
      <c r="NAL19" s="1115"/>
      <c r="NAM19" s="1115"/>
      <c r="NAN19" s="1115"/>
      <c r="NAO19" s="1115"/>
      <c r="NAP19" s="1115"/>
      <c r="NAQ19" s="1115"/>
      <c r="NAR19" s="1115"/>
      <c r="NAS19" s="1115"/>
      <c r="NAT19" s="1115"/>
      <c r="NAU19" s="1115"/>
      <c r="NAV19" s="1115"/>
      <c r="NAW19" s="1115"/>
      <c r="NAX19" s="1115"/>
      <c r="NAY19" s="1115"/>
      <c r="NAZ19" s="1115"/>
      <c r="NBA19" s="1115"/>
      <c r="NBB19" s="1115"/>
      <c r="NBC19" s="1115"/>
      <c r="NBD19" s="1115"/>
      <c r="NBE19" s="1115"/>
      <c r="NBF19" s="1115"/>
      <c r="NBG19" s="1115"/>
      <c r="NBH19" s="1115"/>
      <c r="NBI19" s="1115"/>
      <c r="NBJ19" s="1115"/>
      <c r="NBK19" s="1115"/>
      <c r="NBL19" s="1115"/>
      <c r="NBM19" s="1115"/>
      <c r="NBN19" s="1115"/>
      <c r="NBO19" s="1115"/>
      <c r="NBP19" s="1115"/>
      <c r="NBQ19" s="1115"/>
      <c r="NBR19" s="1115"/>
      <c r="NBS19" s="1115"/>
      <c r="NBT19" s="1115"/>
      <c r="NBU19" s="1115"/>
      <c r="NBV19" s="1115"/>
      <c r="NBW19" s="1115"/>
      <c r="NBX19" s="1115"/>
      <c r="NBY19" s="1115"/>
      <c r="NBZ19" s="1115"/>
      <c r="NCA19" s="1115"/>
      <c r="NCB19" s="1115"/>
      <c r="NCC19" s="1115"/>
      <c r="NCD19" s="1115"/>
      <c r="NCE19" s="1115"/>
      <c r="NCF19" s="1115"/>
      <c r="NCG19" s="1115"/>
      <c r="NCH19" s="1115"/>
      <c r="NCI19" s="1115"/>
      <c r="NCJ19" s="1115"/>
      <c r="NCK19" s="1115"/>
      <c r="NCL19" s="1115"/>
      <c r="NCM19" s="1115"/>
      <c r="NCN19" s="1115"/>
      <c r="NCO19" s="1115"/>
      <c r="NCP19" s="1115"/>
      <c r="NCQ19" s="1115"/>
      <c r="NCR19" s="1115"/>
      <c r="NCS19" s="1115"/>
      <c r="NCT19" s="1115"/>
      <c r="NCU19" s="1115"/>
      <c r="NCV19" s="1115"/>
      <c r="NCW19" s="1115"/>
      <c r="NCX19" s="1115"/>
      <c r="NCY19" s="1115"/>
      <c r="NCZ19" s="1115"/>
      <c r="NDA19" s="1115"/>
      <c r="NDB19" s="1115"/>
      <c r="NDC19" s="1115"/>
      <c r="NDD19" s="1115"/>
      <c r="NDE19" s="1115"/>
      <c r="NDF19" s="1115"/>
      <c r="NDG19" s="1115"/>
      <c r="NDH19" s="1115"/>
      <c r="NDI19" s="1115"/>
      <c r="NDJ19" s="1115"/>
      <c r="NDK19" s="1115"/>
      <c r="NDL19" s="1115"/>
      <c r="NDM19" s="1115"/>
      <c r="NDN19" s="1115"/>
      <c r="NDO19" s="1115"/>
      <c r="NDP19" s="1115"/>
      <c r="NDQ19" s="1115"/>
      <c r="NDR19" s="1115"/>
      <c r="NDS19" s="1115"/>
      <c r="NDT19" s="1115"/>
      <c r="NDU19" s="1115"/>
      <c r="NDV19" s="1115"/>
      <c r="NDW19" s="1115"/>
      <c r="NDX19" s="1115"/>
      <c r="NDY19" s="1115"/>
      <c r="NDZ19" s="1115"/>
      <c r="NEA19" s="1115"/>
      <c r="NEB19" s="1115"/>
      <c r="NEC19" s="1115"/>
      <c r="NED19" s="1115"/>
      <c r="NEE19" s="1115"/>
      <c r="NEF19" s="1115"/>
      <c r="NEG19" s="1115"/>
      <c r="NEH19" s="1115"/>
      <c r="NEI19" s="1115"/>
      <c r="NEJ19" s="1115"/>
      <c r="NEK19" s="1115"/>
      <c r="NEL19" s="1115"/>
      <c r="NEM19" s="1115"/>
      <c r="NEN19" s="1115"/>
      <c r="NEO19" s="1115"/>
      <c r="NEP19" s="1115"/>
      <c r="NEQ19" s="1115"/>
      <c r="NER19" s="1115"/>
      <c r="NES19" s="1115"/>
      <c r="NET19" s="1115"/>
      <c r="NEU19" s="1115"/>
      <c r="NEV19" s="1115"/>
      <c r="NEW19" s="1115"/>
      <c r="NEX19" s="1115"/>
      <c r="NEY19" s="1115"/>
      <c r="NEZ19" s="1115"/>
      <c r="NFA19" s="1115"/>
      <c r="NFB19" s="1115"/>
      <c r="NFC19" s="1115"/>
      <c r="NFD19" s="1115"/>
      <c r="NFE19" s="1115"/>
      <c r="NFF19" s="1115"/>
      <c r="NFG19" s="1115"/>
      <c r="NFH19" s="1115"/>
      <c r="NFI19" s="1115"/>
      <c r="NFJ19" s="1115"/>
      <c r="NFK19" s="1115"/>
      <c r="NFL19" s="1115"/>
      <c r="NFM19" s="1115"/>
      <c r="NFN19" s="1115"/>
      <c r="NFO19" s="1115"/>
      <c r="NFP19" s="1115"/>
      <c r="NFQ19" s="1115"/>
      <c r="NFR19" s="1115"/>
      <c r="NFS19" s="1115"/>
      <c r="NFT19" s="1115"/>
      <c r="NFU19" s="1115"/>
      <c r="NFV19" s="1115"/>
      <c r="NFW19" s="1115"/>
      <c r="NFX19" s="1115"/>
      <c r="NFY19" s="1115"/>
      <c r="NFZ19" s="1115"/>
      <c r="NGA19" s="1115"/>
      <c r="NGB19" s="1115"/>
      <c r="NGC19" s="1115"/>
      <c r="NGD19" s="1115"/>
      <c r="NGE19" s="1115"/>
      <c r="NGF19" s="1115"/>
      <c r="NGG19" s="1115"/>
      <c r="NGH19" s="1115"/>
      <c r="NGI19" s="1115"/>
      <c r="NGJ19" s="1115"/>
      <c r="NGK19" s="1115"/>
      <c r="NGL19" s="1115"/>
      <c r="NGM19" s="1115"/>
      <c r="NGN19" s="1115"/>
      <c r="NGO19" s="1115"/>
      <c r="NGP19" s="1115"/>
      <c r="NGQ19" s="1115"/>
      <c r="NGR19" s="1115"/>
      <c r="NGS19" s="1115"/>
      <c r="NGT19" s="1115"/>
      <c r="NGU19" s="1115"/>
      <c r="NGV19" s="1115"/>
      <c r="NGW19" s="1115"/>
      <c r="NGX19" s="1115"/>
      <c r="NGY19" s="1115"/>
      <c r="NGZ19" s="1115"/>
      <c r="NHA19" s="1115"/>
      <c r="NHB19" s="1115"/>
      <c r="NHC19" s="1115"/>
      <c r="NHD19" s="1115"/>
      <c r="NHE19" s="1115"/>
      <c r="NHF19" s="1115"/>
      <c r="NHG19" s="1115"/>
      <c r="NHH19" s="1115"/>
      <c r="NHI19" s="1115"/>
      <c r="NHJ19" s="1115"/>
      <c r="NHK19" s="1115"/>
      <c r="NHL19" s="1115"/>
      <c r="NHM19" s="1115"/>
      <c r="NHN19" s="1115"/>
      <c r="NHO19" s="1115"/>
      <c r="NHP19" s="1115"/>
      <c r="NHQ19" s="1115"/>
      <c r="NHR19" s="1115"/>
      <c r="NHS19" s="1115"/>
      <c r="NHT19" s="1115"/>
      <c r="NHU19" s="1115"/>
      <c r="NHV19" s="1115"/>
      <c r="NHW19" s="1115"/>
      <c r="NHX19" s="1115"/>
      <c r="NHY19" s="1115"/>
      <c r="NHZ19" s="1115"/>
      <c r="NIA19" s="1115"/>
      <c r="NIB19" s="1115"/>
      <c r="NIC19" s="1115"/>
      <c r="NID19" s="1115"/>
      <c r="NIE19" s="1115"/>
      <c r="NIF19" s="1115"/>
      <c r="NIG19" s="1115"/>
      <c r="NIH19" s="1115"/>
      <c r="NII19" s="1115"/>
      <c r="NIJ19" s="1115"/>
      <c r="NIK19" s="1115"/>
      <c r="NIL19" s="1115"/>
      <c r="NIM19" s="1115"/>
      <c r="NIN19" s="1115"/>
      <c r="NIO19" s="1115"/>
      <c r="NIP19" s="1115"/>
      <c r="NIQ19" s="1115"/>
      <c r="NIR19" s="1115"/>
      <c r="NIS19" s="1115"/>
      <c r="NIT19" s="1115"/>
      <c r="NIU19" s="1115"/>
      <c r="NIV19" s="1115"/>
      <c r="NIW19" s="1115"/>
      <c r="NIX19" s="1115"/>
      <c r="NIY19" s="1115"/>
      <c r="NIZ19" s="1115"/>
      <c r="NJA19" s="1115"/>
      <c r="NJB19" s="1115"/>
      <c r="NJC19" s="1115"/>
      <c r="NJD19" s="1115"/>
      <c r="NJE19" s="1115"/>
      <c r="NJF19" s="1115"/>
      <c r="NJG19" s="1115"/>
      <c r="NJH19" s="1115"/>
      <c r="NJI19" s="1115"/>
      <c r="NJJ19" s="1115"/>
      <c r="NJK19" s="1115"/>
      <c r="NJL19" s="1115"/>
      <c r="NJM19" s="1115"/>
      <c r="NJN19" s="1115"/>
      <c r="NJO19" s="1115"/>
      <c r="NJP19" s="1115"/>
      <c r="NJQ19" s="1115"/>
      <c r="NJR19" s="1115"/>
      <c r="NJS19" s="1115"/>
      <c r="NJT19" s="1115"/>
      <c r="NJU19" s="1115"/>
      <c r="NJV19" s="1115"/>
      <c r="NJW19" s="1115"/>
      <c r="NJX19" s="1115"/>
      <c r="NJY19" s="1115"/>
      <c r="NJZ19" s="1115"/>
      <c r="NKA19" s="1115"/>
      <c r="NKB19" s="1115"/>
      <c r="NKC19" s="1115"/>
      <c r="NKD19" s="1115"/>
      <c r="NKE19" s="1115"/>
      <c r="NKF19" s="1115"/>
      <c r="NKG19" s="1115"/>
      <c r="NKH19" s="1115"/>
      <c r="NKI19" s="1115"/>
      <c r="NKJ19" s="1115"/>
      <c r="NKK19" s="1115"/>
      <c r="NKL19" s="1115"/>
      <c r="NKM19" s="1115"/>
      <c r="NKN19" s="1115"/>
      <c r="NKO19" s="1115"/>
      <c r="NKP19" s="1115"/>
      <c r="NKQ19" s="1115"/>
      <c r="NKR19" s="1115"/>
      <c r="NKS19" s="1115"/>
      <c r="NKT19" s="1115"/>
      <c r="NKU19" s="1115"/>
      <c r="NKV19" s="1115"/>
      <c r="NKW19" s="1115"/>
      <c r="NKX19" s="1115"/>
      <c r="NKY19" s="1115"/>
      <c r="NKZ19" s="1115"/>
      <c r="NLA19" s="1115"/>
      <c r="NLB19" s="1115"/>
      <c r="NLC19" s="1115"/>
      <c r="NLD19" s="1115"/>
      <c r="NLE19" s="1115"/>
      <c r="NLF19" s="1115"/>
      <c r="NLG19" s="1115"/>
      <c r="NLH19" s="1115"/>
      <c r="NLI19" s="1115"/>
      <c r="NLJ19" s="1115"/>
      <c r="NLK19" s="1115"/>
      <c r="NLL19" s="1115"/>
      <c r="NLM19" s="1115"/>
      <c r="NLN19" s="1115"/>
      <c r="NLO19" s="1115"/>
      <c r="NLP19" s="1115"/>
      <c r="NLQ19" s="1115"/>
      <c r="NLR19" s="1115"/>
      <c r="NLS19" s="1115"/>
      <c r="NLT19" s="1115"/>
      <c r="NLU19" s="1115"/>
      <c r="NLV19" s="1115"/>
      <c r="NLW19" s="1115"/>
      <c r="NLX19" s="1115"/>
      <c r="NLY19" s="1115"/>
      <c r="NLZ19" s="1115"/>
      <c r="NMA19" s="1115"/>
      <c r="NMB19" s="1115"/>
      <c r="NMC19" s="1115"/>
      <c r="NMD19" s="1115"/>
      <c r="NME19" s="1115"/>
      <c r="NMF19" s="1115"/>
      <c r="NMG19" s="1115"/>
      <c r="NMH19" s="1115"/>
      <c r="NMI19" s="1115"/>
      <c r="NMJ19" s="1115"/>
      <c r="NMK19" s="1115"/>
      <c r="NML19" s="1115"/>
      <c r="NMM19" s="1115"/>
      <c r="NMN19" s="1115"/>
      <c r="NMO19" s="1115"/>
      <c r="NMP19" s="1115"/>
      <c r="NMQ19" s="1115"/>
      <c r="NMR19" s="1115"/>
      <c r="NMS19" s="1115"/>
      <c r="NMT19" s="1115"/>
      <c r="NMU19" s="1115"/>
      <c r="NMV19" s="1115"/>
      <c r="NMW19" s="1115"/>
      <c r="NMX19" s="1115"/>
      <c r="NMY19" s="1115"/>
      <c r="NMZ19" s="1115"/>
      <c r="NNA19" s="1115"/>
      <c r="NNB19" s="1115"/>
      <c r="NNC19" s="1115"/>
      <c r="NND19" s="1115"/>
      <c r="NNE19" s="1115"/>
      <c r="NNF19" s="1115"/>
      <c r="NNG19" s="1115"/>
      <c r="NNH19" s="1115"/>
      <c r="NNI19" s="1115"/>
      <c r="NNJ19" s="1115"/>
      <c r="NNK19" s="1115"/>
      <c r="NNL19" s="1115"/>
      <c r="NNM19" s="1115"/>
      <c r="NNN19" s="1115"/>
      <c r="NNO19" s="1115"/>
      <c r="NNP19" s="1115"/>
      <c r="NNQ19" s="1115"/>
      <c r="NNR19" s="1115"/>
      <c r="NNS19" s="1115"/>
      <c r="NNT19" s="1115"/>
      <c r="NNU19" s="1115"/>
      <c r="NNV19" s="1115"/>
      <c r="NNW19" s="1115"/>
      <c r="NNX19" s="1115"/>
      <c r="NNY19" s="1115"/>
      <c r="NNZ19" s="1115"/>
      <c r="NOA19" s="1115"/>
      <c r="NOB19" s="1115"/>
      <c r="NOC19" s="1115"/>
      <c r="NOD19" s="1115"/>
      <c r="NOE19" s="1115"/>
      <c r="NOF19" s="1115"/>
      <c r="NOG19" s="1115"/>
      <c r="NOH19" s="1115"/>
      <c r="NOI19" s="1115"/>
      <c r="NOJ19" s="1115"/>
      <c r="NOK19" s="1115"/>
      <c r="NOL19" s="1115"/>
      <c r="NOM19" s="1115"/>
      <c r="NON19" s="1115"/>
      <c r="NOO19" s="1115"/>
      <c r="NOP19" s="1115"/>
      <c r="NOQ19" s="1115"/>
      <c r="NOR19" s="1115"/>
      <c r="NOS19" s="1115"/>
      <c r="NOT19" s="1115"/>
      <c r="NOU19" s="1115"/>
      <c r="NOV19" s="1115"/>
      <c r="NOW19" s="1115"/>
      <c r="NOX19" s="1115"/>
      <c r="NOY19" s="1115"/>
      <c r="NOZ19" s="1115"/>
      <c r="NPA19" s="1115"/>
      <c r="NPB19" s="1115"/>
      <c r="NPC19" s="1115"/>
      <c r="NPD19" s="1115"/>
      <c r="NPE19" s="1115"/>
      <c r="NPF19" s="1115"/>
      <c r="NPG19" s="1115"/>
      <c r="NPH19" s="1115"/>
      <c r="NPI19" s="1115"/>
      <c r="NPJ19" s="1115"/>
      <c r="NPK19" s="1115"/>
      <c r="NPL19" s="1115"/>
      <c r="NPM19" s="1115"/>
      <c r="NPN19" s="1115"/>
      <c r="NPO19" s="1115"/>
      <c r="NPP19" s="1115"/>
      <c r="NPQ19" s="1115"/>
      <c r="NPR19" s="1115"/>
      <c r="NPS19" s="1115"/>
      <c r="NPT19" s="1115"/>
      <c r="NPU19" s="1115"/>
      <c r="NPV19" s="1115"/>
      <c r="NPW19" s="1115"/>
      <c r="NPX19" s="1115"/>
      <c r="NPY19" s="1115"/>
      <c r="NPZ19" s="1115"/>
      <c r="NQA19" s="1115"/>
      <c r="NQB19" s="1115"/>
      <c r="NQC19" s="1115"/>
      <c r="NQD19" s="1115"/>
      <c r="NQE19" s="1115"/>
      <c r="NQF19" s="1115"/>
      <c r="NQG19" s="1115"/>
      <c r="NQH19" s="1115"/>
      <c r="NQI19" s="1115"/>
      <c r="NQJ19" s="1115"/>
      <c r="NQK19" s="1115"/>
      <c r="NQL19" s="1115"/>
      <c r="NQM19" s="1115"/>
      <c r="NQN19" s="1115"/>
      <c r="NQO19" s="1115"/>
      <c r="NQP19" s="1115"/>
      <c r="NQQ19" s="1115"/>
      <c r="NQR19" s="1115"/>
      <c r="NQS19" s="1115"/>
      <c r="NQT19" s="1115"/>
      <c r="NQU19" s="1115"/>
      <c r="NQV19" s="1115"/>
      <c r="NQW19" s="1115"/>
      <c r="NQX19" s="1115"/>
      <c r="NQY19" s="1115"/>
      <c r="NQZ19" s="1115"/>
      <c r="NRA19" s="1115"/>
      <c r="NRB19" s="1115"/>
      <c r="NRC19" s="1115"/>
      <c r="NRD19" s="1115"/>
      <c r="NRE19" s="1115"/>
      <c r="NRF19" s="1115"/>
      <c r="NRG19" s="1115"/>
      <c r="NRH19" s="1115"/>
      <c r="NRI19" s="1115"/>
      <c r="NRJ19" s="1115"/>
      <c r="NRK19" s="1115"/>
      <c r="NRL19" s="1115"/>
      <c r="NRM19" s="1115"/>
      <c r="NRN19" s="1115"/>
      <c r="NRO19" s="1115"/>
      <c r="NRP19" s="1115"/>
      <c r="NRQ19" s="1115"/>
      <c r="NRR19" s="1115"/>
      <c r="NRS19" s="1115"/>
      <c r="NRT19" s="1115"/>
      <c r="NRU19" s="1115"/>
      <c r="NRV19" s="1115"/>
      <c r="NRW19" s="1115"/>
      <c r="NRX19" s="1115"/>
      <c r="NRY19" s="1115"/>
      <c r="NRZ19" s="1115"/>
      <c r="NSA19" s="1115"/>
      <c r="NSB19" s="1115"/>
      <c r="NSC19" s="1115"/>
      <c r="NSD19" s="1115"/>
      <c r="NSE19" s="1115"/>
      <c r="NSF19" s="1115"/>
      <c r="NSG19" s="1115"/>
      <c r="NSH19" s="1115"/>
      <c r="NSI19" s="1115"/>
      <c r="NSJ19" s="1115"/>
      <c r="NSK19" s="1115"/>
      <c r="NSL19" s="1115"/>
      <c r="NSM19" s="1115"/>
      <c r="NSN19" s="1115"/>
      <c r="NSO19" s="1115"/>
      <c r="NSP19" s="1115"/>
      <c r="NSQ19" s="1115"/>
      <c r="NSR19" s="1115"/>
      <c r="NSS19" s="1115"/>
      <c r="NST19" s="1115"/>
      <c r="NSU19" s="1115"/>
      <c r="NSV19" s="1115"/>
      <c r="NSW19" s="1115"/>
      <c r="NSX19" s="1115"/>
      <c r="NSY19" s="1115"/>
      <c r="NSZ19" s="1115"/>
      <c r="NTA19" s="1115"/>
      <c r="NTB19" s="1115"/>
      <c r="NTC19" s="1115"/>
      <c r="NTD19" s="1115"/>
      <c r="NTE19" s="1115"/>
      <c r="NTF19" s="1115"/>
      <c r="NTG19" s="1115"/>
      <c r="NTH19" s="1115"/>
      <c r="NTI19" s="1115"/>
      <c r="NTJ19" s="1115"/>
      <c r="NTK19" s="1115"/>
      <c r="NTL19" s="1115"/>
      <c r="NTM19" s="1115"/>
      <c r="NTN19" s="1115"/>
      <c r="NTO19" s="1115"/>
      <c r="NTP19" s="1115"/>
      <c r="NTQ19" s="1115"/>
      <c r="NTR19" s="1115"/>
      <c r="NTS19" s="1115"/>
      <c r="NTT19" s="1115"/>
      <c r="NTU19" s="1115"/>
      <c r="NTV19" s="1115"/>
      <c r="NTW19" s="1115"/>
      <c r="NTX19" s="1115"/>
      <c r="NTY19" s="1115"/>
      <c r="NTZ19" s="1115"/>
      <c r="NUA19" s="1115"/>
      <c r="NUB19" s="1115"/>
      <c r="NUC19" s="1115"/>
      <c r="NUD19" s="1115"/>
      <c r="NUE19" s="1115"/>
      <c r="NUF19" s="1115"/>
      <c r="NUG19" s="1115"/>
      <c r="NUH19" s="1115"/>
      <c r="NUI19" s="1115"/>
      <c r="NUJ19" s="1115"/>
      <c r="NUK19" s="1115"/>
      <c r="NUL19" s="1115"/>
      <c r="NUM19" s="1115"/>
      <c r="NUN19" s="1115"/>
      <c r="NUO19" s="1115"/>
      <c r="NUP19" s="1115"/>
      <c r="NUQ19" s="1115"/>
      <c r="NUR19" s="1115"/>
      <c r="NUS19" s="1115"/>
      <c r="NUT19" s="1115"/>
      <c r="NUU19" s="1115"/>
      <c r="NUV19" s="1115"/>
      <c r="NUW19" s="1115"/>
      <c r="NUX19" s="1115"/>
      <c r="NUY19" s="1115"/>
      <c r="NUZ19" s="1115"/>
      <c r="NVA19" s="1115"/>
      <c r="NVB19" s="1115"/>
      <c r="NVC19" s="1115"/>
      <c r="NVD19" s="1115"/>
      <c r="NVE19" s="1115"/>
      <c r="NVF19" s="1115"/>
      <c r="NVG19" s="1115"/>
      <c r="NVH19" s="1115"/>
      <c r="NVI19" s="1115"/>
      <c r="NVJ19" s="1115"/>
      <c r="NVK19" s="1115"/>
      <c r="NVL19" s="1115"/>
      <c r="NVM19" s="1115"/>
      <c r="NVN19" s="1115"/>
      <c r="NVO19" s="1115"/>
      <c r="NVP19" s="1115"/>
      <c r="NVQ19" s="1115"/>
      <c r="NVR19" s="1115"/>
      <c r="NVS19" s="1115"/>
      <c r="NVT19" s="1115"/>
      <c r="NVU19" s="1115"/>
      <c r="NVV19" s="1115"/>
      <c r="NVW19" s="1115"/>
      <c r="NVX19" s="1115"/>
      <c r="NVY19" s="1115"/>
      <c r="NVZ19" s="1115"/>
      <c r="NWA19" s="1115"/>
      <c r="NWB19" s="1115"/>
      <c r="NWC19" s="1115"/>
      <c r="NWD19" s="1115"/>
      <c r="NWE19" s="1115"/>
      <c r="NWF19" s="1115"/>
      <c r="NWG19" s="1115"/>
      <c r="NWH19" s="1115"/>
      <c r="NWI19" s="1115"/>
      <c r="NWJ19" s="1115"/>
      <c r="NWK19" s="1115"/>
      <c r="NWL19" s="1115"/>
      <c r="NWM19" s="1115"/>
      <c r="NWN19" s="1115"/>
      <c r="NWO19" s="1115"/>
      <c r="NWP19" s="1115"/>
      <c r="NWQ19" s="1115"/>
      <c r="NWR19" s="1115"/>
      <c r="NWS19" s="1115"/>
      <c r="NWT19" s="1115"/>
      <c r="NWU19" s="1115"/>
      <c r="NWV19" s="1115"/>
      <c r="NWW19" s="1115"/>
      <c r="NWX19" s="1115"/>
      <c r="NWY19" s="1115"/>
      <c r="NWZ19" s="1115"/>
      <c r="NXA19" s="1115"/>
      <c r="NXB19" s="1115"/>
      <c r="NXC19" s="1115"/>
      <c r="NXD19" s="1115"/>
      <c r="NXE19" s="1115"/>
      <c r="NXF19" s="1115"/>
      <c r="NXG19" s="1115"/>
      <c r="NXH19" s="1115"/>
      <c r="NXI19" s="1115"/>
      <c r="NXJ19" s="1115"/>
      <c r="NXK19" s="1115"/>
      <c r="NXL19" s="1115"/>
      <c r="NXM19" s="1115"/>
      <c r="NXN19" s="1115"/>
      <c r="NXO19" s="1115"/>
      <c r="NXP19" s="1115"/>
      <c r="NXQ19" s="1115"/>
      <c r="NXR19" s="1115"/>
      <c r="NXS19" s="1115"/>
      <c r="NXT19" s="1115"/>
      <c r="NXU19" s="1115"/>
      <c r="NXV19" s="1115"/>
      <c r="NXW19" s="1115"/>
      <c r="NXX19" s="1115"/>
      <c r="NXY19" s="1115"/>
      <c r="NXZ19" s="1115"/>
      <c r="NYA19" s="1115"/>
      <c r="NYB19" s="1115"/>
      <c r="NYC19" s="1115"/>
      <c r="NYD19" s="1115"/>
      <c r="NYE19" s="1115"/>
      <c r="NYF19" s="1115"/>
      <c r="NYG19" s="1115"/>
      <c r="NYH19" s="1115"/>
      <c r="NYI19" s="1115"/>
      <c r="NYJ19" s="1115"/>
      <c r="NYK19" s="1115"/>
      <c r="NYL19" s="1115"/>
      <c r="NYM19" s="1115"/>
      <c r="NYN19" s="1115"/>
      <c r="NYO19" s="1115"/>
      <c r="NYP19" s="1115"/>
      <c r="NYQ19" s="1115"/>
      <c r="NYR19" s="1115"/>
      <c r="NYS19" s="1115"/>
      <c r="NYT19" s="1115"/>
      <c r="NYU19" s="1115"/>
      <c r="NYV19" s="1115"/>
      <c r="NYW19" s="1115"/>
      <c r="NYX19" s="1115"/>
      <c r="NYY19" s="1115"/>
      <c r="NYZ19" s="1115"/>
      <c r="NZA19" s="1115"/>
      <c r="NZB19" s="1115"/>
      <c r="NZC19" s="1115"/>
      <c r="NZD19" s="1115"/>
      <c r="NZE19" s="1115"/>
      <c r="NZF19" s="1115"/>
      <c r="NZG19" s="1115"/>
      <c r="NZH19" s="1115"/>
      <c r="NZI19" s="1115"/>
      <c r="NZJ19" s="1115"/>
      <c r="NZK19" s="1115"/>
      <c r="NZL19" s="1115"/>
      <c r="NZM19" s="1115"/>
      <c r="NZN19" s="1115"/>
      <c r="NZO19" s="1115"/>
      <c r="NZP19" s="1115"/>
      <c r="NZQ19" s="1115"/>
      <c r="NZR19" s="1115"/>
      <c r="NZS19" s="1115"/>
      <c r="NZT19" s="1115"/>
      <c r="NZU19" s="1115"/>
      <c r="NZV19" s="1115"/>
      <c r="NZW19" s="1115"/>
      <c r="NZX19" s="1115"/>
      <c r="NZY19" s="1115"/>
      <c r="NZZ19" s="1115"/>
      <c r="OAA19" s="1115"/>
      <c r="OAB19" s="1115"/>
      <c r="OAC19" s="1115"/>
      <c r="OAD19" s="1115"/>
      <c r="OAE19" s="1115"/>
      <c r="OAF19" s="1115"/>
      <c r="OAG19" s="1115"/>
      <c r="OAH19" s="1115"/>
      <c r="OAI19" s="1115"/>
      <c r="OAJ19" s="1115"/>
      <c r="OAK19" s="1115"/>
      <c r="OAL19" s="1115"/>
      <c r="OAM19" s="1115"/>
      <c r="OAN19" s="1115"/>
      <c r="OAO19" s="1115"/>
      <c r="OAP19" s="1115"/>
      <c r="OAQ19" s="1115"/>
      <c r="OAR19" s="1115"/>
      <c r="OAS19" s="1115"/>
      <c r="OAT19" s="1115"/>
      <c r="OAU19" s="1115"/>
      <c r="OAV19" s="1115"/>
      <c r="OAW19" s="1115"/>
      <c r="OAX19" s="1115"/>
      <c r="OAY19" s="1115"/>
      <c r="OAZ19" s="1115"/>
      <c r="OBA19" s="1115"/>
      <c r="OBB19" s="1115"/>
      <c r="OBC19" s="1115"/>
      <c r="OBD19" s="1115"/>
      <c r="OBE19" s="1115"/>
      <c r="OBF19" s="1115"/>
      <c r="OBG19" s="1115"/>
      <c r="OBH19" s="1115"/>
      <c r="OBI19" s="1115"/>
      <c r="OBJ19" s="1115"/>
      <c r="OBK19" s="1115"/>
      <c r="OBL19" s="1115"/>
      <c r="OBM19" s="1115"/>
      <c r="OBN19" s="1115"/>
      <c r="OBO19" s="1115"/>
      <c r="OBP19" s="1115"/>
      <c r="OBQ19" s="1115"/>
      <c r="OBR19" s="1115"/>
      <c r="OBS19" s="1115"/>
      <c r="OBT19" s="1115"/>
      <c r="OBU19" s="1115"/>
      <c r="OBV19" s="1115"/>
      <c r="OBW19" s="1115"/>
      <c r="OBX19" s="1115"/>
      <c r="OBY19" s="1115"/>
      <c r="OBZ19" s="1115"/>
      <c r="OCA19" s="1115"/>
      <c r="OCB19" s="1115"/>
      <c r="OCC19" s="1115"/>
      <c r="OCD19" s="1115"/>
      <c r="OCE19" s="1115"/>
      <c r="OCF19" s="1115"/>
      <c r="OCG19" s="1115"/>
      <c r="OCH19" s="1115"/>
      <c r="OCI19" s="1115"/>
      <c r="OCJ19" s="1115"/>
      <c r="OCK19" s="1115"/>
      <c r="OCL19" s="1115"/>
      <c r="OCM19" s="1115"/>
      <c r="OCN19" s="1115"/>
      <c r="OCO19" s="1115"/>
      <c r="OCP19" s="1115"/>
      <c r="OCQ19" s="1115"/>
      <c r="OCR19" s="1115"/>
      <c r="OCS19" s="1115"/>
      <c r="OCT19" s="1115"/>
      <c r="OCU19" s="1115"/>
      <c r="OCV19" s="1115"/>
      <c r="OCW19" s="1115"/>
      <c r="OCX19" s="1115"/>
      <c r="OCY19" s="1115"/>
      <c r="OCZ19" s="1115"/>
      <c r="ODA19" s="1115"/>
      <c r="ODB19" s="1115"/>
      <c r="ODC19" s="1115"/>
      <c r="ODD19" s="1115"/>
      <c r="ODE19" s="1115"/>
      <c r="ODF19" s="1115"/>
      <c r="ODG19" s="1115"/>
      <c r="ODH19" s="1115"/>
      <c r="ODI19" s="1115"/>
      <c r="ODJ19" s="1115"/>
      <c r="ODK19" s="1115"/>
      <c r="ODL19" s="1115"/>
      <c r="ODM19" s="1115"/>
      <c r="ODN19" s="1115"/>
      <c r="ODO19" s="1115"/>
      <c r="ODP19" s="1115"/>
      <c r="ODQ19" s="1115"/>
      <c r="ODR19" s="1115"/>
      <c r="ODS19" s="1115"/>
      <c r="ODT19" s="1115"/>
      <c r="ODU19" s="1115"/>
      <c r="ODV19" s="1115"/>
      <c r="ODW19" s="1115"/>
      <c r="ODX19" s="1115"/>
      <c r="ODY19" s="1115"/>
      <c r="ODZ19" s="1115"/>
      <c r="OEA19" s="1115"/>
      <c r="OEB19" s="1115"/>
      <c r="OEC19" s="1115"/>
      <c r="OED19" s="1115"/>
      <c r="OEE19" s="1115"/>
      <c r="OEF19" s="1115"/>
      <c r="OEG19" s="1115"/>
      <c r="OEH19" s="1115"/>
      <c r="OEI19" s="1115"/>
      <c r="OEJ19" s="1115"/>
      <c r="OEK19" s="1115"/>
      <c r="OEL19" s="1115"/>
      <c r="OEM19" s="1115"/>
      <c r="OEN19" s="1115"/>
      <c r="OEO19" s="1115"/>
      <c r="OEP19" s="1115"/>
      <c r="OEQ19" s="1115"/>
      <c r="OER19" s="1115"/>
      <c r="OES19" s="1115"/>
      <c r="OET19" s="1115"/>
      <c r="OEU19" s="1115"/>
      <c r="OEV19" s="1115"/>
      <c r="OEW19" s="1115"/>
      <c r="OEX19" s="1115"/>
      <c r="OEY19" s="1115"/>
      <c r="OEZ19" s="1115"/>
      <c r="OFA19" s="1115"/>
      <c r="OFB19" s="1115"/>
      <c r="OFC19" s="1115"/>
      <c r="OFD19" s="1115"/>
      <c r="OFE19" s="1115"/>
      <c r="OFF19" s="1115"/>
      <c r="OFG19" s="1115"/>
      <c r="OFH19" s="1115"/>
      <c r="OFI19" s="1115"/>
      <c r="OFJ19" s="1115"/>
      <c r="OFK19" s="1115"/>
      <c r="OFL19" s="1115"/>
      <c r="OFM19" s="1115"/>
      <c r="OFN19" s="1115"/>
      <c r="OFO19" s="1115"/>
      <c r="OFP19" s="1115"/>
      <c r="OFQ19" s="1115"/>
      <c r="OFR19" s="1115"/>
      <c r="OFS19" s="1115"/>
      <c r="OFT19" s="1115"/>
      <c r="OFU19" s="1115"/>
      <c r="OFV19" s="1115"/>
      <c r="OFW19" s="1115"/>
      <c r="OFX19" s="1115"/>
      <c r="OFY19" s="1115"/>
      <c r="OFZ19" s="1115"/>
      <c r="OGA19" s="1115"/>
      <c r="OGB19" s="1115"/>
      <c r="OGC19" s="1115"/>
      <c r="OGD19" s="1115"/>
      <c r="OGE19" s="1115"/>
      <c r="OGF19" s="1115"/>
      <c r="OGG19" s="1115"/>
      <c r="OGH19" s="1115"/>
      <c r="OGI19" s="1115"/>
      <c r="OGJ19" s="1115"/>
      <c r="OGK19" s="1115"/>
      <c r="OGL19" s="1115"/>
      <c r="OGM19" s="1115"/>
      <c r="OGN19" s="1115"/>
      <c r="OGO19" s="1115"/>
      <c r="OGP19" s="1115"/>
      <c r="OGQ19" s="1115"/>
      <c r="OGR19" s="1115"/>
      <c r="OGS19" s="1115"/>
      <c r="OGT19" s="1115"/>
      <c r="OGU19" s="1115"/>
      <c r="OGV19" s="1115"/>
      <c r="OGW19" s="1115"/>
      <c r="OGX19" s="1115"/>
      <c r="OGY19" s="1115"/>
      <c r="OGZ19" s="1115"/>
      <c r="OHA19" s="1115"/>
      <c r="OHB19" s="1115"/>
      <c r="OHC19" s="1115"/>
      <c r="OHD19" s="1115"/>
      <c r="OHE19" s="1115"/>
      <c r="OHF19" s="1115"/>
      <c r="OHG19" s="1115"/>
      <c r="OHH19" s="1115"/>
      <c r="OHI19" s="1115"/>
      <c r="OHJ19" s="1115"/>
      <c r="OHK19" s="1115"/>
      <c r="OHL19" s="1115"/>
      <c r="OHM19" s="1115"/>
      <c r="OHN19" s="1115"/>
      <c r="OHO19" s="1115"/>
      <c r="OHP19" s="1115"/>
      <c r="OHQ19" s="1115"/>
      <c r="OHR19" s="1115"/>
      <c r="OHS19" s="1115"/>
      <c r="OHT19" s="1115"/>
      <c r="OHU19" s="1115"/>
      <c r="OHV19" s="1115"/>
      <c r="OHW19" s="1115"/>
      <c r="OHX19" s="1115"/>
      <c r="OHY19" s="1115"/>
      <c r="OHZ19" s="1115"/>
      <c r="OIA19" s="1115"/>
      <c r="OIB19" s="1115"/>
      <c r="OIC19" s="1115"/>
      <c r="OID19" s="1115"/>
      <c r="OIE19" s="1115"/>
      <c r="OIF19" s="1115"/>
      <c r="OIG19" s="1115"/>
      <c r="OIH19" s="1115"/>
      <c r="OII19" s="1115"/>
      <c r="OIJ19" s="1115"/>
      <c r="OIK19" s="1115"/>
      <c r="OIL19" s="1115"/>
      <c r="OIM19" s="1115"/>
      <c r="OIN19" s="1115"/>
      <c r="OIO19" s="1115"/>
      <c r="OIP19" s="1115"/>
      <c r="OIQ19" s="1115"/>
      <c r="OIR19" s="1115"/>
      <c r="OIS19" s="1115"/>
      <c r="OIT19" s="1115"/>
      <c r="OIU19" s="1115"/>
      <c r="OIV19" s="1115"/>
      <c r="OIW19" s="1115"/>
      <c r="OIX19" s="1115"/>
      <c r="OIY19" s="1115"/>
      <c r="OIZ19" s="1115"/>
      <c r="OJA19" s="1115"/>
      <c r="OJB19" s="1115"/>
      <c r="OJC19" s="1115"/>
      <c r="OJD19" s="1115"/>
      <c r="OJE19" s="1115"/>
      <c r="OJF19" s="1115"/>
      <c r="OJG19" s="1115"/>
      <c r="OJH19" s="1115"/>
      <c r="OJI19" s="1115"/>
      <c r="OJJ19" s="1115"/>
      <c r="OJK19" s="1115"/>
      <c r="OJL19" s="1115"/>
      <c r="OJM19" s="1115"/>
      <c r="OJN19" s="1115"/>
      <c r="OJO19" s="1115"/>
      <c r="OJP19" s="1115"/>
      <c r="OJQ19" s="1115"/>
      <c r="OJR19" s="1115"/>
      <c r="OJS19" s="1115"/>
      <c r="OJT19" s="1115"/>
      <c r="OJU19" s="1115"/>
      <c r="OJV19" s="1115"/>
      <c r="OJW19" s="1115"/>
      <c r="OJX19" s="1115"/>
      <c r="OJY19" s="1115"/>
      <c r="OJZ19" s="1115"/>
      <c r="OKA19" s="1115"/>
      <c r="OKB19" s="1115"/>
      <c r="OKC19" s="1115"/>
      <c r="OKD19" s="1115"/>
      <c r="OKE19" s="1115"/>
      <c r="OKF19" s="1115"/>
      <c r="OKG19" s="1115"/>
      <c r="OKH19" s="1115"/>
      <c r="OKI19" s="1115"/>
      <c r="OKJ19" s="1115"/>
      <c r="OKK19" s="1115"/>
      <c r="OKL19" s="1115"/>
      <c r="OKM19" s="1115"/>
      <c r="OKN19" s="1115"/>
      <c r="OKO19" s="1115"/>
      <c r="OKP19" s="1115"/>
      <c r="OKQ19" s="1115"/>
      <c r="OKR19" s="1115"/>
      <c r="OKS19" s="1115"/>
      <c r="OKT19" s="1115"/>
      <c r="OKU19" s="1115"/>
      <c r="OKV19" s="1115"/>
      <c r="OKW19" s="1115"/>
      <c r="OKX19" s="1115"/>
      <c r="OKY19" s="1115"/>
      <c r="OKZ19" s="1115"/>
      <c r="OLA19" s="1115"/>
      <c r="OLB19" s="1115"/>
      <c r="OLC19" s="1115"/>
      <c r="OLD19" s="1115"/>
      <c r="OLE19" s="1115"/>
      <c r="OLF19" s="1115"/>
      <c r="OLG19" s="1115"/>
      <c r="OLH19" s="1115"/>
      <c r="OLI19" s="1115"/>
      <c r="OLJ19" s="1115"/>
      <c r="OLK19" s="1115"/>
      <c r="OLL19" s="1115"/>
      <c r="OLM19" s="1115"/>
      <c r="OLN19" s="1115"/>
      <c r="OLO19" s="1115"/>
      <c r="OLP19" s="1115"/>
      <c r="OLQ19" s="1115"/>
      <c r="OLR19" s="1115"/>
      <c r="OLS19" s="1115"/>
      <c r="OLT19" s="1115"/>
      <c r="OLU19" s="1115"/>
      <c r="OLV19" s="1115"/>
      <c r="OLW19" s="1115"/>
      <c r="OLX19" s="1115"/>
      <c r="OLY19" s="1115"/>
      <c r="OLZ19" s="1115"/>
      <c r="OMA19" s="1115"/>
      <c r="OMB19" s="1115"/>
      <c r="OMC19" s="1115"/>
      <c r="OMD19" s="1115"/>
      <c r="OME19" s="1115"/>
      <c r="OMF19" s="1115"/>
      <c r="OMG19" s="1115"/>
      <c r="OMH19" s="1115"/>
      <c r="OMI19" s="1115"/>
      <c r="OMJ19" s="1115"/>
      <c r="OMK19" s="1115"/>
      <c r="OML19" s="1115"/>
      <c r="OMM19" s="1115"/>
      <c r="OMN19" s="1115"/>
      <c r="OMO19" s="1115"/>
      <c r="OMP19" s="1115"/>
      <c r="OMQ19" s="1115"/>
      <c r="OMR19" s="1115"/>
      <c r="OMS19" s="1115"/>
      <c r="OMT19" s="1115"/>
      <c r="OMU19" s="1115"/>
      <c r="OMV19" s="1115"/>
      <c r="OMW19" s="1115"/>
      <c r="OMX19" s="1115"/>
      <c r="OMY19" s="1115"/>
      <c r="OMZ19" s="1115"/>
      <c r="ONA19" s="1115"/>
      <c r="ONB19" s="1115"/>
      <c r="ONC19" s="1115"/>
      <c r="OND19" s="1115"/>
      <c r="ONE19" s="1115"/>
      <c r="ONF19" s="1115"/>
      <c r="ONG19" s="1115"/>
      <c r="ONH19" s="1115"/>
      <c r="ONI19" s="1115"/>
      <c r="ONJ19" s="1115"/>
      <c r="ONK19" s="1115"/>
      <c r="ONL19" s="1115"/>
      <c r="ONM19" s="1115"/>
      <c r="ONN19" s="1115"/>
      <c r="ONO19" s="1115"/>
      <c r="ONP19" s="1115"/>
      <c r="ONQ19" s="1115"/>
      <c r="ONR19" s="1115"/>
      <c r="ONS19" s="1115"/>
      <c r="ONT19" s="1115"/>
      <c r="ONU19" s="1115"/>
      <c r="ONV19" s="1115"/>
      <c r="ONW19" s="1115"/>
      <c r="ONX19" s="1115"/>
      <c r="ONY19" s="1115"/>
      <c r="ONZ19" s="1115"/>
      <c r="OOA19" s="1115"/>
      <c r="OOB19" s="1115"/>
      <c r="OOC19" s="1115"/>
      <c r="OOD19" s="1115"/>
      <c r="OOE19" s="1115"/>
      <c r="OOF19" s="1115"/>
      <c r="OOG19" s="1115"/>
      <c r="OOH19" s="1115"/>
      <c r="OOI19" s="1115"/>
      <c r="OOJ19" s="1115"/>
      <c r="OOK19" s="1115"/>
      <c r="OOL19" s="1115"/>
      <c r="OOM19" s="1115"/>
      <c r="OON19" s="1115"/>
      <c r="OOO19" s="1115"/>
      <c r="OOP19" s="1115"/>
      <c r="OOQ19" s="1115"/>
      <c r="OOR19" s="1115"/>
      <c r="OOS19" s="1115"/>
      <c r="OOT19" s="1115"/>
      <c r="OOU19" s="1115"/>
      <c r="OOV19" s="1115"/>
      <c r="OOW19" s="1115"/>
      <c r="OOX19" s="1115"/>
      <c r="OOY19" s="1115"/>
      <c r="OOZ19" s="1115"/>
      <c r="OPA19" s="1115"/>
      <c r="OPB19" s="1115"/>
      <c r="OPC19" s="1115"/>
      <c r="OPD19" s="1115"/>
      <c r="OPE19" s="1115"/>
      <c r="OPF19" s="1115"/>
      <c r="OPG19" s="1115"/>
      <c r="OPH19" s="1115"/>
      <c r="OPI19" s="1115"/>
      <c r="OPJ19" s="1115"/>
      <c r="OPK19" s="1115"/>
      <c r="OPL19" s="1115"/>
      <c r="OPM19" s="1115"/>
      <c r="OPN19" s="1115"/>
      <c r="OPO19" s="1115"/>
      <c r="OPP19" s="1115"/>
      <c r="OPQ19" s="1115"/>
      <c r="OPR19" s="1115"/>
      <c r="OPS19" s="1115"/>
      <c r="OPT19" s="1115"/>
      <c r="OPU19" s="1115"/>
      <c r="OPV19" s="1115"/>
      <c r="OPW19" s="1115"/>
      <c r="OPX19" s="1115"/>
      <c r="OPY19" s="1115"/>
      <c r="OPZ19" s="1115"/>
      <c r="OQA19" s="1115"/>
      <c r="OQB19" s="1115"/>
      <c r="OQC19" s="1115"/>
      <c r="OQD19" s="1115"/>
      <c r="OQE19" s="1115"/>
      <c r="OQF19" s="1115"/>
      <c r="OQG19" s="1115"/>
      <c r="OQH19" s="1115"/>
      <c r="OQI19" s="1115"/>
      <c r="OQJ19" s="1115"/>
      <c r="OQK19" s="1115"/>
      <c r="OQL19" s="1115"/>
      <c r="OQM19" s="1115"/>
      <c r="OQN19" s="1115"/>
      <c r="OQO19" s="1115"/>
      <c r="OQP19" s="1115"/>
      <c r="OQQ19" s="1115"/>
      <c r="OQR19" s="1115"/>
      <c r="OQS19" s="1115"/>
      <c r="OQT19" s="1115"/>
      <c r="OQU19" s="1115"/>
      <c r="OQV19" s="1115"/>
      <c r="OQW19" s="1115"/>
      <c r="OQX19" s="1115"/>
      <c r="OQY19" s="1115"/>
      <c r="OQZ19" s="1115"/>
      <c r="ORA19" s="1115"/>
      <c r="ORB19" s="1115"/>
      <c r="ORC19" s="1115"/>
      <c r="ORD19" s="1115"/>
      <c r="ORE19" s="1115"/>
      <c r="ORF19" s="1115"/>
      <c r="ORG19" s="1115"/>
      <c r="ORH19" s="1115"/>
      <c r="ORI19" s="1115"/>
      <c r="ORJ19" s="1115"/>
      <c r="ORK19" s="1115"/>
      <c r="ORL19" s="1115"/>
      <c r="ORM19" s="1115"/>
      <c r="ORN19" s="1115"/>
      <c r="ORO19" s="1115"/>
      <c r="ORP19" s="1115"/>
      <c r="ORQ19" s="1115"/>
      <c r="ORR19" s="1115"/>
      <c r="ORS19" s="1115"/>
      <c r="ORT19" s="1115"/>
      <c r="ORU19" s="1115"/>
      <c r="ORV19" s="1115"/>
      <c r="ORW19" s="1115"/>
      <c r="ORX19" s="1115"/>
      <c r="ORY19" s="1115"/>
      <c r="ORZ19" s="1115"/>
      <c r="OSA19" s="1115"/>
      <c r="OSB19" s="1115"/>
      <c r="OSC19" s="1115"/>
      <c r="OSD19" s="1115"/>
      <c r="OSE19" s="1115"/>
      <c r="OSF19" s="1115"/>
      <c r="OSG19" s="1115"/>
      <c r="OSH19" s="1115"/>
      <c r="OSI19" s="1115"/>
      <c r="OSJ19" s="1115"/>
      <c r="OSK19" s="1115"/>
      <c r="OSL19" s="1115"/>
      <c r="OSM19" s="1115"/>
      <c r="OSN19" s="1115"/>
      <c r="OSO19" s="1115"/>
      <c r="OSP19" s="1115"/>
      <c r="OSQ19" s="1115"/>
      <c r="OSR19" s="1115"/>
      <c r="OSS19" s="1115"/>
      <c r="OST19" s="1115"/>
      <c r="OSU19" s="1115"/>
      <c r="OSV19" s="1115"/>
      <c r="OSW19" s="1115"/>
      <c r="OSX19" s="1115"/>
      <c r="OSY19" s="1115"/>
      <c r="OSZ19" s="1115"/>
      <c r="OTA19" s="1115"/>
      <c r="OTB19" s="1115"/>
      <c r="OTC19" s="1115"/>
      <c r="OTD19" s="1115"/>
      <c r="OTE19" s="1115"/>
      <c r="OTF19" s="1115"/>
      <c r="OTG19" s="1115"/>
      <c r="OTH19" s="1115"/>
      <c r="OTI19" s="1115"/>
      <c r="OTJ19" s="1115"/>
      <c r="OTK19" s="1115"/>
      <c r="OTL19" s="1115"/>
      <c r="OTM19" s="1115"/>
      <c r="OTN19" s="1115"/>
      <c r="OTO19" s="1115"/>
      <c r="OTP19" s="1115"/>
      <c r="OTQ19" s="1115"/>
      <c r="OTR19" s="1115"/>
      <c r="OTS19" s="1115"/>
      <c r="OTT19" s="1115"/>
      <c r="OTU19" s="1115"/>
      <c r="OTV19" s="1115"/>
      <c r="OTW19" s="1115"/>
      <c r="OTX19" s="1115"/>
      <c r="OTY19" s="1115"/>
      <c r="OTZ19" s="1115"/>
      <c r="OUA19" s="1115"/>
      <c r="OUB19" s="1115"/>
      <c r="OUC19" s="1115"/>
      <c r="OUD19" s="1115"/>
      <c r="OUE19" s="1115"/>
      <c r="OUF19" s="1115"/>
      <c r="OUG19" s="1115"/>
      <c r="OUH19" s="1115"/>
      <c r="OUI19" s="1115"/>
      <c r="OUJ19" s="1115"/>
      <c r="OUK19" s="1115"/>
      <c r="OUL19" s="1115"/>
      <c r="OUM19" s="1115"/>
      <c r="OUN19" s="1115"/>
      <c r="OUO19" s="1115"/>
      <c r="OUP19" s="1115"/>
      <c r="OUQ19" s="1115"/>
      <c r="OUR19" s="1115"/>
      <c r="OUS19" s="1115"/>
      <c r="OUT19" s="1115"/>
      <c r="OUU19" s="1115"/>
      <c r="OUV19" s="1115"/>
      <c r="OUW19" s="1115"/>
      <c r="OUX19" s="1115"/>
      <c r="OUY19" s="1115"/>
      <c r="OUZ19" s="1115"/>
      <c r="OVA19" s="1115"/>
      <c r="OVB19" s="1115"/>
      <c r="OVC19" s="1115"/>
      <c r="OVD19" s="1115"/>
      <c r="OVE19" s="1115"/>
      <c r="OVF19" s="1115"/>
      <c r="OVG19" s="1115"/>
      <c r="OVH19" s="1115"/>
      <c r="OVI19" s="1115"/>
      <c r="OVJ19" s="1115"/>
      <c r="OVK19" s="1115"/>
      <c r="OVL19" s="1115"/>
      <c r="OVM19" s="1115"/>
      <c r="OVN19" s="1115"/>
      <c r="OVO19" s="1115"/>
      <c r="OVP19" s="1115"/>
      <c r="OVQ19" s="1115"/>
      <c r="OVR19" s="1115"/>
      <c r="OVS19" s="1115"/>
      <c r="OVT19" s="1115"/>
      <c r="OVU19" s="1115"/>
      <c r="OVV19" s="1115"/>
      <c r="OVW19" s="1115"/>
      <c r="OVX19" s="1115"/>
      <c r="OVY19" s="1115"/>
      <c r="OVZ19" s="1115"/>
      <c r="OWA19" s="1115"/>
      <c r="OWB19" s="1115"/>
      <c r="OWC19" s="1115"/>
      <c r="OWD19" s="1115"/>
      <c r="OWE19" s="1115"/>
      <c r="OWF19" s="1115"/>
      <c r="OWG19" s="1115"/>
      <c r="OWH19" s="1115"/>
      <c r="OWI19" s="1115"/>
      <c r="OWJ19" s="1115"/>
      <c r="OWK19" s="1115"/>
      <c r="OWL19" s="1115"/>
      <c r="OWM19" s="1115"/>
      <c r="OWN19" s="1115"/>
      <c r="OWO19" s="1115"/>
      <c r="OWP19" s="1115"/>
      <c r="OWQ19" s="1115"/>
      <c r="OWR19" s="1115"/>
      <c r="OWS19" s="1115"/>
      <c r="OWT19" s="1115"/>
      <c r="OWU19" s="1115"/>
      <c r="OWV19" s="1115"/>
      <c r="OWW19" s="1115"/>
      <c r="OWX19" s="1115"/>
      <c r="OWY19" s="1115"/>
      <c r="OWZ19" s="1115"/>
      <c r="OXA19" s="1115"/>
      <c r="OXB19" s="1115"/>
      <c r="OXC19" s="1115"/>
      <c r="OXD19" s="1115"/>
      <c r="OXE19" s="1115"/>
      <c r="OXF19" s="1115"/>
      <c r="OXG19" s="1115"/>
      <c r="OXH19" s="1115"/>
      <c r="OXI19" s="1115"/>
      <c r="OXJ19" s="1115"/>
      <c r="OXK19" s="1115"/>
      <c r="OXL19" s="1115"/>
      <c r="OXM19" s="1115"/>
      <c r="OXN19" s="1115"/>
      <c r="OXO19" s="1115"/>
      <c r="OXP19" s="1115"/>
      <c r="OXQ19" s="1115"/>
      <c r="OXR19" s="1115"/>
      <c r="OXS19" s="1115"/>
      <c r="OXT19" s="1115"/>
      <c r="OXU19" s="1115"/>
      <c r="OXV19" s="1115"/>
      <c r="OXW19" s="1115"/>
      <c r="OXX19" s="1115"/>
      <c r="OXY19" s="1115"/>
      <c r="OXZ19" s="1115"/>
      <c r="OYA19" s="1115"/>
      <c r="OYB19" s="1115"/>
      <c r="OYC19" s="1115"/>
      <c r="OYD19" s="1115"/>
      <c r="OYE19" s="1115"/>
      <c r="OYF19" s="1115"/>
      <c r="OYG19" s="1115"/>
      <c r="OYH19" s="1115"/>
      <c r="OYI19" s="1115"/>
      <c r="OYJ19" s="1115"/>
      <c r="OYK19" s="1115"/>
      <c r="OYL19" s="1115"/>
      <c r="OYM19" s="1115"/>
      <c r="OYN19" s="1115"/>
      <c r="OYO19" s="1115"/>
      <c r="OYP19" s="1115"/>
      <c r="OYQ19" s="1115"/>
      <c r="OYR19" s="1115"/>
      <c r="OYS19" s="1115"/>
      <c r="OYT19" s="1115"/>
      <c r="OYU19" s="1115"/>
      <c r="OYV19" s="1115"/>
      <c r="OYW19" s="1115"/>
      <c r="OYX19" s="1115"/>
      <c r="OYY19" s="1115"/>
      <c r="OYZ19" s="1115"/>
      <c r="OZA19" s="1115"/>
      <c r="OZB19" s="1115"/>
      <c r="OZC19" s="1115"/>
      <c r="OZD19" s="1115"/>
      <c r="OZE19" s="1115"/>
      <c r="OZF19" s="1115"/>
      <c r="OZG19" s="1115"/>
      <c r="OZH19" s="1115"/>
      <c r="OZI19" s="1115"/>
      <c r="OZJ19" s="1115"/>
      <c r="OZK19" s="1115"/>
      <c r="OZL19" s="1115"/>
      <c r="OZM19" s="1115"/>
      <c r="OZN19" s="1115"/>
      <c r="OZO19" s="1115"/>
      <c r="OZP19" s="1115"/>
      <c r="OZQ19" s="1115"/>
      <c r="OZR19" s="1115"/>
      <c r="OZS19" s="1115"/>
      <c r="OZT19" s="1115"/>
      <c r="OZU19" s="1115"/>
      <c r="OZV19" s="1115"/>
      <c r="OZW19" s="1115"/>
      <c r="OZX19" s="1115"/>
      <c r="OZY19" s="1115"/>
      <c r="OZZ19" s="1115"/>
      <c r="PAA19" s="1115"/>
      <c r="PAB19" s="1115"/>
      <c r="PAC19" s="1115"/>
      <c r="PAD19" s="1115"/>
      <c r="PAE19" s="1115"/>
      <c r="PAF19" s="1115"/>
      <c r="PAG19" s="1115"/>
      <c r="PAH19" s="1115"/>
      <c r="PAI19" s="1115"/>
      <c r="PAJ19" s="1115"/>
      <c r="PAK19" s="1115"/>
      <c r="PAL19" s="1115"/>
      <c r="PAM19" s="1115"/>
      <c r="PAN19" s="1115"/>
      <c r="PAO19" s="1115"/>
      <c r="PAP19" s="1115"/>
      <c r="PAQ19" s="1115"/>
      <c r="PAR19" s="1115"/>
      <c r="PAS19" s="1115"/>
      <c r="PAT19" s="1115"/>
      <c r="PAU19" s="1115"/>
      <c r="PAV19" s="1115"/>
      <c r="PAW19" s="1115"/>
      <c r="PAX19" s="1115"/>
      <c r="PAY19" s="1115"/>
      <c r="PAZ19" s="1115"/>
      <c r="PBA19" s="1115"/>
      <c r="PBB19" s="1115"/>
      <c r="PBC19" s="1115"/>
      <c r="PBD19" s="1115"/>
      <c r="PBE19" s="1115"/>
      <c r="PBF19" s="1115"/>
      <c r="PBG19" s="1115"/>
      <c r="PBH19" s="1115"/>
      <c r="PBI19" s="1115"/>
      <c r="PBJ19" s="1115"/>
      <c r="PBK19" s="1115"/>
      <c r="PBL19" s="1115"/>
      <c r="PBM19" s="1115"/>
      <c r="PBN19" s="1115"/>
      <c r="PBO19" s="1115"/>
      <c r="PBP19" s="1115"/>
      <c r="PBQ19" s="1115"/>
      <c r="PBR19" s="1115"/>
      <c r="PBS19" s="1115"/>
      <c r="PBT19" s="1115"/>
      <c r="PBU19" s="1115"/>
      <c r="PBV19" s="1115"/>
      <c r="PBW19" s="1115"/>
      <c r="PBX19" s="1115"/>
      <c r="PBY19" s="1115"/>
      <c r="PBZ19" s="1115"/>
      <c r="PCA19" s="1115"/>
      <c r="PCB19" s="1115"/>
      <c r="PCC19" s="1115"/>
      <c r="PCD19" s="1115"/>
      <c r="PCE19" s="1115"/>
      <c r="PCF19" s="1115"/>
      <c r="PCG19" s="1115"/>
      <c r="PCH19" s="1115"/>
      <c r="PCI19" s="1115"/>
      <c r="PCJ19" s="1115"/>
      <c r="PCK19" s="1115"/>
      <c r="PCL19" s="1115"/>
      <c r="PCM19" s="1115"/>
      <c r="PCN19" s="1115"/>
      <c r="PCO19" s="1115"/>
      <c r="PCP19" s="1115"/>
      <c r="PCQ19" s="1115"/>
      <c r="PCR19" s="1115"/>
      <c r="PCS19" s="1115"/>
      <c r="PCT19" s="1115"/>
      <c r="PCU19" s="1115"/>
      <c r="PCV19" s="1115"/>
      <c r="PCW19" s="1115"/>
      <c r="PCX19" s="1115"/>
      <c r="PCY19" s="1115"/>
      <c r="PCZ19" s="1115"/>
      <c r="PDA19" s="1115"/>
      <c r="PDB19" s="1115"/>
      <c r="PDC19" s="1115"/>
      <c r="PDD19" s="1115"/>
      <c r="PDE19" s="1115"/>
      <c r="PDF19" s="1115"/>
      <c r="PDG19" s="1115"/>
      <c r="PDH19" s="1115"/>
      <c r="PDI19" s="1115"/>
      <c r="PDJ19" s="1115"/>
      <c r="PDK19" s="1115"/>
      <c r="PDL19" s="1115"/>
      <c r="PDM19" s="1115"/>
      <c r="PDN19" s="1115"/>
      <c r="PDO19" s="1115"/>
      <c r="PDP19" s="1115"/>
      <c r="PDQ19" s="1115"/>
      <c r="PDR19" s="1115"/>
      <c r="PDS19" s="1115"/>
      <c r="PDT19" s="1115"/>
      <c r="PDU19" s="1115"/>
      <c r="PDV19" s="1115"/>
      <c r="PDW19" s="1115"/>
      <c r="PDX19" s="1115"/>
      <c r="PDY19" s="1115"/>
      <c r="PDZ19" s="1115"/>
      <c r="PEA19" s="1115"/>
      <c r="PEB19" s="1115"/>
      <c r="PEC19" s="1115"/>
      <c r="PED19" s="1115"/>
      <c r="PEE19" s="1115"/>
      <c r="PEF19" s="1115"/>
      <c r="PEG19" s="1115"/>
      <c r="PEH19" s="1115"/>
      <c r="PEI19" s="1115"/>
      <c r="PEJ19" s="1115"/>
      <c r="PEK19" s="1115"/>
      <c r="PEL19" s="1115"/>
      <c r="PEM19" s="1115"/>
      <c r="PEN19" s="1115"/>
      <c r="PEO19" s="1115"/>
      <c r="PEP19" s="1115"/>
      <c r="PEQ19" s="1115"/>
      <c r="PER19" s="1115"/>
      <c r="PES19" s="1115"/>
      <c r="PET19" s="1115"/>
      <c r="PEU19" s="1115"/>
      <c r="PEV19" s="1115"/>
      <c r="PEW19" s="1115"/>
      <c r="PEX19" s="1115"/>
      <c r="PEY19" s="1115"/>
      <c r="PEZ19" s="1115"/>
      <c r="PFA19" s="1115"/>
      <c r="PFB19" s="1115"/>
      <c r="PFC19" s="1115"/>
      <c r="PFD19" s="1115"/>
      <c r="PFE19" s="1115"/>
      <c r="PFF19" s="1115"/>
      <c r="PFG19" s="1115"/>
      <c r="PFH19" s="1115"/>
      <c r="PFI19" s="1115"/>
      <c r="PFJ19" s="1115"/>
      <c r="PFK19" s="1115"/>
      <c r="PFL19" s="1115"/>
      <c r="PFM19" s="1115"/>
      <c r="PFN19" s="1115"/>
      <c r="PFO19" s="1115"/>
      <c r="PFP19" s="1115"/>
      <c r="PFQ19" s="1115"/>
      <c r="PFR19" s="1115"/>
      <c r="PFS19" s="1115"/>
      <c r="PFT19" s="1115"/>
      <c r="PFU19" s="1115"/>
      <c r="PFV19" s="1115"/>
      <c r="PFW19" s="1115"/>
      <c r="PFX19" s="1115"/>
      <c r="PFY19" s="1115"/>
      <c r="PFZ19" s="1115"/>
      <c r="PGA19" s="1115"/>
      <c r="PGB19" s="1115"/>
      <c r="PGC19" s="1115"/>
      <c r="PGD19" s="1115"/>
      <c r="PGE19" s="1115"/>
      <c r="PGF19" s="1115"/>
      <c r="PGG19" s="1115"/>
      <c r="PGH19" s="1115"/>
      <c r="PGI19" s="1115"/>
      <c r="PGJ19" s="1115"/>
      <c r="PGK19" s="1115"/>
      <c r="PGL19" s="1115"/>
      <c r="PGM19" s="1115"/>
      <c r="PGN19" s="1115"/>
      <c r="PGO19" s="1115"/>
      <c r="PGP19" s="1115"/>
      <c r="PGQ19" s="1115"/>
      <c r="PGR19" s="1115"/>
      <c r="PGS19" s="1115"/>
      <c r="PGT19" s="1115"/>
      <c r="PGU19" s="1115"/>
      <c r="PGV19" s="1115"/>
      <c r="PGW19" s="1115"/>
      <c r="PGX19" s="1115"/>
      <c r="PGY19" s="1115"/>
      <c r="PGZ19" s="1115"/>
      <c r="PHA19" s="1115"/>
      <c r="PHB19" s="1115"/>
      <c r="PHC19" s="1115"/>
      <c r="PHD19" s="1115"/>
      <c r="PHE19" s="1115"/>
      <c r="PHF19" s="1115"/>
      <c r="PHG19" s="1115"/>
      <c r="PHH19" s="1115"/>
      <c r="PHI19" s="1115"/>
      <c r="PHJ19" s="1115"/>
      <c r="PHK19" s="1115"/>
      <c r="PHL19" s="1115"/>
      <c r="PHM19" s="1115"/>
      <c r="PHN19" s="1115"/>
      <c r="PHO19" s="1115"/>
      <c r="PHP19" s="1115"/>
      <c r="PHQ19" s="1115"/>
      <c r="PHR19" s="1115"/>
      <c r="PHS19" s="1115"/>
      <c r="PHT19" s="1115"/>
      <c r="PHU19" s="1115"/>
      <c r="PHV19" s="1115"/>
      <c r="PHW19" s="1115"/>
      <c r="PHX19" s="1115"/>
      <c r="PHY19" s="1115"/>
      <c r="PHZ19" s="1115"/>
      <c r="PIA19" s="1115"/>
      <c r="PIB19" s="1115"/>
      <c r="PIC19" s="1115"/>
      <c r="PID19" s="1115"/>
      <c r="PIE19" s="1115"/>
      <c r="PIF19" s="1115"/>
      <c r="PIG19" s="1115"/>
      <c r="PIH19" s="1115"/>
      <c r="PII19" s="1115"/>
      <c r="PIJ19" s="1115"/>
      <c r="PIK19" s="1115"/>
      <c r="PIL19" s="1115"/>
      <c r="PIM19" s="1115"/>
      <c r="PIN19" s="1115"/>
      <c r="PIO19" s="1115"/>
      <c r="PIP19" s="1115"/>
      <c r="PIQ19" s="1115"/>
      <c r="PIR19" s="1115"/>
      <c r="PIS19" s="1115"/>
      <c r="PIT19" s="1115"/>
      <c r="PIU19" s="1115"/>
      <c r="PIV19" s="1115"/>
      <c r="PIW19" s="1115"/>
      <c r="PIX19" s="1115"/>
      <c r="PIY19" s="1115"/>
      <c r="PIZ19" s="1115"/>
      <c r="PJA19" s="1115"/>
      <c r="PJB19" s="1115"/>
      <c r="PJC19" s="1115"/>
      <c r="PJD19" s="1115"/>
      <c r="PJE19" s="1115"/>
      <c r="PJF19" s="1115"/>
      <c r="PJG19" s="1115"/>
      <c r="PJH19" s="1115"/>
      <c r="PJI19" s="1115"/>
      <c r="PJJ19" s="1115"/>
      <c r="PJK19" s="1115"/>
      <c r="PJL19" s="1115"/>
      <c r="PJM19" s="1115"/>
      <c r="PJN19" s="1115"/>
      <c r="PJO19" s="1115"/>
      <c r="PJP19" s="1115"/>
      <c r="PJQ19" s="1115"/>
      <c r="PJR19" s="1115"/>
      <c r="PJS19" s="1115"/>
      <c r="PJT19" s="1115"/>
      <c r="PJU19" s="1115"/>
      <c r="PJV19" s="1115"/>
      <c r="PJW19" s="1115"/>
      <c r="PJX19" s="1115"/>
      <c r="PJY19" s="1115"/>
      <c r="PJZ19" s="1115"/>
      <c r="PKA19" s="1115"/>
      <c r="PKB19" s="1115"/>
      <c r="PKC19" s="1115"/>
      <c r="PKD19" s="1115"/>
      <c r="PKE19" s="1115"/>
      <c r="PKF19" s="1115"/>
      <c r="PKG19" s="1115"/>
      <c r="PKH19" s="1115"/>
      <c r="PKI19" s="1115"/>
      <c r="PKJ19" s="1115"/>
      <c r="PKK19" s="1115"/>
      <c r="PKL19" s="1115"/>
      <c r="PKM19" s="1115"/>
      <c r="PKN19" s="1115"/>
      <c r="PKO19" s="1115"/>
      <c r="PKP19" s="1115"/>
      <c r="PKQ19" s="1115"/>
      <c r="PKR19" s="1115"/>
      <c r="PKS19" s="1115"/>
      <c r="PKT19" s="1115"/>
      <c r="PKU19" s="1115"/>
      <c r="PKV19" s="1115"/>
      <c r="PKW19" s="1115"/>
      <c r="PKX19" s="1115"/>
      <c r="PKY19" s="1115"/>
      <c r="PKZ19" s="1115"/>
      <c r="PLA19" s="1115"/>
      <c r="PLB19" s="1115"/>
      <c r="PLC19" s="1115"/>
      <c r="PLD19" s="1115"/>
      <c r="PLE19" s="1115"/>
      <c r="PLF19" s="1115"/>
      <c r="PLG19" s="1115"/>
      <c r="PLH19" s="1115"/>
      <c r="PLI19" s="1115"/>
      <c r="PLJ19" s="1115"/>
      <c r="PLK19" s="1115"/>
      <c r="PLL19" s="1115"/>
      <c r="PLM19" s="1115"/>
      <c r="PLN19" s="1115"/>
      <c r="PLO19" s="1115"/>
      <c r="PLP19" s="1115"/>
      <c r="PLQ19" s="1115"/>
      <c r="PLR19" s="1115"/>
      <c r="PLS19" s="1115"/>
      <c r="PLT19" s="1115"/>
      <c r="PLU19" s="1115"/>
      <c r="PLV19" s="1115"/>
      <c r="PLW19" s="1115"/>
      <c r="PLX19" s="1115"/>
      <c r="PLY19" s="1115"/>
      <c r="PLZ19" s="1115"/>
      <c r="PMA19" s="1115"/>
      <c r="PMB19" s="1115"/>
      <c r="PMC19" s="1115"/>
      <c r="PMD19" s="1115"/>
      <c r="PME19" s="1115"/>
      <c r="PMF19" s="1115"/>
      <c r="PMG19" s="1115"/>
      <c r="PMH19" s="1115"/>
      <c r="PMI19" s="1115"/>
      <c r="PMJ19" s="1115"/>
      <c r="PMK19" s="1115"/>
      <c r="PML19" s="1115"/>
      <c r="PMM19" s="1115"/>
      <c r="PMN19" s="1115"/>
      <c r="PMO19" s="1115"/>
      <c r="PMP19" s="1115"/>
      <c r="PMQ19" s="1115"/>
      <c r="PMR19" s="1115"/>
      <c r="PMS19" s="1115"/>
      <c r="PMT19" s="1115"/>
      <c r="PMU19" s="1115"/>
      <c r="PMV19" s="1115"/>
      <c r="PMW19" s="1115"/>
      <c r="PMX19" s="1115"/>
      <c r="PMY19" s="1115"/>
      <c r="PMZ19" s="1115"/>
      <c r="PNA19" s="1115"/>
      <c r="PNB19" s="1115"/>
      <c r="PNC19" s="1115"/>
      <c r="PND19" s="1115"/>
      <c r="PNE19" s="1115"/>
      <c r="PNF19" s="1115"/>
      <c r="PNG19" s="1115"/>
      <c r="PNH19" s="1115"/>
      <c r="PNI19" s="1115"/>
      <c r="PNJ19" s="1115"/>
      <c r="PNK19" s="1115"/>
      <c r="PNL19" s="1115"/>
      <c r="PNM19" s="1115"/>
      <c r="PNN19" s="1115"/>
      <c r="PNO19" s="1115"/>
      <c r="PNP19" s="1115"/>
      <c r="PNQ19" s="1115"/>
      <c r="PNR19" s="1115"/>
      <c r="PNS19" s="1115"/>
      <c r="PNT19" s="1115"/>
      <c r="PNU19" s="1115"/>
      <c r="PNV19" s="1115"/>
      <c r="PNW19" s="1115"/>
      <c r="PNX19" s="1115"/>
      <c r="PNY19" s="1115"/>
      <c r="PNZ19" s="1115"/>
      <c r="POA19" s="1115"/>
      <c r="POB19" s="1115"/>
      <c r="POC19" s="1115"/>
      <c r="POD19" s="1115"/>
      <c r="POE19" s="1115"/>
      <c r="POF19" s="1115"/>
      <c r="POG19" s="1115"/>
      <c r="POH19" s="1115"/>
      <c r="POI19" s="1115"/>
      <c r="POJ19" s="1115"/>
      <c r="POK19" s="1115"/>
      <c r="POL19" s="1115"/>
      <c r="POM19" s="1115"/>
      <c r="PON19" s="1115"/>
      <c r="POO19" s="1115"/>
      <c r="POP19" s="1115"/>
      <c r="POQ19" s="1115"/>
      <c r="POR19" s="1115"/>
      <c r="POS19" s="1115"/>
      <c r="POT19" s="1115"/>
      <c r="POU19" s="1115"/>
      <c r="POV19" s="1115"/>
      <c r="POW19" s="1115"/>
      <c r="POX19" s="1115"/>
      <c r="POY19" s="1115"/>
      <c r="POZ19" s="1115"/>
      <c r="PPA19" s="1115"/>
      <c r="PPB19" s="1115"/>
      <c r="PPC19" s="1115"/>
      <c r="PPD19" s="1115"/>
      <c r="PPE19" s="1115"/>
      <c r="PPF19" s="1115"/>
      <c r="PPG19" s="1115"/>
      <c r="PPH19" s="1115"/>
      <c r="PPI19" s="1115"/>
      <c r="PPJ19" s="1115"/>
      <c r="PPK19" s="1115"/>
      <c r="PPL19" s="1115"/>
      <c r="PPM19" s="1115"/>
      <c r="PPN19" s="1115"/>
      <c r="PPO19" s="1115"/>
      <c r="PPP19" s="1115"/>
      <c r="PPQ19" s="1115"/>
      <c r="PPR19" s="1115"/>
      <c r="PPS19" s="1115"/>
      <c r="PPT19" s="1115"/>
      <c r="PPU19" s="1115"/>
      <c r="PPV19" s="1115"/>
      <c r="PPW19" s="1115"/>
      <c r="PPX19" s="1115"/>
      <c r="PPY19" s="1115"/>
      <c r="PPZ19" s="1115"/>
      <c r="PQA19" s="1115"/>
      <c r="PQB19" s="1115"/>
      <c r="PQC19" s="1115"/>
      <c r="PQD19" s="1115"/>
      <c r="PQE19" s="1115"/>
      <c r="PQF19" s="1115"/>
      <c r="PQG19" s="1115"/>
      <c r="PQH19" s="1115"/>
      <c r="PQI19" s="1115"/>
      <c r="PQJ19" s="1115"/>
      <c r="PQK19" s="1115"/>
      <c r="PQL19" s="1115"/>
      <c r="PQM19" s="1115"/>
      <c r="PQN19" s="1115"/>
      <c r="PQO19" s="1115"/>
      <c r="PQP19" s="1115"/>
      <c r="PQQ19" s="1115"/>
      <c r="PQR19" s="1115"/>
      <c r="PQS19" s="1115"/>
      <c r="PQT19" s="1115"/>
      <c r="PQU19" s="1115"/>
      <c r="PQV19" s="1115"/>
      <c r="PQW19" s="1115"/>
      <c r="PQX19" s="1115"/>
      <c r="PQY19" s="1115"/>
      <c r="PQZ19" s="1115"/>
      <c r="PRA19" s="1115"/>
      <c r="PRB19" s="1115"/>
      <c r="PRC19" s="1115"/>
      <c r="PRD19" s="1115"/>
      <c r="PRE19" s="1115"/>
      <c r="PRF19" s="1115"/>
      <c r="PRG19" s="1115"/>
      <c r="PRH19" s="1115"/>
      <c r="PRI19" s="1115"/>
      <c r="PRJ19" s="1115"/>
      <c r="PRK19" s="1115"/>
      <c r="PRL19" s="1115"/>
      <c r="PRM19" s="1115"/>
      <c r="PRN19" s="1115"/>
      <c r="PRO19" s="1115"/>
      <c r="PRP19" s="1115"/>
      <c r="PRQ19" s="1115"/>
      <c r="PRR19" s="1115"/>
      <c r="PRS19" s="1115"/>
      <c r="PRT19" s="1115"/>
      <c r="PRU19" s="1115"/>
      <c r="PRV19" s="1115"/>
      <c r="PRW19" s="1115"/>
      <c r="PRX19" s="1115"/>
      <c r="PRY19" s="1115"/>
      <c r="PRZ19" s="1115"/>
      <c r="PSA19" s="1115"/>
      <c r="PSB19" s="1115"/>
      <c r="PSC19" s="1115"/>
      <c r="PSD19" s="1115"/>
      <c r="PSE19" s="1115"/>
      <c r="PSF19" s="1115"/>
      <c r="PSG19" s="1115"/>
      <c r="PSH19" s="1115"/>
      <c r="PSI19" s="1115"/>
      <c r="PSJ19" s="1115"/>
      <c r="PSK19" s="1115"/>
      <c r="PSL19" s="1115"/>
      <c r="PSM19" s="1115"/>
      <c r="PSN19" s="1115"/>
      <c r="PSO19" s="1115"/>
      <c r="PSP19" s="1115"/>
      <c r="PSQ19" s="1115"/>
      <c r="PSR19" s="1115"/>
      <c r="PSS19" s="1115"/>
      <c r="PST19" s="1115"/>
      <c r="PSU19" s="1115"/>
      <c r="PSV19" s="1115"/>
      <c r="PSW19" s="1115"/>
      <c r="PSX19" s="1115"/>
      <c r="PSY19" s="1115"/>
      <c r="PSZ19" s="1115"/>
      <c r="PTA19" s="1115"/>
      <c r="PTB19" s="1115"/>
      <c r="PTC19" s="1115"/>
      <c r="PTD19" s="1115"/>
      <c r="PTE19" s="1115"/>
      <c r="PTF19" s="1115"/>
      <c r="PTG19" s="1115"/>
      <c r="PTH19" s="1115"/>
      <c r="PTI19" s="1115"/>
      <c r="PTJ19" s="1115"/>
      <c r="PTK19" s="1115"/>
      <c r="PTL19" s="1115"/>
      <c r="PTM19" s="1115"/>
      <c r="PTN19" s="1115"/>
      <c r="PTO19" s="1115"/>
      <c r="PTP19" s="1115"/>
      <c r="PTQ19" s="1115"/>
      <c r="PTR19" s="1115"/>
      <c r="PTS19" s="1115"/>
      <c r="PTT19" s="1115"/>
      <c r="PTU19" s="1115"/>
      <c r="PTV19" s="1115"/>
      <c r="PTW19" s="1115"/>
      <c r="PTX19" s="1115"/>
      <c r="PTY19" s="1115"/>
      <c r="PTZ19" s="1115"/>
      <c r="PUA19" s="1115"/>
      <c r="PUB19" s="1115"/>
      <c r="PUC19" s="1115"/>
      <c r="PUD19" s="1115"/>
      <c r="PUE19" s="1115"/>
      <c r="PUF19" s="1115"/>
      <c r="PUG19" s="1115"/>
      <c r="PUH19" s="1115"/>
      <c r="PUI19" s="1115"/>
      <c r="PUJ19" s="1115"/>
      <c r="PUK19" s="1115"/>
      <c r="PUL19" s="1115"/>
      <c r="PUM19" s="1115"/>
      <c r="PUN19" s="1115"/>
      <c r="PUO19" s="1115"/>
      <c r="PUP19" s="1115"/>
      <c r="PUQ19" s="1115"/>
      <c r="PUR19" s="1115"/>
      <c r="PUS19" s="1115"/>
      <c r="PUT19" s="1115"/>
      <c r="PUU19" s="1115"/>
      <c r="PUV19" s="1115"/>
      <c r="PUW19" s="1115"/>
      <c r="PUX19" s="1115"/>
      <c r="PUY19" s="1115"/>
      <c r="PUZ19" s="1115"/>
      <c r="PVA19" s="1115"/>
      <c r="PVB19" s="1115"/>
      <c r="PVC19" s="1115"/>
      <c r="PVD19" s="1115"/>
      <c r="PVE19" s="1115"/>
      <c r="PVF19" s="1115"/>
      <c r="PVG19" s="1115"/>
      <c r="PVH19" s="1115"/>
      <c r="PVI19" s="1115"/>
      <c r="PVJ19" s="1115"/>
      <c r="PVK19" s="1115"/>
      <c r="PVL19" s="1115"/>
      <c r="PVM19" s="1115"/>
      <c r="PVN19" s="1115"/>
      <c r="PVO19" s="1115"/>
      <c r="PVP19" s="1115"/>
      <c r="PVQ19" s="1115"/>
      <c r="PVR19" s="1115"/>
      <c r="PVS19" s="1115"/>
      <c r="PVT19" s="1115"/>
      <c r="PVU19" s="1115"/>
      <c r="PVV19" s="1115"/>
      <c r="PVW19" s="1115"/>
      <c r="PVX19" s="1115"/>
      <c r="PVY19" s="1115"/>
      <c r="PVZ19" s="1115"/>
      <c r="PWA19" s="1115"/>
      <c r="PWB19" s="1115"/>
      <c r="PWC19" s="1115"/>
      <c r="PWD19" s="1115"/>
      <c r="PWE19" s="1115"/>
      <c r="PWF19" s="1115"/>
      <c r="PWG19" s="1115"/>
      <c r="PWH19" s="1115"/>
      <c r="PWI19" s="1115"/>
      <c r="PWJ19" s="1115"/>
      <c r="PWK19" s="1115"/>
      <c r="PWL19" s="1115"/>
      <c r="PWM19" s="1115"/>
      <c r="PWN19" s="1115"/>
      <c r="PWO19" s="1115"/>
      <c r="PWP19" s="1115"/>
      <c r="PWQ19" s="1115"/>
      <c r="PWR19" s="1115"/>
      <c r="PWS19" s="1115"/>
      <c r="PWT19" s="1115"/>
      <c r="PWU19" s="1115"/>
      <c r="PWV19" s="1115"/>
      <c r="PWW19" s="1115"/>
      <c r="PWX19" s="1115"/>
      <c r="PWY19" s="1115"/>
      <c r="PWZ19" s="1115"/>
      <c r="PXA19" s="1115"/>
      <c r="PXB19" s="1115"/>
      <c r="PXC19" s="1115"/>
      <c r="PXD19" s="1115"/>
      <c r="PXE19" s="1115"/>
      <c r="PXF19" s="1115"/>
      <c r="PXG19" s="1115"/>
      <c r="PXH19" s="1115"/>
      <c r="PXI19" s="1115"/>
      <c r="PXJ19" s="1115"/>
      <c r="PXK19" s="1115"/>
      <c r="PXL19" s="1115"/>
      <c r="PXM19" s="1115"/>
      <c r="PXN19" s="1115"/>
      <c r="PXO19" s="1115"/>
      <c r="PXP19" s="1115"/>
      <c r="PXQ19" s="1115"/>
      <c r="PXR19" s="1115"/>
      <c r="PXS19" s="1115"/>
      <c r="PXT19" s="1115"/>
      <c r="PXU19" s="1115"/>
      <c r="PXV19" s="1115"/>
      <c r="PXW19" s="1115"/>
      <c r="PXX19" s="1115"/>
      <c r="PXY19" s="1115"/>
      <c r="PXZ19" s="1115"/>
      <c r="PYA19" s="1115"/>
      <c r="PYB19" s="1115"/>
      <c r="PYC19" s="1115"/>
      <c r="PYD19" s="1115"/>
      <c r="PYE19" s="1115"/>
      <c r="PYF19" s="1115"/>
      <c r="PYG19" s="1115"/>
      <c r="PYH19" s="1115"/>
      <c r="PYI19" s="1115"/>
      <c r="PYJ19" s="1115"/>
      <c r="PYK19" s="1115"/>
      <c r="PYL19" s="1115"/>
      <c r="PYM19" s="1115"/>
      <c r="PYN19" s="1115"/>
      <c r="PYO19" s="1115"/>
      <c r="PYP19" s="1115"/>
      <c r="PYQ19" s="1115"/>
      <c r="PYR19" s="1115"/>
      <c r="PYS19" s="1115"/>
      <c r="PYT19" s="1115"/>
      <c r="PYU19" s="1115"/>
      <c r="PYV19" s="1115"/>
      <c r="PYW19" s="1115"/>
      <c r="PYX19" s="1115"/>
      <c r="PYY19" s="1115"/>
      <c r="PYZ19" s="1115"/>
      <c r="PZA19" s="1115"/>
      <c r="PZB19" s="1115"/>
      <c r="PZC19" s="1115"/>
      <c r="PZD19" s="1115"/>
      <c r="PZE19" s="1115"/>
      <c r="PZF19" s="1115"/>
      <c r="PZG19" s="1115"/>
      <c r="PZH19" s="1115"/>
      <c r="PZI19" s="1115"/>
      <c r="PZJ19" s="1115"/>
      <c r="PZK19" s="1115"/>
      <c r="PZL19" s="1115"/>
      <c r="PZM19" s="1115"/>
      <c r="PZN19" s="1115"/>
      <c r="PZO19" s="1115"/>
      <c r="PZP19" s="1115"/>
      <c r="PZQ19" s="1115"/>
      <c r="PZR19" s="1115"/>
      <c r="PZS19" s="1115"/>
      <c r="PZT19" s="1115"/>
      <c r="PZU19" s="1115"/>
      <c r="PZV19" s="1115"/>
      <c r="PZW19" s="1115"/>
      <c r="PZX19" s="1115"/>
      <c r="PZY19" s="1115"/>
      <c r="PZZ19" s="1115"/>
      <c r="QAA19" s="1115"/>
      <c r="QAB19" s="1115"/>
      <c r="QAC19" s="1115"/>
      <c r="QAD19" s="1115"/>
      <c r="QAE19" s="1115"/>
      <c r="QAF19" s="1115"/>
      <c r="QAG19" s="1115"/>
      <c r="QAH19" s="1115"/>
      <c r="QAI19" s="1115"/>
      <c r="QAJ19" s="1115"/>
      <c r="QAK19" s="1115"/>
      <c r="QAL19" s="1115"/>
      <c r="QAM19" s="1115"/>
      <c r="QAN19" s="1115"/>
      <c r="QAO19" s="1115"/>
      <c r="QAP19" s="1115"/>
      <c r="QAQ19" s="1115"/>
      <c r="QAR19" s="1115"/>
      <c r="QAS19" s="1115"/>
      <c r="QAT19" s="1115"/>
      <c r="QAU19" s="1115"/>
      <c r="QAV19" s="1115"/>
      <c r="QAW19" s="1115"/>
      <c r="QAX19" s="1115"/>
      <c r="QAY19" s="1115"/>
      <c r="QAZ19" s="1115"/>
      <c r="QBA19" s="1115"/>
      <c r="QBB19" s="1115"/>
      <c r="QBC19" s="1115"/>
      <c r="QBD19" s="1115"/>
      <c r="QBE19" s="1115"/>
      <c r="QBF19" s="1115"/>
      <c r="QBG19" s="1115"/>
      <c r="QBH19" s="1115"/>
      <c r="QBI19" s="1115"/>
      <c r="QBJ19" s="1115"/>
      <c r="QBK19" s="1115"/>
      <c r="QBL19" s="1115"/>
      <c r="QBM19" s="1115"/>
      <c r="QBN19" s="1115"/>
      <c r="QBO19" s="1115"/>
      <c r="QBP19" s="1115"/>
      <c r="QBQ19" s="1115"/>
      <c r="QBR19" s="1115"/>
      <c r="QBS19" s="1115"/>
      <c r="QBT19" s="1115"/>
      <c r="QBU19" s="1115"/>
      <c r="QBV19" s="1115"/>
      <c r="QBW19" s="1115"/>
      <c r="QBX19" s="1115"/>
      <c r="QBY19" s="1115"/>
      <c r="QBZ19" s="1115"/>
      <c r="QCA19" s="1115"/>
      <c r="QCB19" s="1115"/>
      <c r="QCC19" s="1115"/>
      <c r="QCD19" s="1115"/>
      <c r="QCE19" s="1115"/>
      <c r="QCF19" s="1115"/>
      <c r="QCG19" s="1115"/>
      <c r="QCH19" s="1115"/>
      <c r="QCI19" s="1115"/>
      <c r="QCJ19" s="1115"/>
      <c r="QCK19" s="1115"/>
      <c r="QCL19" s="1115"/>
      <c r="QCM19" s="1115"/>
      <c r="QCN19" s="1115"/>
      <c r="QCO19" s="1115"/>
      <c r="QCP19" s="1115"/>
      <c r="QCQ19" s="1115"/>
      <c r="QCR19" s="1115"/>
      <c r="QCS19" s="1115"/>
      <c r="QCT19" s="1115"/>
      <c r="QCU19" s="1115"/>
      <c r="QCV19" s="1115"/>
      <c r="QCW19" s="1115"/>
      <c r="QCX19" s="1115"/>
      <c r="QCY19" s="1115"/>
      <c r="QCZ19" s="1115"/>
      <c r="QDA19" s="1115"/>
      <c r="QDB19" s="1115"/>
      <c r="QDC19" s="1115"/>
      <c r="QDD19" s="1115"/>
      <c r="QDE19" s="1115"/>
      <c r="QDF19" s="1115"/>
      <c r="QDG19" s="1115"/>
      <c r="QDH19" s="1115"/>
      <c r="QDI19" s="1115"/>
      <c r="QDJ19" s="1115"/>
      <c r="QDK19" s="1115"/>
      <c r="QDL19" s="1115"/>
      <c r="QDM19" s="1115"/>
      <c r="QDN19" s="1115"/>
      <c r="QDO19" s="1115"/>
      <c r="QDP19" s="1115"/>
      <c r="QDQ19" s="1115"/>
      <c r="QDR19" s="1115"/>
      <c r="QDS19" s="1115"/>
      <c r="QDT19" s="1115"/>
      <c r="QDU19" s="1115"/>
      <c r="QDV19" s="1115"/>
      <c r="QDW19" s="1115"/>
      <c r="QDX19" s="1115"/>
      <c r="QDY19" s="1115"/>
      <c r="QDZ19" s="1115"/>
      <c r="QEA19" s="1115"/>
      <c r="QEB19" s="1115"/>
      <c r="QEC19" s="1115"/>
      <c r="QED19" s="1115"/>
      <c r="QEE19" s="1115"/>
      <c r="QEF19" s="1115"/>
      <c r="QEG19" s="1115"/>
      <c r="QEH19" s="1115"/>
      <c r="QEI19" s="1115"/>
      <c r="QEJ19" s="1115"/>
      <c r="QEK19" s="1115"/>
      <c r="QEL19" s="1115"/>
      <c r="QEM19" s="1115"/>
      <c r="QEN19" s="1115"/>
      <c r="QEO19" s="1115"/>
      <c r="QEP19" s="1115"/>
      <c r="QEQ19" s="1115"/>
      <c r="QER19" s="1115"/>
      <c r="QES19" s="1115"/>
      <c r="QET19" s="1115"/>
      <c r="QEU19" s="1115"/>
      <c r="QEV19" s="1115"/>
      <c r="QEW19" s="1115"/>
      <c r="QEX19" s="1115"/>
      <c r="QEY19" s="1115"/>
      <c r="QEZ19" s="1115"/>
      <c r="QFA19" s="1115"/>
      <c r="QFB19" s="1115"/>
      <c r="QFC19" s="1115"/>
      <c r="QFD19" s="1115"/>
      <c r="QFE19" s="1115"/>
      <c r="QFF19" s="1115"/>
      <c r="QFG19" s="1115"/>
      <c r="QFH19" s="1115"/>
      <c r="QFI19" s="1115"/>
      <c r="QFJ19" s="1115"/>
      <c r="QFK19" s="1115"/>
      <c r="QFL19" s="1115"/>
      <c r="QFM19" s="1115"/>
      <c r="QFN19" s="1115"/>
      <c r="QFO19" s="1115"/>
      <c r="QFP19" s="1115"/>
      <c r="QFQ19" s="1115"/>
      <c r="QFR19" s="1115"/>
      <c r="QFS19" s="1115"/>
      <c r="QFT19" s="1115"/>
      <c r="QFU19" s="1115"/>
      <c r="QFV19" s="1115"/>
      <c r="QFW19" s="1115"/>
      <c r="QFX19" s="1115"/>
      <c r="QFY19" s="1115"/>
      <c r="QFZ19" s="1115"/>
      <c r="QGA19" s="1115"/>
      <c r="QGB19" s="1115"/>
      <c r="QGC19" s="1115"/>
      <c r="QGD19" s="1115"/>
      <c r="QGE19" s="1115"/>
      <c r="QGF19" s="1115"/>
      <c r="QGG19" s="1115"/>
      <c r="QGH19" s="1115"/>
      <c r="QGI19" s="1115"/>
      <c r="QGJ19" s="1115"/>
      <c r="QGK19" s="1115"/>
      <c r="QGL19" s="1115"/>
      <c r="QGM19" s="1115"/>
      <c r="QGN19" s="1115"/>
      <c r="QGO19" s="1115"/>
      <c r="QGP19" s="1115"/>
      <c r="QGQ19" s="1115"/>
      <c r="QGR19" s="1115"/>
      <c r="QGS19" s="1115"/>
      <c r="QGT19" s="1115"/>
      <c r="QGU19" s="1115"/>
      <c r="QGV19" s="1115"/>
      <c r="QGW19" s="1115"/>
      <c r="QGX19" s="1115"/>
      <c r="QGY19" s="1115"/>
      <c r="QGZ19" s="1115"/>
      <c r="QHA19" s="1115"/>
      <c r="QHB19" s="1115"/>
      <c r="QHC19" s="1115"/>
      <c r="QHD19" s="1115"/>
      <c r="QHE19" s="1115"/>
      <c r="QHF19" s="1115"/>
      <c r="QHG19" s="1115"/>
      <c r="QHH19" s="1115"/>
      <c r="QHI19" s="1115"/>
      <c r="QHJ19" s="1115"/>
      <c r="QHK19" s="1115"/>
      <c r="QHL19" s="1115"/>
      <c r="QHM19" s="1115"/>
      <c r="QHN19" s="1115"/>
      <c r="QHO19" s="1115"/>
      <c r="QHP19" s="1115"/>
      <c r="QHQ19" s="1115"/>
      <c r="QHR19" s="1115"/>
      <c r="QHS19" s="1115"/>
      <c r="QHT19" s="1115"/>
      <c r="QHU19" s="1115"/>
      <c r="QHV19" s="1115"/>
      <c r="QHW19" s="1115"/>
      <c r="QHX19" s="1115"/>
      <c r="QHY19" s="1115"/>
      <c r="QHZ19" s="1115"/>
      <c r="QIA19" s="1115"/>
      <c r="QIB19" s="1115"/>
      <c r="QIC19" s="1115"/>
      <c r="QID19" s="1115"/>
      <c r="QIE19" s="1115"/>
      <c r="QIF19" s="1115"/>
      <c r="QIG19" s="1115"/>
      <c r="QIH19" s="1115"/>
      <c r="QII19" s="1115"/>
      <c r="QIJ19" s="1115"/>
      <c r="QIK19" s="1115"/>
      <c r="QIL19" s="1115"/>
      <c r="QIM19" s="1115"/>
      <c r="QIN19" s="1115"/>
      <c r="QIO19" s="1115"/>
      <c r="QIP19" s="1115"/>
      <c r="QIQ19" s="1115"/>
      <c r="QIR19" s="1115"/>
      <c r="QIS19" s="1115"/>
      <c r="QIT19" s="1115"/>
      <c r="QIU19" s="1115"/>
      <c r="QIV19" s="1115"/>
      <c r="QIW19" s="1115"/>
      <c r="QIX19" s="1115"/>
      <c r="QIY19" s="1115"/>
      <c r="QIZ19" s="1115"/>
      <c r="QJA19" s="1115"/>
      <c r="QJB19" s="1115"/>
      <c r="QJC19" s="1115"/>
      <c r="QJD19" s="1115"/>
      <c r="QJE19" s="1115"/>
      <c r="QJF19" s="1115"/>
      <c r="QJG19" s="1115"/>
      <c r="QJH19" s="1115"/>
      <c r="QJI19" s="1115"/>
      <c r="QJJ19" s="1115"/>
      <c r="QJK19" s="1115"/>
      <c r="QJL19" s="1115"/>
      <c r="QJM19" s="1115"/>
      <c r="QJN19" s="1115"/>
      <c r="QJO19" s="1115"/>
      <c r="QJP19" s="1115"/>
      <c r="QJQ19" s="1115"/>
      <c r="QJR19" s="1115"/>
      <c r="QJS19" s="1115"/>
      <c r="QJT19" s="1115"/>
      <c r="QJU19" s="1115"/>
      <c r="QJV19" s="1115"/>
      <c r="QJW19" s="1115"/>
      <c r="QJX19" s="1115"/>
      <c r="QJY19" s="1115"/>
      <c r="QJZ19" s="1115"/>
      <c r="QKA19" s="1115"/>
      <c r="QKB19" s="1115"/>
      <c r="QKC19" s="1115"/>
      <c r="QKD19" s="1115"/>
      <c r="QKE19" s="1115"/>
      <c r="QKF19" s="1115"/>
      <c r="QKG19" s="1115"/>
      <c r="QKH19" s="1115"/>
      <c r="QKI19" s="1115"/>
      <c r="QKJ19" s="1115"/>
      <c r="QKK19" s="1115"/>
      <c r="QKL19" s="1115"/>
      <c r="QKM19" s="1115"/>
      <c r="QKN19" s="1115"/>
      <c r="QKO19" s="1115"/>
      <c r="QKP19" s="1115"/>
      <c r="QKQ19" s="1115"/>
      <c r="QKR19" s="1115"/>
      <c r="QKS19" s="1115"/>
      <c r="QKT19" s="1115"/>
      <c r="QKU19" s="1115"/>
      <c r="QKV19" s="1115"/>
      <c r="QKW19" s="1115"/>
      <c r="QKX19" s="1115"/>
      <c r="QKY19" s="1115"/>
      <c r="QKZ19" s="1115"/>
      <c r="QLA19" s="1115"/>
      <c r="QLB19" s="1115"/>
      <c r="QLC19" s="1115"/>
      <c r="QLD19" s="1115"/>
      <c r="QLE19" s="1115"/>
      <c r="QLF19" s="1115"/>
      <c r="QLG19" s="1115"/>
      <c r="QLH19" s="1115"/>
      <c r="QLI19" s="1115"/>
      <c r="QLJ19" s="1115"/>
      <c r="QLK19" s="1115"/>
      <c r="QLL19" s="1115"/>
      <c r="QLM19" s="1115"/>
      <c r="QLN19" s="1115"/>
      <c r="QLO19" s="1115"/>
      <c r="QLP19" s="1115"/>
      <c r="QLQ19" s="1115"/>
      <c r="QLR19" s="1115"/>
      <c r="QLS19" s="1115"/>
      <c r="QLT19" s="1115"/>
      <c r="QLU19" s="1115"/>
      <c r="QLV19" s="1115"/>
      <c r="QLW19" s="1115"/>
      <c r="QLX19" s="1115"/>
      <c r="QLY19" s="1115"/>
      <c r="QLZ19" s="1115"/>
      <c r="QMA19" s="1115"/>
      <c r="QMB19" s="1115"/>
      <c r="QMC19" s="1115"/>
      <c r="QMD19" s="1115"/>
      <c r="QME19" s="1115"/>
      <c r="QMF19" s="1115"/>
      <c r="QMG19" s="1115"/>
      <c r="QMH19" s="1115"/>
      <c r="QMI19" s="1115"/>
      <c r="QMJ19" s="1115"/>
      <c r="QMK19" s="1115"/>
      <c r="QML19" s="1115"/>
      <c r="QMM19" s="1115"/>
      <c r="QMN19" s="1115"/>
      <c r="QMO19" s="1115"/>
      <c r="QMP19" s="1115"/>
      <c r="QMQ19" s="1115"/>
      <c r="QMR19" s="1115"/>
      <c r="QMS19" s="1115"/>
      <c r="QMT19" s="1115"/>
      <c r="QMU19" s="1115"/>
      <c r="QMV19" s="1115"/>
      <c r="QMW19" s="1115"/>
      <c r="QMX19" s="1115"/>
      <c r="QMY19" s="1115"/>
      <c r="QMZ19" s="1115"/>
      <c r="QNA19" s="1115"/>
      <c r="QNB19" s="1115"/>
      <c r="QNC19" s="1115"/>
      <c r="QND19" s="1115"/>
      <c r="QNE19" s="1115"/>
      <c r="QNF19" s="1115"/>
      <c r="QNG19" s="1115"/>
      <c r="QNH19" s="1115"/>
      <c r="QNI19" s="1115"/>
      <c r="QNJ19" s="1115"/>
      <c r="QNK19" s="1115"/>
      <c r="QNL19" s="1115"/>
      <c r="QNM19" s="1115"/>
      <c r="QNN19" s="1115"/>
      <c r="QNO19" s="1115"/>
      <c r="QNP19" s="1115"/>
      <c r="QNQ19" s="1115"/>
      <c r="QNR19" s="1115"/>
      <c r="QNS19" s="1115"/>
      <c r="QNT19" s="1115"/>
      <c r="QNU19" s="1115"/>
      <c r="QNV19" s="1115"/>
      <c r="QNW19" s="1115"/>
      <c r="QNX19" s="1115"/>
      <c r="QNY19" s="1115"/>
      <c r="QNZ19" s="1115"/>
      <c r="QOA19" s="1115"/>
      <c r="QOB19" s="1115"/>
      <c r="QOC19" s="1115"/>
      <c r="QOD19" s="1115"/>
      <c r="QOE19" s="1115"/>
      <c r="QOF19" s="1115"/>
      <c r="QOG19" s="1115"/>
      <c r="QOH19" s="1115"/>
      <c r="QOI19" s="1115"/>
      <c r="QOJ19" s="1115"/>
      <c r="QOK19" s="1115"/>
      <c r="QOL19" s="1115"/>
      <c r="QOM19" s="1115"/>
      <c r="QON19" s="1115"/>
      <c r="QOO19" s="1115"/>
      <c r="QOP19" s="1115"/>
      <c r="QOQ19" s="1115"/>
      <c r="QOR19" s="1115"/>
      <c r="QOS19" s="1115"/>
      <c r="QOT19" s="1115"/>
      <c r="QOU19" s="1115"/>
      <c r="QOV19" s="1115"/>
      <c r="QOW19" s="1115"/>
      <c r="QOX19" s="1115"/>
      <c r="QOY19" s="1115"/>
      <c r="QOZ19" s="1115"/>
      <c r="QPA19" s="1115"/>
      <c r="QPB19" s="1115"/>
      <c r="QPC19" s="1115"/>
      <c r="QPD19" s="1115"/>
      <c r="QPE19" s="1115"/>
      <c r="QPF19" s="1115"/>
      <c r="QPG19" s="1115"/>
      <c r="QPH19" s="1115"/>
      <c r="QPI19" s="1115"/>
      <c r="QPJ19" s="1115"/>
      <c r="QPK19" s="1115"/>
      <c r="QPL19" s="1115"/>
      <c r="QPM19" s="1115"/>
      <c r="QPN19" s="1115"/>
      <c r="QPO19" s="1115"/>
      <c r="QPP19" s="1115"/>
      <c r="QPQ19" s="1115"/>
      <c r="QPR19" s="1115"/>
      <c r="QPS19" s="1115"/>
      <c r="QPT19" s="1115"/>
      <c r="QPU19" s="1115"/>
      <c r="QPV19" s="1115"/>
      <c r="QPW19" s="1115"/>
      <c r="QPX19" s="1115"/>
      <c r="QPY19" s="1115"/>
      <c r="QPZ19" s="1115"/>
      <c r="QQA19" s="1115"/>
      <c r="QQB19" s="1115"/>
      <c r="QQC19" s="1115"/>
      <c r="QQD19" s="1115"/>
      <c r="QQE19" s="1115"/>
      <c r="QQF19" s="1115"/>
      <c r="QQG19" s="1115"/>
      <c r="QQH19" s="1115"/>
      <c r="QQI19" s="1115"/>
      <c r="QQJ19" s="1115"/>
      <c r="QQK19" s="1115"/>
      <c r="QQL19" s="1115"/>
      <c r="QQM19" s="1115"/>
      <c r="QQN19" s="1115"/>
      <c r="QQO19" s="1115"/>
      <c r="QQP19" s="1115"/>
      <c r="QQQ19" s="1115"/>
      <c r="QQR19" s="1115"/>
      <c r="QQS19" s="1115"/>
      <c r="QQT19" s="1115"/>
      <c r="QQU19" s="1115"/>
      <c r="QQV19" s="1115"/>
      <c r="QQW19" s="1115"/>
      <c r="QQX19" s="1115"/>
      <c r="QQY19" s="1115"/>
      <c r="QQZ19" s="1115"/>
      <c r="QRA19" s="1115"/>
      <c r="QRB19" s="1115"/>
      <c r="QRC19" s="1115"/>
      <c r="QRD19" s="1115"/>
      <c r="QRE19" s="1115"/>
      <c r="QRF19" s="1115"/>
      <c r="QRG19" s="1115"/>
      <c r="QRH19" s="1115"/>
      <c r="QRI19" s="1115"/>
      <c r="QRJ19" s="1115"/>
      <c r="QRK19" s="1115"/>
      <c r="QRL19" s="1115"/>
      <c r="QRM19" s="1115"/>
      <c r="QRN19" s="1115"/>
      <c r="QRO19" s="1115"/>
      <c r="QRP19" s="1115"/>
      <c r="QRQ19" s="1115"/>
      <c r="QRR19" s="1115"/>
      <c r="QRS19" s="1115"/>
      <c r="QRT19" s="1115"/>
      <c r="QRU19" s="1115"/>
      <c r="QRV19" s="1115"/>
      <c r="QRW19" s="1115"/>
      <c r="QRX19" s="1115"/>
      <c r="QRY19" s="1115"/>
      <c r="QRZ19" s="1115"/>
      <c r="QSA19" s="1115"/>
      <c r="QSB19" s="1115"/>
      <c r="QSC19" s="1115"/>
      <c r="QSD19" s="1115"/>
      <c r="QSE19" s="1115"/>
      <c r="QSF19" s="1115"/>
      <c r="QSG19" s="1115"/>
      <c r="QSH19" s="1115"/>
      <c r="QSI19" s="1115"/>
      <c r="QSJ19" s="1115"/>
      <c r="QSK19" s="1115"/>
      <c r="QSL19" s="1115"/>
      <c r="QSM19" s="1115"/>
      <c r="QSN19" s="1115"/>
      <c r="QSO19" s="1115"/>
      <c r="QSP19" s="1115"/>
      <c r="QSQ19" s="1115"/>
      <c r="QSR19" s="1115"/>
      <c r="QSS19" s="1115"/>
      <c r="QST19" s="1115"/>
      <c r="QSU19" s="1115"/>
      <c r="QSV19" s="1115"/>
      <c r="QSW19" s="1115"/>
      <c r="QSX19" s="1115"/>
      <c r="QSY19" s="1115"/>
      <c r="QSZ19" s="1115"/>
      <c r="QTA19" s="1115"/>
      <c r="QTB19" s="1115"/>
      <c r="QTC19" s="1115"/>
      <c r="QTD19" s="1115"/>
      <c r="QTE19" s="1115"/>
      <c r="QTF19" s="1115"/>
      <c r="QTG19" s="1115"/>
      <c r="QTH19" s="1115"/>
      <c r="QTI19" s="1115"/>
      <c r="QTJ19" s="1115"/>
      <c r="QTK19" s="1115"/>
      <c r="QTL19" s="1115"/>
      <c r="QTM19" s="1115"/>
      <c r="QTN19" s="1115"/>
      <c r="QTO19" s="1115"/>
      <c r="QTP19" s="1115"/>
      <c r="QTQ19" s="1115"/>
      <c r="QTR19" s="1115"/>
      <c r="QTS19" s="1115"/>
      <c r="QTT19" s="1115"/>
      <c r="QTU19" s="1115"/>
      <c r="QTV19" s="1115"/>
      <c r="QTW19" s="1115"/>
      <c r="QTX19" s="1115"/>
      <c r="QTY19" s="1115"/>
      <c r="QTZ19" s="1115"/>
      <c r="QUA19" s="1115"/>
      <c r="QUB19" s="1115"/>
      <c r="QUC19" s="1115"/>
      <c r="QUD19" s="1115"/>
      <c r="QUE19" s="1115"/>
      <c r="QUF19" s="1115"/>
      <c r="QUG19" s="1115"/>
      <c r="QUH19" s="1115"/>
      <c r="QUI19" s="1115"/>
      <c r="QUJ19" s="1115"/>
      <c r="QUK19" s="1115"/>
      <c r="QUL19" s="1115"/>
      <c r="QUM19" s="1115"/>
      <c r="QUN19" s="1115"/>
      <c r="QUO19" s="1115"/>
      <c r="QUP19" s="1115"/>
      <c r="QUQ19" s="1115"/>
      <c r="QUR19" s="1115"/>
      <c r="QUS19" s="1115"/>
      <c r="QUT19" s="1115"/>
      <c r="QUU19" s="1115"/>
      <c r="QUV19" s="1115"/>
      <c r="QUW19" s="1115"/>
      <c r="QUX19" s="1115"/>
      <c r="QUY19" s="1115"/>
      <c r="QUZ19" s="1115"/>
      <c r="QVA19" s="1115"/>
      <c r="QVB19" s="1115"/>
      <c r="QVC19" s="1115"/>
      <c r="QVD19" s="1115"/>
      <c r="QVE19" s="1115"/>
      <c r="QVF19" s="1115"/>
      <c r="QVG19" s="1115"/>
      <c r="QVH19" s="1115"/>
      <c r="QVI19" s="1115"/>
      <c r="QVJ19" s="1115"/>
      <c r="QVK19" s="1115"/>
      <c r="QVL19" s="1115"/>
      <c r="QVM19" s="1115"/>
      <c r="QVN19" s="1115"/>
      <c r="QVO19" s="1115"/>
      <c r="QVP19" s="1115"/>
      <c r="QVQ19" s="1115"/>
      <c r="QVR19" s="1115"/>
      <c r="QVS19" s="1115"/>
      <c r="QVT19" s="1115"/>
      <c r="QVU19" s="1115"/>
      <c r="QVV19" s="1115"/>
      <c r="QVW19" s="1115"/>
      <c r="QVX19" s="1115"/>
      <c r="QVY19" s="1115"/>
      <c r="QVZ19" s="1115"/>
      <c r="QWA19" s="1115"/>
      <c r="QWB19" s="1115"/>
      <c r="QWC19" s="1115"/>
      <c r="QWD19" s="1115"/>
      <c r="QWE19" s="1115"/>
      <c r="QWF19" s="1115"/>
      <c r="QWG19" s="1115"/>
      <c r="QWH19" s="1115"/>
      <c r="QWI19" s="1115"/>
      <c r="QWJ19" s="1115"/>
      <c r="QWK19" s="1115"/>
      <c r="QWL19" s="1115"/>
      <c r="QWM19" s="1115"/>
      <c r="QWN19" s="1115"/>
      <c r="QWO19" s="1115"/>
      <c r="QWP19" s="1115"/>
      <c r="QWQ19" s="1115"/>
      <c r="QWR19" s="1115"/>
      <c r="QWS19" s="1115"/>
      <c r="QWT19" s="1115"/>
      <c r="QWU19" s="1115"/>
      <c r="QWV19" s="1115"/>
      <c r="QWW19" s="1115"/>
      <c r="QWX19" s="1115"/>
      <c r="QWY19" s="1115"/>
      <c r="QWZ19" s="1115"/>
      <c r="QXA19" s="1115"/>
      <c r="QXB19" s="1115"/>
      <c r="QXC19" s="1115"/>
      <c r="QXD19" s="1115"/>
      <c r="QXE19" s="1115"/>
      <c r="QXF19" s="1115"/>
      <c r="QXG19" s="1115"/>
      <c r="QXH19" s="1115"/>
      <c r="QXI19" s="1115"/>
      <c r="QXJ19" s="1115"/>
      <c r="QXK19" s="1115"/>
      <c r="QXL19" s="1115"/>
      <c r="QXM19" s="1115"/>
      <c r="QXN19" s="1115"/>
      <c r="QXO19" s="1115"/>
      <c r="QXP19" s="1115"/>
      <c r="QXQ19" s="1115"/>
      <c r="QXR19" s="1115"/>
      <c r="QXS19" s="1115"/>
      <c r="QXT19" s="1115"/>
      <c r="QXU19" s="1115"/>
      <c r="QXV19" s="1115"/>
      <c r="QXW19" s="1115"/>
      <c r="QXX19" s="1115"/>
      <c r="QXY19" s="1115"/>
      <c r="QXZ19" s="1115"/>
      <c r="QYA19" s="1115"/>
      <c r="QYB19" s="1115"/>
      <c r="QYC19" s="1115"/>
      <c r="QYD19" s="1115"/>
      <c r="QYE19" s="1115"/>
      <c r="QYF19" s="1115"/>
      <c r="QYG19" s="1115"/>
      <c r="QYH19" s="1115"/>
      <c r="QYI19" s="1115"/>
      <c r="QYJ19" s="1115"/>
      <c r="QYK19" s="1115"/>
      <c r="QYL19" s="1115"/>
      <c r="QYM19" s="1115"/>
      <c r="QYN19" s="1115"/>
      <c r="QYO19" s="1115"/>
      <c r="QYP19" s="1115"/>
      <c r="QYQ19" s="1115"/>
      <c r="QYR19" s="1115"/>
      <c r="QYS19" s="1115"/>
      <c r="QYT19" s="1115"/>
      <c r="QYU19" s="1115"/>
      <c r="QYV19" s="1115"/>
      <c r="QYW19" s="1115"/>
      <c r="QYX19" s="1115"/>
      <c r="QYY19" s="1115"/>
      <c r="QYZ19" s="1115"/>
      <c r="QZA19" s="1115"/>
      <c r="QZB19" s="1115"/>
      <c r="QZC19" s="1115"/>
      <c r="QZD19" s="1115"/>
      <c r="QZE19" s="1115"/>
      <c r="QZF19" s="1115"/>
      <c r="QZG19" s="1115"/>
      <c r="QZH19" s="1115"/>
      <c r="QZI19" s="1115"/>
      <c r="QZJ19" s="1115"/>
      <c r="QZK19" s="1115"/>
      <c r="QZL19" s="1115"/>
      <c r="QZM19" s="1115"/>
      <c r="QZN19" s="1115"/>
      <c r="QZO19" s="1115"/>
      <c r="QZP19" s="1115"/>
      <c r="QZQ19" s="1115"/>
      <c r="QZR19" s="1115"/>
      <c r="QZS19" s="1115"/>
      <c r="QZT19" s="1115"/>
      <c r="QZU19" s="1115"/>
      <c r="QZV19" s="1115"/>
      <c r="QZW19" s="1115"/>
      <c r="QZX19" s="1115"/>
      <c r="QZY19" s="1115"/>
      <c r="QZZ19" s="1115"/>
      <c r="RAA19" s="1115"/>
      <c r="RAB19" s="1115"/>
      <c r="RAC19" s="1115"/>
      <c r="RAD19" s="1115"/>
      <c r="RAE19" s="1115"/>
      <c r="RAF19" s="1115"/>
      <c r="RAG19" s="1115"/>
      <c r="RAH19" s="1115"/>
      <c r="RAI19" s="1115"/>
      <c r="RAJ19" s="1115"/>
      <c r="RAK19" s="1115"/>
      <c r="RAL19" s="1115"/>
      <c r="RAM19" s="1115"/>
      <c r="RAN19" s="1115"/>
      <c r="RAO19" s="1115"/>
      <c r="RAP19" s="1115"/>
      <c r="RAQ19" s="1115"/>
      <c r="RAR19" s="1115"/>
      <c r="RAS19" s="1115"/>
      <c r="RAT19" s="1115"/>
      <c r="RAU19" s="1115"/>
      <c r="RAV19" s="1115"/>
      <c r="RAW19" s="1115"/>
      <c r="RAX19" s="1115"/>
      <c r="RAY19" s="1115"/>
      <c r="RAZ19" s="1115"/>
      <c r="RBA19" s="1115"/>
      <c r="RBB19" s="1115"/>
      <c r="RBC19" s="1115"/>
      <c r="RBD19" s="1115"/>
      <c r="RBE19" s="1115"/>
      <c r="RBF19" s="1115"/>
      <c r="RBG19" s="1115"/>
      <c r="RBH19" s="1115"/>
      <c r="RBI19" s="1115"/>
      <c r="RBJ19" s="1115"/>
      <c r="RBK19" s="1115"/>
      <c r="RBL19" s="1115"/>
      <c r="RBM19" s="1115"/>
      <c r="RBN19" s="1115"/>
      <c r="RBO19" s="1115"/>
      <c r="RBP19" s="1115"/>
      <c r="RBQ19" s="1115"/>
      <c r="RBR19" s="1115"/>
      <c r="RBS19" s="1115"/>
      <c r="RBT19" s="1115"/>
      <c r="RBU19" s="1115"/>
      <c r="RBV19" s="1115"/>
      <c r="RBW19" s="1115"/>
      <c r="RBX19" s="1115"/>
      <c r="RBY19" s="1115"/>
      <c r="RBZ19" s="1115"/>
      <c r="RCA19" s="1115"/>
      <c r="RCB19" s="1115"/>
      <c r="RCC19" s="1115"/>
      <c r="RCD19" s="1115"/>
      <c r="RCE19" s="1115"/>
      <c r="RCF19" s="1115"/>
      <c r="RCG19" s="1115"/>
      <c r="RCH19" s="1115"/>
      <c r="RCI19" s="1115"/>
      <c r="RCJ19" s="1115"/>
      <c r="RCK19" s="1115"/>
      <c r="RCL19" s="1115"/>
      <c r="RCM19" s="1115"/>
      <c r="RCN19" s="1115"/>
      <c r="RCO19" s="1115"/>
      <c r="RCP19" s="1115"/>
      <c r="RCQ19" s="1115"/>
      <c r="RCR19" s="1115"/>
      <c r="RCS19" s="1115"/>
      <c r="RCT19" s="1115"/>
      <c r="RCU19" s="1115"/>
      <c r="RCV19" s="1115"/>
      <c r="RCW19" s="1115"/>
      <c r="RCX19" s="1115"/>
      <c r="RCY19" s="1115"/>
      <c r="RCZ19" s="1115"/>
      <c r="RDA19" s="1115"/>
      <c r="RDB19" s="1115"/>
      <c r="RDC19" s="1115"/>
      <c r="RDD19" s="1115"/>
      <c r="RDE19" s="1115"/>
      <c r="RDF19" s="1115"/>
      <c r="RDG19" s="1115"/>
      <c r="RDH19" s="1115"/>
      <c r="RDI19" s="1115"/>
      <c r="RDJ19" s="1115"/>
      <c r="RDK19" s="1115"/>
      <c r="RDL19" s="1115"/>
      <c r="RDM19" s="1115"/>
      <c r="RDN19" s="1115"/>
      <c r="RDO19" s="1115"/>
      <c r="RDP19" s="1115"/>
      <c r="RDQ19" s="1115"/>
      <c r="RDR19" s="1115"/>
      <c r="RDS19" s="1115"/>
      <c r="RDT19" s="1115"/>
      <c r="RDU19" s="1115"/>
      <c r="RDV19" s="1115"/>
      <c r="RDW19" s="1115"/>
      <c r="RDX19" s="1115"/>
      <c r="RDY19" s="1115"/>
      <c r="RDZ19" s="1115"/>
      <c r="REA19" s="1115"/>
      <c r="REB19" s="1115"/>
      <c r="REC19" s="1115"/>
      <c r="RED19" s="1115"/>
      <c r="REE19" s="1115"/>
      <c r="REF19" s="1115"/>
      <c r="REG19" s="1115"/>
      <c r="REH19" s="1115"/>
      <c r="REI19" s="1115"/>
      <c r="REJ19" s="1115"/>
      <c r="REK19" s="1115"/>
      <c r="REL19" s="1115"/>
      <c r="REM19" s="1115"/>
      <c r="REN19" s="1115"/>
      <c r="REO19" s="1115"/>
      <c r="REP19" s="1115"/>
      <c r="REQ19" s="1115"/>
      <c r="RER19" s="1115"/>
      <c r="RES19" s="1115"/>
      <c r="RET19" s="1115"/>
      <c r="REU19" s="1115"/>
      <c r="REV19" s="1115"/>
      <c r="REW19" s="1115"/>
      <c r="REX19" s="1115"/>
      <c r="REY19" s="1115"/>
      <c r="REZ19" s="1115"/>
      <c r="RFA19" s="1115"/>
      <c r="RFB19" s="1115"/>
      <c r="RFC19" s="1115"/>
      <c r="RFD19" s="1115"/>
      <c r="RFE19" s="1115"/>
      <c r="RFF19" s="1115"/>
      <c r="RFG19" s="1115"/>
      <c r="RFH19" s="1115"/>
      <c r="RFI19" s="1115"/>
      <c r="RFJ19" s="1115"/>
      <c r="RFK19" s="1115"/>
      <c r="RFL19" s="1115"/>
      <c r="RFM19" s="1115"/>
      <c r="RFN19" s="1115"/>
      <c r="RFO19" s="1115"/>
      <c r="RFP19" s="1115"/>
      <c r="RFQ19" s="1115"/>
      <c r="RFR19" s="1115"/>
      <c r="RFS19" s="1115"/>
      <c r="RFT19" s="1115"/>
      <c r="RFU19" s="1115"/>
      <c r="RFV19" s="1115"/>
      <c r="RFW19" s="1115"/>
      <c r="RFX19" s="1115"/>
      <c r="RFY19" s="1115"/>
      <c r="RFZ19" s="1115"/>
      <c r="RGA19" s="1115"/>
      <c r="RGB19" s="1115"/>
      <c r="RGC19" s="1115"/>
      <c r="RGD19" s="1115"/>
      <c r="RGE19" s="1115"/>
      <c r="RGF19" s="1115"/>
      <c r="RGG19" s="1115"/>
      <c r="RGH19" s="1115"/>
      <c r="RGI19" s="1115"/>
      <c r="RGJ19" s="1115"/>
      <c r="RGK19" s="1115"/>
      <c r="RGL19" s="1115"/>
      <c r="RGM19" s="1115"/>
      <c r="RGN19" s="1115"/>
      <c r="RGO19" s="1115"/>
      <c r="RGP19" s="1115"/>
      <c r="RGQ19" s="1115"/>
      <c r="RGR19" s="1115"/>
      <c r="RGS19" s="1115"/>
      <c r="RGT19" s="1115"/>
      <c r="RGU19" s="1115"/>
      <c r="RGV19" s="1115"/>
      <c r="RGW19" s="1115"/>
      <c r="RGX19" s="1115"/>
      <c r="RGY19" s="1115"/>
      <c r="RGZ19" s="1115"/>
      <c r="RHA19" s="1115"/>
      <c r="RHB19" s="1115"/>
      <c r="RHC19" s="1115"/>
      <c r="RHD19" s="1115"/>
      <c r="RHE19" s="1115"/>
      <c r="RHF19" s="1115"/>
      <c r="RHG19" s="1115"/>
      <c r="RHH19" s="1115"/>
      <c r="RHI19" s="1115"/>
      <c r="RHJ19" s="1115"/>
      <c r="RHK19" s="1115"/>
      <c r="RHL19" s="1115"/>
      <c r="RHM19" s="1115"/>
      <c r="RHN19" s="1115"/>
      <c r="RHO19" s="1115"/>
      <c r="RHP19" s="1115"/>
      <c r="RHQ19" s="1115"/>
      <c r="RHR19" s="1115"/>
      <c r="RHS19" s="1115"/>
      <c r="RHT19" s="1115"/>
      <c r="RHU19" s="1115"/>
      <c r="RHV19" s="1115"/>
      <c r="RHW19" s="1115"/>
      <c r="RHX19" s="1115"/>
      <c r="RHY19" s="1115"/>
      <c r="RHZ19" s="1115"/>
      <c r="RIA19" s="1115"/>
      <c r="RIB19" s="1115"/>
      <c r="RIC19" s="1115"/>
      <c r="RID19" s="1115"/>
      <c r="RIE19" s="1115"/>
      <c r="RIF19" s="1115"/>
      <c r="RIG19" s="1115"/>
      <c r="RIH19" s="1115"/>
      <c r="RII19" s="1115"/>
      <c r="RIJ19" s="1115"/>
      <c r="RIK19" s="1115"/>
      <c r="RIL19" s="1115"/>
      <c r="RIM19" s="1115"/>
      <c r="RIN19" s="1115"/>
      <c r="RIO19" s="1115"/>
      <c r="RIP19" s="1115"/>
      <c r="RIQ19" s="1115"/>
      <c r="RIR19" s="1115"/>
      <c r="RIS19" s="1115"/>
      <c r="RIT19" s="1115"/>
      <c r="RIU19" s="1115"/>
      <c r="RIV19" s="1115"/>
      <c r="RIW19" s="1115"/>
      <c r="RIX19" s="1115"/>
      <c r="RIY19" s="1115"/>
      <c r="RIZ19" s="1115"/>
      <c r="RJA19" s="1115"/>
      <c r="RJB19" s="1115"/>
      <c r="RJC19" s="1115"/>
      <c r="RJD19" s="1115"/>
      <c r="RJE19" s="1115"/>
      <c r="RJF19" s="1115"/>
      <c r="RJG19" s="1115"/>
      <c r="RJH19" s="1115"/>
      <c r="RJI19" s="1115"/>
      <c r="RJJ19" s="1115"/>
      <c r="RJK19" s="1115"/>
      <c r="RJL19" s="1115"/>
      <c r="RJM19" s="1115"/>
      <c r="RJN19" s="1115"/>
      <c r="RJO19" s="1115"/>
      <c r="RJP19" s="1115"/>
      <c r="RJQ19" s="1115"/>
      <c r="RJR19" s="1115"/>
      <c r="RJS19" s="1115"/>
      <c r="RJT19" s="1115"/>
      <c r="RJU19" s="1115"/>
      <c r="RJV19" s="1115"/>
      <c r="RJW19" s="1115"/>
      <c r="RJX19" s="1115"/>
      <c r="RJY19" s="1115"/>
      <c r="RJZ19" s="1115"/>
      <c r="RKA19" s="1115"/>
      <c r="RKB19" s="1115"/>
      <c r="RKC19" s="1115"/>
      <c r="RKD19" s="1115"/>
      <c r="RKE19" s="1115"/>
      <c r="RKF19" s="1115"/>
      <c r="RKG19" s="1115"/>
      <c r="RKH19" s="1115"/>
      <c r="RKI19" s="1115"/>
      <c r="RKJ19" s="1115"/>
      <c r="RKK19" s="1115"/>
      <c r="RKL19" s="1115"/>
      <c r="RKM19" s="1115"/>
      <c r="RKN19" s="1115"/>
      <c r="RKO19" s="1115"/>
      <c r="RKP19" s="1115"/>
      <c r="RKQ19" s="1115"/>
      <c r="RKR19" s="1115"/>
      <c r="RKS19" s="1115"/>
      <c r="RKT19" s="1115"/>
      <c r="RKU19" s="1115"/>
      <c r="RKV19" s="1115"/>
      <c r="RKW19" s="1115"/>
      <c r="RKX19" s="1115"/>
      <c r="RKY19" s="1115"/>
      <c r="RKZ19" s="1115"/>
      <c r="RLA19" s="1115"/>
      <c r="RLB19" s="1115"/>
      <c r="RLC19" s="1115"/>
      <c r="RLD19" s="1115"/>
      <c r="RLE19" s="1115"/>
      <c r="RLF19" s="1115"/>
      <c r="RLG19" s="1115"/>
      <c r="RLH19" s="1115"/>
      <c r="RLI19" s="1115"/>
      <c r="RLJ19" s="1115"/>
      <c r="RLK19" s="1115"/>
      <c r="RLL19" s="1115"/>
      <c r="RLM19" s="1115"/>
      <c r="RLN19" s="1115"/>
      <c r="RLO19" s="1115"/>
      <c r="RLP19" s="1115"/>
      <c r="RLQ19" s="1115"/>
      <c r="RLR19" s="1115"/>
      <c r="RLS19" s="1115"/>
      <c r="RLT19" s="1115"/>
      <c r="RLU19" s="1115"/>
      <c r="RLV19" s="1115"/>
      <c r="RLW19" s="1115"/>
      <c r="RLX19" s="1115"/>
      <c r="RLY19" s="1115"/>
      <c r="RLZ19" s="1115"/>
      <c r="RMA19" s="1115"/>
      <c r="RMB19" s="1115"/>
      <c r="RMC19" s="1115"/>
      <c r="RMD19" s="1115"/>
      <c r="RME19" s="1115"/>
      <c r="RMF19" s="1115"/>
      <c r="RMG19" s="1115"/>
      <c r="RMH19" s="1115"/>
      <c r="RMI19" s="1115"/>
      <c r="RMJ19" s="1115"/>
      <c r="RMK19" s="1115"/>
      <c r="RML19" s="1115"/>
      <c r="RMM19" s="1115"/>
      <c r="RMN19" s="1115"/>
      <c r="RMO19" s="1115"/>
      <c r="RMP19" s="1115"/>
      <c r="RMQ19" s="1115"/>
      <c r="RMR19" s="1115"/>
      <c r="RMS19" s="1115"/>
      <c r="RMT19" s="1115"/>
      <c r="RMU19" s="1115"/>
      <c r="RMV19" s="1115"/>
      <c r="RMW19" s="1115"/>
      <c r="RMX19" s="1115"/>
      <c r="RMY19" s="1115"/>
      <c r="RMZ19" s="1115"/>
      <c r="RNA19" s="1115"/>
      <c r="RNB19" s="1115"/>
      <c r="RNC19" s="1115"/>
      <c r="RND19" s="1115"/>
      <c r="RNE19" s="1115"/>
      <c r="RNF19" s="1115"/>
      <c r="RNG19" s="1115"/>
      <c r="RNH19" s="1115"/>
      <c r="RNI19" s="1115"/>
      <c r="RNJ19" s="1115"/>
      <c r="RNK19" s="1115"/>
      <c r="RNL19" s="1115"/>
      <c r="RNM19" s="1115"/>
      <c r="RNN19" s="1115"/>
      <c r="RNO19" s="1115"/>
      <c r="RNP19" s="1115"/>
      <c r="RNQ19" s="1115"/>
      <c r="RNR19" s="1115"/>
      <c r="RNS19" s="1115"/>
      <c r="RNT19" s="1115"/>
      <c r="RNU19" s="1115"/>
      <c r="RNV19" s="1115"/>
      <c r="RNW19" s="1115"/>
      <c r="RNX19" s="1115"/>
      <c r="RNY19" s="1115"/>
      <c r="RNZ19" s="1115"/>
      <c r="ROA19" s="1115"/>
      <c r="ROB19" s="1115"/>
      <c r="ROC19" s="1115"/>
      <c r="ROD19" s="1115"/>
      <c r="ROE19" s="1115"/>
      <c r="ROF19" s="1115"/>
      <c r="ROG19" s="1115"/>
      <c r="ROH19" s="1115"/>
      <c r="ROI19" s="1115"/>
      <c r="ROJ19" s="1115"/>
      <c r="ROK19" s="1115"/>
      <c r="ROL19" s="1115"/>
      <c r="ROM19" s="1115"/>
      <c r="RON19" s="1115"/>
      <c r="ROO19" s="1115"/>
      <c r="ROP19" s="1115"/>
      <c r="ROQ19" s="1115"/>
      <c r="ROR19" s="1115"/>
      <c r="ROS19" s="1115"/>
      <c r="ROT19" s="1115"/>
      <c r="ROU19" s="1115"/>
      <c r="ROV19" s="1115"/>
      <c r="ROW19" s="1115"/>
      <c r="ROX19" s="1115"/>
      <c r="ROY19" s="1115"/>
      <c r="ROZ19" s="1115"/>
      <c r="RPA19" s="1115"/>
      <c r="RPB19" s="1115"/>
      <c r="RPC19" s="1115"/>
      <c r="RPD19" s="1115"/>
      <c r="RPE19" s="1115"/>
      <c r="RPF19" s="1115"/>
      <c r="RPG19" s="1115"/>
      <c r="RPH19" s="1115"/>
      <c r="RPI19" s="1115"/>
      <c r="RPJ19" s="1115"/>
      <c r="RPK19" s="1115"/>
      <c r="RPL19" s="1115"/>
      <c r="RPM19" s="1115"/>
      <c r="RPN19" s="1115"/>
      <c r="RPO19" s="1115"/>
      <c r="RPP19" s="1115"/>
      <c r="RPQ19" s="1115"/>
      <c r="RPR19" s="1115"/>
      <c r="RPS19" s="1115"/>
      <c r="RPT19" s="1115"/>
      <c r="RPU19" s="1115"/>
      <c r="RPV19" s="1115"/>
      <c r="RPW19" s="1115"/>
      <c r="RPX19" s="1115"/>
      <c r="RPY19" s="1115"/>
      <c r="RPZ19" s="1115"/>
      <c r="RQA19" s="1115"/>
      <c r="RQB19" s="1115"/>
      <c r="RQC19" s="1115"/>
      <c r="RQD19" s="1115"/>
      <c r="RQE19" s="1115"/>
      <c r="RQF19" s="1115"/>
      <c r="RQG19" s="1115"/>
      <c r="RQH19" s="1115"/>
      <c r="RQI19" s="1115"/>
      <c r="RQJ19" s="1115"/>
      <c r="RQK19" s="1115"/>
      <c r="RQL19" s="1115"/>
      <c r="RQM19" s="1115"/>
      <c r="RQN19" s="1115"/>
      <c r="RQO19" s="1115"/>
      <c r="RQP19" s="1115"/>
      <c r="RQQ19" s="1115"/>
      <c r="RQR19" s="1115"/>
      <c r="RQS19" s="1115"/>
      <c r="RQT19" s="1115"/>
      <c r="RQU19" s="1115"/>
      <c r="RQV19" s="1115"/>
      <c r="RQW19" s="1115"/>
      <c r="RQX19" s="1115"/>
      <c r="RQY19" s="1115"/>
      <c r="RQZ19" s="1115"/>
      <c r="RRA19" s="1115"/>
      <c r="RRB19" s="1115"/>
      <c r="RRC19" s="1115"/>
      <c r="RRD19" s="1115"/>
      <c r="RRE19" s="1115"/>
      <c r="RRF19" s="1115"/>
      <c r="RRG19" s="1115"/>
      <c r="RRH19" s="1115"/>
      <c r="RRI19" s="1115"/>
      <c r="RRJ19" s="1115"/>
      <c r="RRK19" s="1115"/>
      <c r="RRL19" s="1115"/>
      <c r="RRM19" s="1115"/>
      <c r="RRN19" s="1115"/>
      <c r="RRO19" s="1115"/>
      <c r="RRP19" s="1115"/>
      <c r="RRQ19" s="1115"/>
      <c r="RRR19" s="1115"/>
      <c r="RRS19" s="1115"/>
      <c r="RRT19" s="1115"/>
      <c r="RRU19" s="1115"/>
      <c r="RRV19" s="1115"/>
      <c r="RRW19" s="1115"/>
      <c r="RRX19" s="1115"/>
      <c r="RRY19" s="1115"/>
      <c r="RRZ19" s="1115"/>
      <c r="RSA19" s="1115"/>
      <c r="RSB19" s="1115"/>
      <c r="RSC19" s="1115"/>
      <c r="RSD19" s="1115"/>
      <c r="RSE19" s="1115"/>
      <c r="RSF19" s="1115"/>
      <c r="RSG19" s="1115"/>
      <c r="RSH19" s="1115"/>
      <c r="RSI19" s="1115"/>
      <c r="RSJ19" s="1115"/>
      <c r="RSK19" s="1115"/>
      <c r="RSL19" s="1115"/>
      <c r="RSM19" s="1115"/>
      <c r="RSN19" s="1115"/>
      <c r="RSO19" s="1115"/>
      <c r="RSP19" s="1115"/>
      <c r="RSQ19" s="1115"/>
      <c r="RSR19" s="1115"/>
      <c r="RSS19" s="1115"/>
      <c r="RST19" s="1115"/>
      <c r="RSU19" s="1115"/>
      <c r="RSV19" s="1115"/>
      <c r="RSW19" s="1115"/>
      <c r="RSX19" s="1115"/>
      <c r="RSY19" s="1115"/>
      <c r="RSZ19" s="1115"/>
      <c r="RTA19" s="1115"/>
      <c r="RTB19" s="1115"/>
      <c r="RTC19" s="1115"/>
      <c r="RTD19" s="1115"/>
      <c r="RTE19" s="1115"/>
      <c r="RTF19" s="1115"/>
      <c r="RTG19" s="1115"/>
      <c r="RTH19" s="1115"/>
      <c r="RTI19" s="1115"/>
      <c r="RTJ19" s="1115"/>
      <c r="RTK19" s="1115"/>
      <c r="RTL19" s="1115"/>
      <c r="RTM19" s="1115"/>
      <c r="RTN19" s="1115"/>
      <c r="RTO19" s="1115"/>
      <c r="RTP19" s="1115"/>
      <c r="RTQ19" s="1115"/>
      <c r="RTR19" s="1115"/>
      <c r="RTS19" s="1115"/>
      <c r="RTT19" s="1115"/>
      <c r="RTU19" s="1115"/>
      <c r="RTV19" s="1115"/>
      <c r="RTW19" s="1115"/>
      <c r="RTX19" s="1115"/>
      <c r="RTY19" s="1115"/>
      <c r="RTZ19" s="1115"/>
      <c r="RUA19" s="1115"/>
      <c r="RUB19" s="1115"/>
      <c r="RUC19" s="1115"/>
      <c r="RUD19" s="1115"/>
      <c r="RUE19" s="1115"/>
      <c r="RUF19" s="1115"/>
      <c r="RUG19" s="1115"/>
      <c r="RUH19" s="1115"/>
      <c r="RUI19" s="1115"/>
      <c r="RUJ19" s="1115"/>
      <c r="RUK19" s="1115"/>
      <c r="RUL19" s="1115"/>
      <c r="RUM19" s="1115"/>
      <c r="RUN19" s="1115"/>
      <c r="RUO19" s="1115"/>
      <c r="RUP19" s="1115"/>
      <c r="RUQ19" s="1115"/>
      <c r="RUR19" s="1115"/>
      <c r="RUS19" s="1115"/>
      <c r="RUT19" s="1115"/>
      <c r="RUU19" s="1115"/>
      <c r="RUV19" s="1115"/>
      <c r="RUW19" s="1115"/>
      <c r="RUX19" s="1115"/>
      <c r="RUY19" s="1115"/>
      <c r="RUZ19" s="1115"/>
      <c r="RVA19" s="1115"/>
      <c r="RVB19" s="1115"/>
      <c r="RVC19" s="1115"/>
      <c r="RVD19" s="1115"/>
      <c r="RVE19" s="1115"/>
      <c r="RVF19" s="1115"/>
      <c r="RVG19" s="1115"/>
      <c r="RVH19" s="1115"/>
      <c r="RVI19" s="1115"/>
      <c r="RVJ19" s="1115"/>
      <c r="RVK19" s="1115"/>
      <c r="RVL19" s="1115"/>
      <c r="RVM19" s="1115"/>
      <c r="RVN19" s="1115"/>
      <c r="RVO19" s="1115"/>
      <c r="RVP19" s="1115"/>
      <c r="RVQ19" s="1115"/>
      <c r="RVR19" s="1115"/>
      <c r="RVS19" s="1115"/>
      <c r="RVT19" s="1115"/>
      <c r="RVU19" s="1115"/>
      <c r="RVV19" s="1115"/>
      <c r="RVW19" s="1115"/>
      <c r="RVX19" s="1115"/>
      <c r="RVY19" s="1115"/>
      <c r="RVZ19" s="1115"/>
      <c r="RWA19" s="1115"/>
      <c r="RWB19" s="1115"/>
      <c r="RWC19" s="1115"/>
      <c r="RWD19" s="1115"/>
      <c r="RWE19" s="1115"/>
      <c r="RWF19" s="1115"/>
      <c r="RWG19" s="1115"/>
      <c r="RWH19" s="1115"/>
      <c r="RWI19" s="1115"/>
      <c r="RWJ19" s="1115"/>
      <c r="RWK19" s="1115"/>
      <c r="RWL19" s="1115"/>
      <c r="RWM19" s="1115"/>
      <c r="RWN19" s="1115"/>
      <c r="RWO19" s="1115"/>
      <c r="RWP19" s="1115"/>
      <c r="RWQ19" s="1115"/>
      <c r="RWR19" s="1115"/>
      <c r="RWS19" s="1115"/>
      <c r="RWT19" s="1115"/>
      <c r="RWU19" s="1115"/>
      <c r="RWV19" s="1115"/>
      <c r="RWW19" s="1115"/>
      <c r="RWX19" s="1115"/>
      <c r="RWY19" s="1115"/>
      <c r="RWZ19" s="1115"/>
      <c r="RXA19" s="1115"/>
      <c r="RXB19" s="1115"/>
      <c r="RXC19" s="1115"/>
      <c r="RXD19" s="1115"/>
      <c r="RXE19" s="1115"/>
      <c r="RXF19" s="1115"/>
      <c r="RXG19" s="1115"/>
      <c r="RXH19" s="1115"/>
      <c r="RXI19" s="1115"/>
      <c r="RXJ19" s="1115"/>
      <c r="RXK19" s="1115"/>
      <c r="RXL19" s="1115"/>
      <c r="RXM19" s="1115"/>
      <c r="RXN19" s="1115"/>
      <c r="RXO19" s="1115"/>
      <c r="RXP19" s="1115"/>
      <c r="RXQ19" s="1115"/>
      <c r="RXR19" s="1115"/>
      <c r="RXS19" s="1115"/>
      <c r="RXT19" s="1115"/>
      <c r="RXU19" s="1115"/>
      <c r="RXV19" s="1115"/>
      <c r="RXW19" s="1115"/>
      <c r="RXX19" s="1115"/>
      <c r="RXY19" s="1115"/>
      <c r="RXZ19" s="1115"/>
      <c r="RYA19" s="1115"/>
      <c r="RYB19" s="1115"/>
      <c r="RYC19" s="1115"/>
      <c r="RYD19" s="1115"/>
      <c r="RYE19" s="1115"/>
      <c r="RYF19" s="1115"/>
      <c r="RYG19" s="1115"/>
      <c r="RYH19" s="1115"/>
      <c r="RYI19" s="1115"/>
      <c r="RYJ19" s="1115"/>
      <c r="RYK19" s="1115"/>
      <c r="RYL19" s="1115"/>
      <c r="RYM19" s="1115"/>
      <c r="RYN19" s="1115"/>
      <c r="RYO19" s="1115"/>
      <c r="RYP19" s="1115"/>
      <c r="RYQ19" s="1115"/>
      <c r="RYR19" s="1115"/>
      <c r="RYS19" s="1115"/>
      <c r="RYT19" s="1115"/>
      <c r="RYU19" s="1115"/>
      <c r="RYV19" s="1115"/>
      <c r="RYW19" s="1115"/>
      <c r="RYX19" s="1115"/>
      <c r="RYY19" s="1115"/>
      <c r="RYZ19" s="1115"/>
      <c r="RZA19" s="1115"/>
      <c r="RZB19" s="1115"/>
      <c r="RZC19" s="1115"/>
      <c r="RZD19" s="1115"/>
      <c r="RZE19" s="1115"/>
      <c r="RZF19" s="1115"/>
      <c r="RZG19" s="1115"/>
      <c r="RZH19" s="1115"/>
      <c r="RZI19" s="1115"/>
      <c r="RZJ19" s="1115"/>
      <c r="RZK19" s="1115"/>
      <c r="RZL19" s="1115"/>
      <c r="RZM19" s="1115"/>
      <c r="RZN19" s="1115"/>
      <c r="RZO19" s="1115"/>
      <c r="RZP19" s="1115"/>
      <c r="RZQ19" s="1115"/>
      <c r="RZR19" s="1115"/>
      <c r="RZS19" s="1115"/>
      <c r="RZT19" s="1115"/>
      <c r="RZU19" s="1115"/>
      <c r="RZV19" s="1115"/>
      <c r="RZW19" s="1115"/>
      <c r="RZX19" s="1115"/>
      <c r="RZY19" s="1115"/>
      <c r="RZZ19" s="1115"/>
      <c r="SAA19" s="1115"/>
      <c r="SAB19" s="1115"/>
      <c r="SAC19" s="1115"/>
      <c r="SAD19" s="1115"/>
      <c r="SAE19" s="1115"/>
      <c r="SAF19" s="1115"/>
      <c r="SAG19" s="1115"/>
      <c r="SAH19" s="1115"/>
      <c r="SAI19" s="1115"/>
      <c r="SAJ19" s="1115"/>
      <c r="SAK19" s="1115"/>
      <c r="SAL19" s="1115"/>
      <c r="SAM19" s="1115"/>
      <c r="SAN19" s="1115"/>
      <c r="SAO19" s="1115"/>
      <c r="SAP19" s="1115"/>
      <c r="SAQ19" s="1115"/>
      <c r="SAR19" s="1115"/>
      <c r="SAS19" s="1115"/>
      <c r="SAT19" s="1115"/>
      <c r="SAU19" s="1115"/>
      <c r="SAV19" s="1115"/>
      <c r="SAW19" s="1115"/>
      <c r="SAX19" s="1115"/>
      <c r="SAY19" s="1115"/>
      <c r="SAZ19" s="1115"/>
      <c r="SBA19" s="1115"/>
      <c r="SBB19" s="1115"/>
      <c r="SBC19" s="1115"/>
      <c r="SBD19" s="1115"/>
      <c r="SBE19" s="1115"/>
      <c r="SBF19" s="1115"/>
      <c r="SBG19" s="1115"/>
      <c r="SBH19" s="1115"/>
      <c r="SBI19" s="1115"/>
      <c r="SBJ19" s="1115"/>
      <c r="SBK19" s="1115"/>
      <c r="SBL19" s="1115"/>
      <c r="SBM19" s="1115"/>
      <c r="SBN19" s="1115"/>
      <c r="SBO19" s="1115"/>
      <c r="SBP19" s="1115"/>
      <c r="SBQ19" s="1115"/>
      <c r="SBR19" s="1115"/>
      <c r="SBS19" s="1115"/>
      <c r="SBT19" s="1115"/>
      <c r="SBU19" s="1115"/>
      <c r="SBV19" s="1115"/>
      <c r="SBW19" s="1115"/>
      <c r="SBX19" s="1115"/>
      <c r="SBY19" s="1115"/>
      <c r="SBZ19" s="1115"/>
      <c r="SCA19" s="1115"/>
      <c r="SCB19" s="1115"/>
      <c r="SCC19" s="1115"/>
      <c r="SCD19" s="1115"/>
      <c r="SCE19" s="1115"/>
      <c r="SCF19" s="1115"/>
      <c r="SCG19" s="1115"/>
      <c r="SCH19" s="1115"/>
      <c r="SCI19" s="1115"/>
      <c r="SCJ19" s="1115"/>
      <c r="SCK19" s="1115"/>
      <c r="SCL19" s="1115"/>
      <c r="SCM19" s="1115"/>
      <c r="SCN19" s="1115"/>
      <c r="SCO19" s="1115"/>
      <c r="SCP19" s="1115"/>
      <c r="SCQ19" s="1115"/>
      <c r="SCR19" s="1115"/>
      <c r="SCS19" s="1115"/>
      <c r="SCT19" s="1115"/>
      <c r="SCU19" s="1115"/>
      <c r="SCV19" s="1115"/>
      <c r="SCW19" s="1115"/>
      <c r="SCX19" s="1115"/>
      <c r="SCY19" s="1115"/>
      <c r="SCZ19" s="1115"/>
      <c r="SDA19" s="1115"/>
      <c r="SDB19" s="1115"/>
      <c r="SDC19" s="1115"/>
      <c r="SDD19" s="1115"/>
      <c r="SDE19" s="1115"/>
      <c r="SDF19" s="1115"/>
      <c r="SDG19" s="1115"/>
      <c r="SDH19" s="1115"/>
      <c r="SDI19" s="1115"/>
      <c r="SDJ19" s="1115"/>
      <c r="SDK19" s="1115"/>
      <c r="SDL19" s="1115"/>
      <c r="SDM19" s="1115"/>
      <c r="SDN19" s="1115"/>
      <c r="SDO19" s="1115"/>
      <c r="SDP19" s="1115"/>
      <c r="SDQ19" s="1115"/>
      <c r="SDR19" s="1115"/>
      <c r="SDS19" s="1115"/>
      <c r="SDT19" s="1115"/>
      <c r="SDU19" s="1115"/>
      <c r="SDV19" s="1115"/>
      <c r="SDW19" s="1115"/>
      <c r="SDX19" s="1115"/>
      <c r="SDY19" s="1115"/>
      <c r="SDZ19" s="1115"/>
      <c r="SEA19" s="1115"/>
      <c r="SEB19" s="1115"/>
      <c r="SEC19" s="1115"/>
      <c r="SED19" s="1115"/>
      <c r="SEE19" s="1115"/>
      <c r="SEF19" s="1115"/>
      <c r="SEG19" s="1115"/>
      <c r="SEH19" s="1115"/>
      <c r="SEI19" s="1115"/>
      <c r="SEJ19" s="1115"/>
      <c r="SEK19" s="1115"/>
      <c r="SEL19" s="1115"/>
      <c r="SEM19" s="1115"/>
      <c r="SEN19" s="1115"/>
      <c r="SEO19" s="1115"/>
      <c r="SEP19" s="1115"/>
      <c r="SEQ19" s="1115"/>
      <c r="SER19" s="1115"/>
      <c r="SES19" s="1115"/>
      <c r="SET19" s="1115"/>
      <c r="SEU19" s="1115"/>
      <c r="SEV19" s="1115"/>
      <c r="SEW19" s="1115"/>
      <c r="SEX19" s="1115"/>
      <c r="SEY19" s="1115"/>
      <c r="SEZ19" s="1115"/>
      <c r="SFA19" s="1115"/>
      <c r="SFB19" s="1115"/>
      <c r="SFC19" s="1115"/>
      <c r="SFD19" s="1115"/>
      <c r="SFE19" s="1115"/>
      <c r="SFF19" s="1115"/>
      <c r="SFG19" s="1115"/>
      <c r="SFH19" s="1115"/>
      <c r="SFI19" s="1115"/>
      <c r="SFJ19" s="1115"/>
      <c r="SFK19" s="1115"/>
      <c r="SFL19" s="1115"/>
      <c r="SFM19" s="1115"/>
      <c r="SFN19" s="1115"/>
      <c r="SFO19" s="1115"/>
      <c r="SFP19" s="1115"/>
      <c r="SFQ19" s="1115"/>
      <c r="SFR19" s="1115"/>
      <c r="SFS19" s="1115"/>
      <c r="SFT19" s="1115"/>
      <c r="SFU19" s="1115"/>
      <c r="SFV19" s="1115"/>
      <c r="SFW19" s="1115"/>
      <c r="SFX19" s="1115"/>
      <c r="SFY19" s="1115"/>
      <c r="SFZ19" s="1115"/>
      <c r="SGA19" s="1115"/>
      <c r="SGB19" s="1115"/>
      <c r="SGC19" s="1115"/>
      <c r="SGD19" s="1115"/>
      <c r="SGE19" s="1115"/>
      <c r="SGF19" s="1115"/>
      <c r="SGG19" s="1115"/>
      <c r="SGH19" s="1115"/>
      <c r="SGI19" s="1115"/>
      <c r="SGJ19" s="1115"/>
      <c r="SGK19" s="1115"/>
      <c r="SGL19" s="1115"/>
      <c r="SGM19" s="1115"/>
      <c r="SGN19" s="1115"/>
      <c r="SGO19" s="1115"/>
      <c r="SGP19" s="1115"/>
      <c r="SGQ19" s="1115"/>
      <c r="SGR19" s="1115"/>
      <c r="SGS19" s="1115"/>
      <c r="SGT19" s="1115"/>
      <c r="SGU19" s="1115"/>
      <c r="SGV19" s="1115"/>
      <c r="SGW19" s="1115"/>
      <c r="SGX19" s="1115"/>
      <c r="SGY19" s="1115"/>
      <c r="SGZ19" s="1115"/>
      <c r="SHA19" s="1115"/>
      <c r="SHB19" s="1115"/>
      <c r="SHC19" s="1115"/>
      <c r="SHD19" s="1115"/>
      <c r="SHE19" s="1115"/>
      <c r="SHF19" s="1115"/>
      <c r="SHG19" s="1115"/>
      <c r="SHH19" s="1115"/>
      <c r="SHI19" s="1115"/>
      <c r="SHJ19" s="1115"/>
      <c r="SHK19" s="1115"/>
      <c r="SHL19" s="1115"/>
      <c r="SHM19" s="1115"/>
      <c r="SHN19" s="1115"/>
      <c r="SHO19" s="1115"/>
      <c r="SHP19" s="1115"/>
      <c r="SHQ19" s="1115"/>
      <c r="SHR19" s="1115"/>
      <c r="SHS19" s="1115"/>
      <c r="SHT19" s="1115"/>
      <c r="SHU19" s="1115"/>
      <c r="SHV19" s="1115"/>
      <c r="SHW19" s="1115"/>
      <c r="SHX19" s="1115"/>
      <c r="SHY19" s="1115"/>
      <c r="SHZ19" s="1115"/>
      <c r="SIA19" s="1115"/>
      <c r="SIB19" s="1115"/>
      <c r="SIC19" s="1115"/>
      <c r="SID19" s="1115"/>
      <c r="SIE19" s="1115"/>
      <c r="SIF19" s="1115"/>
      <c r="SIG19" s="1115"/>
      <c r="SIH19" s="1115"/>
      <c r="SII19" s="1115"/>
      <c r="SIJ19" s="1115"/>
      <c r="SIK19" s="1115"/>
      <c r="SIL19" s="1115"/>
      <c r="SIM19" s="1115"/>
      <c r="SIN19" s="1115"/>
      <c r="SIO19" s="1115"/>
      <c r="SIP19" s="1115"/>
      <c r="SIQ19" s="1115"/>
      <c r="SIR19" s="1115"/>
      <c r="SIS19" s="1115"/>
      <c r="SIT19" s="1115"/>
      <c r="SIU19" s="1115"/>
      <c r="SIV19" s="1115"/>
      <c r="SIW19" s="1115"/>
      <c r="SIX19" s="1115"/>
      <c r="SIY19" s="1115"/>
      <c r="SIZ19" s="1115"/>
      <c r="SJA19" s="1115"/>
      <c r="SJB19" s="1115"/>
      <c r="SJC19" s="1115"/>
      <c r="SJD19" s="1115"/>
      <c r="SJE19" s="1115"/>
      <c r="SJF19" s="1115"/>
      <c r="SJG19" s="1115"/>
      <c r="SJH19" s="1115"/>
      <c r="SJI19" s="1115"/>
      <c r="SJJ19" s="1115"/>
      <c r="SJK19" s="1115"/>
      <c r="SJL19" s="1115"/>
      <c r="SJM19" s="1115"/>
      <c r="SJN19" s="1115"/>
      <c r="SJO19" s="1115"/>
      <c r="SJP19" s="1115"/>
      <c r="SJQ19" s="1115"/>
      <c r="SJR19" s="1115"/>
      <c r="SJS19" s="1115"/>
      <c r="SJT19" s="1115"/>
      <c r="SJU19" s="1115"/>
      <c r="SJV19" s="1115"/>
      <c r="SJW19" s="1115"/>
      <c r="SJX19" s="1115"/>
      <c r="SJY19" s="1115"/>
      <c r="SJZ19" s="1115"/>
      <c r="SKA19" s="1115"/>
      <c r="SKB19" s="1115"/>
      <c r="SKC19" s="1115"/>
      <c r="SKD19" s="1115"/>
      <c r="SKE19" s="1115"/>
      <c r="SKF19" s="1115"/>
      <c r="SKG19" s="1115"/>
      <c r="SKH19" s="1115"/>
      <c r="SKI19" s="1115"/>
      <c r="SKJ19" s="1115"/>
      <c r="SKK19" s="1115"/>
      <c r="SKL19" s="1115"/>
      <c r="SKM19" s="1115"/>
      <c r="SKN19" s="1115"/>
      <c r="SKO19" s="1115"/>
      <c r="SKP19" s="1115"/>
      <c r="SKQ19" s="1115"/>
      <c r="SKR19" s="1115"/>
      <c r="SKS19" s="1115"/>
      <c r="SKT19" s="1115"/>
      <c r="SKU19" s="1115"/>
      <c r="SKV19" s="1115"/>
      <c r="SKW19" s="1115"/>
      <c r="SKX19" s="1115"/>
      <c r="SKY19" s="1115"/>
      <c r="SKZ19" s="1115"/>
      <c r="SLA19" s="1115"/>
      <c r="SLB19" s="1115"/>
      <c r="SLC19" s="1115"/>
      <c r="SLD19" s="1115"/>
      <c r="SLE19" s="1115"/>
      <c r="SLF19" s="1115"/>
      <c r="SLG19" s="1115"/>
      <c r="SLH19" s="1115"/>
      <c r="SLI19" s="1115"/>
      <c r="SLJ19" s="1115"/>
      <c r="SLK19" s="1115"/>
      <c r="SLL19" s="1115"/>
      <c r="SLM19" s="1115"/>
      <c r="SLN19" s="1115"/>
      <c r="SLO19" s="1115"/>
      <c r="SLP19" s="1115"/>
      <c r="SLQ19" s="1115"/>
      <c r="SLR19" s="1115"/>
      <c r="SLS19" s="1115"/>
      <c r="SLT19" s="1115"/>
      <c r="SLU19" s="1115"/>
      <c r="SLV19" s="1115"/>
      <c r="SLW19" s="1115"/>
      <c r="SLX19" s="1115"/>
      <c r="SLY19" s="1115"/>
      <c r="SLZ19" s="1115"/>
      <c r="SMA19" s="1115"/>
      <c r="SMB19" s="1115"/>
      <c r="SMC19" s="1115"/>
      <c r="SMD19" s="1115"/>
      <c r="SME19" s="1115"/>
      <c r="SMF19" s="1115"/>
      <c r="SMG19" s="1115"/>
      <c r="SMH19" s="1115"/>
      <c r="SMI19" s="1115"/>
      <c r="SMJ19" s="1115"/>
      <c r="SMK19" s="1115"/>
      <c r="SML19" s="1115"/>
      <c r="SMM19" s="1115"/>
      <c r="SMN19" s="1115"/>
      <c r="SMO19" s="1115"/>
      <c r="SMP19" s="1115"/>
      <c r="SMQ19" s="1115"/>
      <c r="SMR19" s="1115"/>
      <c r="SMS19" s="1115"/>
      <c r="SMT19" s="1115"/>
      <c r="SMU19" s="1115"/>
      <c r="SMV19" s="1115"/>
      <c r="SMW19" s="1115"/>
      <c r="SMX19" s="1115"/>
      <c r="SMY19" s="1115"/>
      <c r="SMZ19" s="1115"/>
      <c r="SNA19" s="1115"/>
      <c r="SNB19" s="1115"/>
      <c r="SNC19" s="1115"/>
      <c r="SND19" s="1115"/>
      <c r="SNE19" s="1115"/>
      <c r="SNF19" s="1115"/>
      <c r="SNG19" s="1115"/>
      <c r="SNH19" s="1115"/>
      <c r="SNI19" s="1115"/>
      <c r="SNJ19" s="1115"/>
      <c r="SNK19" s="1115"/>
      <c r="SNL19" s="1115"/>
      <c r="SNM19" s="1115"/>
      <c r="SNN19" s="1115"/>
      <c r="SNO19" s="1115"/>
      <c r="SNP19" s="1115"/>
      <c r="SNQ19" s="1115"/>
      <c r="SNR19" s="1115"/>
      <c r="SNS19" s="1115"/>
      <c r="SNT19" s="1115"/>
      <c r="SNU19" s="1115"/>
      <c r="SNV19" s="1115"/>
      <c r="SNW19" s="1115"/>
      <c r="SNX19" s="1115"/>
      <c r="SNY19" s="1115"/>
      <c r="SNZ19" s="1115"/>
      <c r="SOA19" s="1115"/>
      <c r="SOB19" s="1115"/>
      <c r="SOC19" s="1115"/>
      <c r="SOD19" s="1115"/>
      <c r="SOE19" s="1115"/>
      <c r="SOF19" s="1115"/>
      <c r="SOG19" s="1115"/>
      <c r="SOH19" s="1115"/>
      <c r="SOI19" s="1115"/>
      <c r="SOJ19" s="1115"/>
      <c r="SOK19" s="1115"/>
      <c r="SOL19" s="1115"/>
      <c r="SOM19" s="1115"/>
      <c r="SON19" s="1115"/>
      <c r="SOO19" s="1115"/>
      <c r="SOP19" s="1115"/>
      <c r="SOQ19" s="1115"/>
      <c r="SOR19" s="1115"/>
      <c r="SOS19" s="1115"/>
      <c r="SOT19" s="1115"/>
      <c r="SOU19" s="1115"/>
      <c r="SOV19" s="1115"/>
      <c r="SOW19" s="1115"/>
      <c r="SOX19" s="1115"/>
      <c r="SOY19" s="1115"/>
      <c r="SOZ19" s="1115"/>
      <c r="SPA19" s="1115"/>
      <c r="SPB19" s="1115"/>
      <c r="SPC19" s="1115"/>
      <c r="SPD19" s="1115"/>
      <c r="SPE19" s="1115"/>
      <c r="SPF19" s="1115"/>
      <c r="SPG19" s="1115"/>
      <c r="SPH19" s="1115"/>
      <c r="SPI19" s="1115"/>
      <c r="SPJ19" s="1115"/>
      <c r="SPK19" s="1115"/>
      <c r="SPL19" s="1115"/>
      <c r="SPM19" s="1115"/>
      <c r="SPN19" s="1115"/>
      <c r="SPO19" s="1115"/>
      <c r="SPP19" s="1115"/>
      <c r="SPQ19" s="1115"/>
      <c r="SPR19" s="1115"/>
      <c r="SPS19" s="1115"/>
      <c r="SPT19" s="1115"/>
      <c r="SPU19" s="1115"/>
      <c r="SPV19" s="1115"/>
      <c r="SPW19" s="1115"/>
      <c r="SPX19" s="1115"/>
      <c r="SPY19" s="1115"/>
      <c r="SPZ19" s="1115"/>
      <c r="SQA19" s="1115"/>
      <c r="SQB19" s="1115"/>
      <c r="SQC19" s="1115"/>
      <c r="SQD19" s="1115"/>
      <c r="SQE19" s="1115"/>
      <c r="SQF19" s="1115"/>
      <c r="SQG19" s="1115"/>
      <c r="SQH19" s="1115"/>
      <c r="SQI19" s="1115"/>
      <c r="SQJ19" s="1115"/>
      <c r="SQK19" s="1115"/>
      <c r="SQL19" s="1115"/>
      <c r="SQM19" s="1115"/>
      <c r="SQN19" s="1115"/>
      <c r="SQO19" s="1115"/>
      <c r="SQP19" s="1115"/>
      <c r="SQQ19" s="1115"/>
      <c r="SQR19" s="1115"/>
      <c r="SQS19" s="1115"/>
      <c r="SQT19" s="1115"/>
      <c r="SQU19" s="1115"/>
      <c r="SQV19" s="1115"/>
      <c r="SQW19" s="1115"/>
      <c r="SQX19" s="1115"/>
      <c r="SQY19" s="1115"/>
      <c r="SQZ19" s="1115"/>
      <c r="SRA19" s="1115"/>
      <c r="SRB19" s="1115"/>
      <c r="SRC19" s="1115"/>
      <c r="SRD19" s="1115"/>
      <c r="SRE19" s="1115"/>
      <c r="SRF19" s="1115"/>
      <c r="SRG19" s="1115"/>
      <c r="SRH19" s="1115"/>
      <c r="SRI19" s="1115"/>
      <c r="SRJ19" s="1115"/>
      <c r="SRK19" s="1115"/>
      <c r="SRL19" s="1115"/>
      <c r="SRM19" s="1115"/>
      <c r="SRN19" s="1115"/>
      <c r="SRO19" s="1115"/>
      <c r="SRP19" s="1115"/>
      <c r="SRQ19" s="1115"/>
      <c r="SRR19" s="1115"/>
      <c r="SRS19" s="1115"/>
      <c r="SRT19" s="1115"/>
      <c r="SRU19" s="1115"/>
      <c r="SRV19" s="1115"/>
      <c r="SRW19" s="1115"/>
      <c r="SRX19" s="1115"/>
      <c r="SRY19" s="1115"/>
      <c r="SRZ19" s="1115"/>
      <c r="SSA19" s="1115"/>
      <c r="SSB19" s="1115"/>
      <c r="SSC19" s="1115"/>
      <c r="SSD19" s="1115"/>
      <c r="SSE19" s="1115"/>
      <c r="SSF19" s="1115"/>
      <c r="SSG19" s="1115"/>
      <c r="SSH19" s="1115"/>
      <c r="SSI19" s="1115"/>
      <c r="SSJ19" s="1115"/>
      <c r="SSK19" s="1115"/>
      <c r="SSL19" s="1115"/>
      <c r="SSM19" s="1115"/>
      <c r="SSN19" s="1115"/>
      <c r="SSO19" s="1115"/>
      <c r="SSP19" s="1115"/>
      <c r="SSQ19" s="1115"/>
      <c r="SSR19" s="1115"/>
      <c r="SSS19" s="1115"/>
      <c r="SST19" s="1115"/>
      <c r="SSU19" s="1115"/>
      <c r="SSV19" s="1115"/>
      <c r="SSW19" s="1115"/>
      <c r="SSX19" s="1115"/>
      <c r="SSY19" s="1115"/>
      <c r="SSZ19" s="1115"/>
      <c r="STA19" s="1115"/>
      <c r="STB19" s="1115"/>
      <c r="STC19" s="1115"/>
      <c r="STD19" s="1115"/>
      <c r="STE19" s="1115"/>
      <c r="STF19" s="1115"/>
      <c r="STG19" s="1115"/>
      <c r="STH19" s="1115"/>
      <c r="STI19" s="1115"/>
      <c r="STJ19" s="1115"/>
      <c r="STK19" s="1115"/>
      <c r="STL19" s="1115"/>
      <c r="STM19" s="1115"/>
      <c r="STN19" s="1115"/>
      <c r="STO19" s="1115"/>
      <c r="STP19" s="1115"/>
      <c r="STQ19" s="1115"/>
      <c r="STR19" s="1115"/>
      <c r="STS19" s="1115"/>
      <c r="STT19" s="1115"/>
      <c r="STU19" s="1115"/>
      <c r="STV19" s="1115"/>
      <c r="STW19" s="1115"/>
      <c r="STX19" s="1115"/>
      <c r="STY19" s="1115"/>
      <c r="STZ19" s="1115"/>
      <c r="SUA19" s="1115"/>
      <c r="SUB19" s="1115"/>
      <c r="SUC19" s="1115"/>
      <c r="SUD19" s="1115"/>
      <c r="SUE19" s="1115"/>
      <c r="SUF19" s="1115"/>
      <c r="SUG19" s="1115"/>
      <c r="SUH19" s="1115"/>
      <c r="SUI19" s="1115"/>
      <c r="SUJ19" s="1115"/>
      <c r="SUK19" s="1115"/>
      <c r="SUL19" s="1115"/>
      <c r="SUM19" s="1115"/>
      <c r="SUN19" s="1115"/>
      <c r="SUO19" s="1115"/>
      <c r="SUP19" s="1115"/>
      <c r="SUQ19" s="1115"/>
      <c r="SUR19" s="1115"/>
      <c r="SUS19" s="1115"/>
      <c r="SUT19" s="1115"/>
      <c r="SUU19" s="1115"/>
      <c r="SUV19" s="1115"/>
      <c r="SUW19" s="1115"/>
      <c r="SUX19" s="1115"/>
      <c r="SUY19" s="1115"/>
      <c r="SUZ19" s="1115"/>
      <c r="SVA19" s="1115"/>
      <c r="SVB19" s="1115"/>
      <c r="SVC19" s="1115"/>
      <c r="SVD19" s="1115"/>
      <c r="SVE19" s="1115"/>
      <c r="SVF19" s="1115"/>
      <c r="SVG19" s="1115"/>
      <c r="SVH19" s="1115"/>
      <c r="SVI19" s="1115"/>
      <c r="SVJ19" s="1115"/>
      <c r="SVK19" s="1115"/>
      <c r="SVL19" s="1115"/>
      <c r="SVM19" s="1115"/>
      <c r="SVN19" s="1115"/>
      <c r="SVO19" s="1115"/>
      <c r="SVP19" s="1115"/>
      <c r="SVQ19" s="1115"/>
      <c r="SVR19" s="1115"/>
      <c r="SVS19" s="1115"/>
      <c r="SVT19" s="1115"/>
      <c r="SVU19" s="1115"/>
      <c r="SVV19" s="1115"/>
      <c r="SVW19" s="1115"/>
      <c r="SVX19" s="1115"/>
      <c r="SVY19" s="1115"/>
      <c r="SVZ19" s="1115"/>
      <c r="SWA19" s="1115"/>
      <c r="SWB19" s="1115"/>
      <c r="SWC19" s="1115"/>
      <c r="SWD19" s="1115"/>
      <c r="SWE19" s="1115"/>
      <c r="SWF19" s="1115"/>
      <c r="SWG19" s="1115"/>
      <c r="SWH19" s="1115"/>
      <c r="SWI19" s="1115"/>
      <c r="SWJ19" s="1115"/>
      <c r="SWK19" s="1115"/>
      <c r="SWL19" s="1115"/>
      <c r="SWM19" s="1115"/>
      <c r="SWN19" s="1115"/>
      <c r="SWO19" s="1115"/>
      <c r="SWP19" s="1115"/>
      <c r="SWQ19" s="1115"/>
      <c r="SWR19" s="1115"/>
      <c r="SWS19" s="1115"/>
      <c r="SWT19" s="1115"/>
      <c r="SWU19" s="1115"/>
      <c r="SWV19" s="1115"/>
      <c r="SWW19" s="1115"/>
      <c r="SWX19" s="1115"/>
      <c r="SWY19" s="1115"/>
      <c r="SWZ19" s="1115"/>
      <c r="SXA19" s="1115"/>
      <c r="SXB19" s="1115"/>
      <c r="SXC19" s="1115"/>
      <c r="SXD19" s="1115"/>
      <c r="SXE19" s="1115"/>
      <c r="SXF19" s="1115"/>
      <c r="SXG19" s="1115"/>
      <c r="SXH19" s="1115"/>
      <c r="SXI19" s="1115"/>
      <c r="SXJ19" s="1115"/>
      <c r="SXK19" s="1115"/>
      <c r="SXL19" s="1115"/>
      <c r="SXM19" s="1115"/>
      <c r="SXN19" s="1115"/>
      <c r="SXO19" s="1115"/>
      <c r="SXP19" s="1115"/>
      <c r="SXQ19" s="1115"/>
      <c r="SXR19" s="1115"/>
      <c r="SXS19" s="1115"/>
      <c r="SXT19" s="1115"/>
      <c r="SXU19" s="1115"/>
      <c r="SXV19" s="1115"/>
      <c r="SXW19" s="1115"/>
      <c r="SXX19" s="1115"/>
      <c r="SXY19" s="1115"/>
      <c r="SXZ19" s="1115"/>
      <c r="SYA19" s="1115"/>
      <c r="SYB19" s="1115"/>
      <c r="SYC19" s="1115"/>
      <c r="SYD19" s="1115"/>
      <c r="SYE19" s="1115"/>
      <c r="SYF19" s="1115"/>
      <c r="SYG19" s="1115"/>
      <c r="SYH19" s="1115"/>
      <c r="SYI19" s="1115"/>
      <c r="SYJ19" s="1115"/>
      <c r="SYK19" s="1115"/>
      <c r="SYL19" s="1115"/>
      <c r="SYM19" s="1115"/>
      <c r="SYN19" s="1115"/>
      <c r="SYO19" s="1115"/>
      <c r="SYP19" s="1115"/>
      <c r="SYQ19" s="1115"/>
      <c r="SYR19" s="1115"/>
      <c r="SYS19" s="1115"/>
      <c r="SYT19" s="1115"/>
      <c r="SYU19" s="1115"/>
      <c r="SYV19" s="1115"/>
      <c r="SYW19" s="1115"/>
      <c r="SYX19" s="1115"/>
      <c r="SYY19" s="1115"/>
      <c r="SYZ19" s="1115"/>
      <c r="SZA19" s="1115"/>
      <c r="SZB19" s="1115"/>
      <c r="SZC19" s="1115"/>
      <c r="SZD19" s="1115"/>
      <c r="SZE19" s="1115"/>
      <c r="SZF19" s="1115"/>
      <c r="SZG19" s="1115"/>
      <c r="SZH19" s="1115"/>
      <c r="SZI19" s="1115"/>
      <c r="SZJ19" s="1115"/>
      <c r="SZK19" s="1115"/>
      <c r="SZL19" s="1115"/>
      <c r="SZM19" s="1115"/>
      <c r="SZN19" s="1115"/>
      <c r="SZO19" s="1115"/>
      <c r="SZP19" s="1115"/>
      <c r="SZQ19" s="1115"/>
      <c r="SZR19" s="1115"/>
      <c r="SZS19" s="1115"/>
      <c r="SZT19" s="1115"/>
      <c r="SZU19" s="1115"/>
      <c r="SZV19" s="1115"/>
      <c r="SZW19" s="1115"/>
      <c r="SZX19" s="1115"/>
      <c r="SZY19" s="1115"/>
      <c r="SZZ19" s="1115"/>
      <c r="TAA19" s="1115"/>
      <c r="TAB19" s="1115"/>
      <c r="TAC19" s="1115"/>
      <c r="TAD19" s="1115"/>
      <c r="TAE19" s="1115"/>
      <c r="TAF19" s="1115"/>
      <c r="TAG19" s="1115"/>
      <c r="TAH19" s="1115"/>
      <c r="TAI19" s="1115"/>
      <c r="TAJ19" s="1115"/>
      <c r="TAK19" s="1115"/>
      <c r="TAL19" s="1115"/>
      <c r="TAM19" s="1115"/>
      <c r="TAN19" s="1115"/>
      <c r="TAO19" s="1115"/>
      <c r="TAP19" s="1115"/>
      <c r="TAQ19" s="1115"/>
      <c r="TAR19" s="1115"/>
      <c r="TAS19" s="1115"/>
      <c r="TAT19" s="1115"/>
      <c r="TAU19" s="1115"/>
      <c r="TAV19" s="1115"/>
      <c r="TAW19" s="1115"/>
      <c r="TAX19" s="1115"/>
      <c r="TAY19" s="1115"/>
      <c r="TAZ19" s="1115"/>
      <c r="TBA19" s="1115"/>
      <c r="TBB19" s="1115"/>
      <c r="TBC19" s="1115"/>
      <c r="TBD19" s="1115"/>
      <c r="TBE19" s="1115"/>
      <c r="TBF19" s="1115"/>
      <c r="TBG19" s="1115"/>
      <c r="TBH19" s="1115"/>
      <c r="TBI19" s="1115"/>
      <c r="TBJ19" s="1115"/>
      <c r="TBK19" s="1115"/>
      <c r="TBL19" s="1115"/>
      <c r="TBM19" s="1115"/>
      <c r="TBN19" s="1115"/>
      <c r="TBO19" s="1115"/>
      <c r="TBP19" s="1115"/>
      <c r="TBQ19" s="1115"/>
      <c r="TBR19" s="1115"/>
      <c r="TBS19" s="1115"/>
      <c r="TBT19" s="1115"/>
      <c r="TBU19" s="1115"/>
      <c r="TBV19" s="1115"/>
      <c r="TBW19" s="1115"/>
      <c r="TBX19" s="1115"/>
      <c r="TBY19" s="1115"/>
      <c r="TBZ19" s="1115"/>
      <c r="TCA19" s="1115"/>
      <c r="TCB19" s="1115"/>
      <c r="TCC19" s="1115"/>
      <c r="TCD19" s="1115"/>
      <c r="TCE19" s="1115"/>
      <c r="TCF19" s="1115"/>
      <c r="TCG19" s="1115"/>
      <c r="TCH19" s="1115"/>
      <c r="TCI19" s="1115"/>
      <c r="TCJ19" s="1115"/>
      <c r="TCK19" s="1115"/>
      <c r="TCL19" s="1115"/>
      <c r="TCM19" s="1115"/>
      <c r="TCN19" s="1115"/>
      <c r="TCO19" s="1115"/>
      <c r="TCP19" s="1115"/>
      <c r="TCQ19" s="1115"/>
      <c r="TCR19" s="1115"/>
      <c r="TCS19" s="1115"/>
      <c r="TCT19" s="1115"/>
      <c r="TCU19" s="1115"/>
      <c r="TCV19" s="1115"/>
      <c r="TCW19" s="1115"/>
      <c r="TCX19" s="1115"/>
      <c r="TCY19" s="1115"/>
      <c r="TCZ19" s="1115"/>
      <c r="TDA19" s="1115"/>
      <c r="TDB19" s="1115"/>
      <c r="TDC19" s="1115"/>
      <c r="TDD19" s="1115"/>
      <c r="TDE19" s="1115"/>
      <c r="TDF19" s="1115"/>
      <c r="TDG19" s="1115"/>
      <c r="TDH19" s="1115"/>
      <c r="TDI19" s="1115"/>
      <c r="TDJ19" s="1115"/>
      <c r="TDK19" s="1115"/>
      <c r="TDL19" s="1115"/>
      <c r="TDM19" s="1115"/>
      <c r="TDN19" s="1115"/>
      <c r="TDO19" s="1115"/>
      <c r="TDP19" s="1115"/>
      <c r="TDQ19" s="1115"/>
      <c r="TDR19" s="1115"/>
      <c r="TDS19" s="1115"/>
      <c r="TDT19" s="1115"/>
      <c r="TDU19" s="1115"/>
      <c r="TDV19" s="1115"/>
      <c r="TDW19" s="1115"/>
      <c r="TDX19" s="1115"/>
      <c r="TDY19" s="1115"/>
      <c r="TDZ19" s="1115"/>
      <c r="TEA19" s="1115"/>
      <c r="TEB19" s="1115"/>
      <c r="TEC19" s="1115"/>
      <c r="TED19" s="1115"/>
      <c r="TEE19" s="1115"/>
      <c r="TEF19" s="1115"/>
      <c r="TEG19" s="1115"/>
      <c r="TEH19" s="1115"/>
      <c r="TEI19" s="1115"/>
      <c r="TEJ19" s="1115"/>
      <c r="TEK19" s="1115"/>
      <c r="TEL19" s="1115"/>
      <c r="TEM19" s="1115"/>
      <c r="TEN19" s="1115"/>
      <c r="TEO19" s="1115"/>
      <c r="TEP19" s="1115"/>
      <c r="TEQ19" s="1115"/>
      <c r="TER19" s="1115"/>
      <c r="TES19" s="1115"/>
      <c r="TET19" s="1115"/>
      <c r="TEU19" s="1115"/>
      <c r="TEV19" s="1115"/>
      <c r="TEW19" s="1115"/>
      <c r="TEX19" s="1115"/>
      <c r="TEY19" s="1115"/>
      <c r="TEZ19" s="1115"/>
      <c r="TFA19" s="1115"/>
      <c r="TFB19" s="1115"/>
      <c r="TFC19" s="1115"/>
      <c r="TFD19" s="1115"/>
      <c r="TFE19" s="1115"/>
      <c r="TFF19" s="1115"/>
      <c r="TFG19" s="1115"/>
      <c r="TFH19" s="1115"/>
      <c r="TFI19" s="1115"/>
      <c r="TFJ19" s="1115"/>
      <c r="TFK19" s="1115"/>
      <c r="TFL19" s="1115"/>
      <c r="TFM19" s="1115"/>
      <c r="TFN19" s="1115"/>
      <c r="TFO19" s="1115"/>
      <c r="TFP19" s="1115"/>
      <c r="TFQ19" s="1115"/>
      <c r="TFR19" s="1115"/>
      <c r="TFS19" s="1115"/>
      <c r="TFT19" s="1115"/>
      <c r="TFU19" s="1115"/>
      <c r="TFV19" s="1115"/>
      <c r="TFW19" s="1115"/>
      <c r="TFX19" s="1115"/>
      <c r="TFY19" s="1115"/>
      <c r="TFZ19" s="1115"/>
      <c r="TGA19" s="1115"/>
      <c r="TGB19" s="1115"/>
      <c r="TGC19" s="1115"/>
      <c r="TGD19" s="1115"/>
      <c r="TGE19" s="1115"/>
      <c r="TGF19" s="1115"/>
      <c r="TGG19" s="1115"/>
      <c r="TGH19" s="1115"/>
      <c r="TGI19" s="1115"/>
      <c r="TGJ19" s="1115"/>
      <c r="TGK19" s="1115"/>
      <c r="TGL19" s="1115"/>
      <c r="TGM19" s="1115"/>
      <c r="TGN19" s="1115"/>
      <c r="TGO19" s="1115"/>
      <c r="TGP19" s="1115"/>
      <c r="TGQ19" s="1115"/>
      <c r="TGR19" s="1115"/>
      <c r="TGS19" s="1115"/>
      <c r="TGT19" s="1115"/>
      <c r="TGU19" s="1115"/>
      <c r="TGV19" s="1115"/>
      <c r="TGW19" s="1115"/>
      <c r="TGX19" s="1115"/>
      <c r="TGY19" s="1115"/>
      <c r="TGZ19" s="1115"/>
      <c r="THA19" s="1115"/>
      <c r="THB19" s="1115"/>
      <c r="THC19" s="1115"/>
      <c r="THD19" s="1115"/>
      <c r="THE19" s="1115"/>
      <c r="THF19" s="1115"/>
      <c r="THG19" s="1115"/>
      <c r="THH19" s="1115"/>
      <c r="THI19" s="1115"/>
      <c r="THJ19" s="1115"/>
      <c r="THK19" s="1115"/>
      <c r="THL19" s="1115"/>
      <c r="THM19" s="1115"/>
      <c r="THN19" s="1115"/>
      <c r="THO19" s="1115"/>
      <c r="THP19" s="1115"/>
      <c r="THQ19" s="1115"/>
      <c r="THR19" s="1115"/>
      <c r="THS19" s="1115"/>
      <c r="THT19" s="1115"/>
      <c r="THU19" s="1115"/>
      <c r="THV19" s="1115"/>
      <c r="THW19" s="1115"/>
      <c r="THX19" s="1115"/>
      <c r="THY19" s="1115"/>
      <c r="THZ19" s="1115"/>
      <c r="TIA19" s="1115"/>
      <c r="TIB19" s="1115"/>
      <c r="TIC19" s="1115"/>
      <c r="TID19" s="1115"/>
      <c r="TIE19" s="1115"/>
      <c r="TIF19" s="1115"/>
      <c r="TIG19" s="1115"/>
      <c r="TIH19" s="1115"/>
      <c r="TII19" s="1115"/>
      <c r="TIJ19" s="1115"/>
      <c r="TIK19" s="1115"/>
      <c r="TIL19" s="1115"/>
      <c r="TIM19" s="1115"/>
      <c r="TIN19" s="1115"/>
      <c r="TIO19" s="1115"/>
      <c r="TIP19" s="1115"/>
      <c r="TIQ19" s="1115"/>
      <c r="TIR19" s="1115"/>
      <c r="TIS19" s="1115"/>
      <c r="TIT19" s="1115"/>
      <c r="TIU19" s="1115"/>
      <c r="TIV19" s="1115"/>
      <c r="TIW19" s="1115"/>
      <c r="TIX19" s="1115"/>
      <c r="TIY19" s="1115"/>
      <c r="TIZ19" s="1115"/>
      <c r="TJA19" s="1115"/>
      <c r="TJB19" s="1115"/>
      <c r="TJC19" s="1115"/>
      <c r="TJD19" s="1115"/>
      <c r="TJE19" s="1115"/>
      <c r="TJF19" s="1115"/>
      <c r="TJG19" s="1115"/>
      <c r="TJH19" s="1115"/>
      <c r="TJI19" s="1115"/>
      <c r="TJJ19" s="1115"/>
      <c r="TJK19" s="1115"/>
      <c r="TJL19" s="1115"/>
      <c r="TJM19" s="1115"/>
      <c r="TJN19" s="1115"/>
      <c r="TJO19" s="1115"/>
      <c r="TJP19" s="1115"/>
      <c r="TJQ19" s="1115"/>
      <c r="TJR19" s="1115"/>
      <c r="TJS19" s="1115"/>
      <c r="TJT19" s="1115"/>
      <c r="TJU19" s="1115"/>
      <c r="TJV19" s="1115"/>
      <c r="TJW19" s="1115"/>
      <c r="TJX19" s="1115"/>
      <c r="TJY19" s="1115"/>
      <c r="TJZ19" s="1115"/>
      <c r="TKA19" s="1115"/>
      <c r="TKB19" s="1115"/>
      <c r="TKC19" s="1115"/>
      <c r="TKD19" s="1115"/>
      <c r="TKE19" s="1115"/>
      <c r="TKF19" s="1115"/>
      <c r="TKG19" s="1115"/>
      <c r="TKH19" s="1115"/>
      <c r="TKI19" s="1115"/>
      <c r="TKJ19" s="1115"/>
      <c r="TKK19" s="1115"/>
      <c r="TKL19" s="1115"/>
      <c r="TKM19" s="1115"/>
      <c r="TKN19" s="1115"/>
      <c r="TKO19" s="1115"/>
      <c r="TKP19" s="1115"/>
      <c r="TKQ19" s="1115"/>
      <c r="TKR19" s="1115"/>
      <c r="TKS19" s="1115"/>
      <c r="TKT19" s="1115"/>
      <c r="TKU19" s="1115"/>
      <c r="TKV19" s="1115"/>
      <c r="TKW19" s="1115"/>
      <c r="TKX19" s="1115"/>
      <c r="TKY19" s="1115"/>
      <c r="TKZ19" s="1115"/>
      <c r="TLA19" s="1115"/>
      <c r="TLB19" s="1115"/>
      <c r="TLC19" s="1115"/>
      <c r="TLD19" s="1115"/>
      <c r="TLE19" s="1115"/>
      <c r="TLF19" s="1115"/>
      <c r="TLG19" s="1115"/>
      <c r="TLH19" s="1115"/>
      <c r="TLI19" s="1115"/>
      <c r="TLJ19" s="1115"/>
      <c r="TLK19" s="1115"/>
      <c r="TLL19" s="1115"/>
      <c r="TLM19" s="1115"/>
      <c r="TLN19" s="1115"/>
      <c r="TLO19" s="1115"/>
      <c r="TLP19" s="1115"/>
      <c r="TLQ19" s="1115"/>
      <c r="TLR19" s="1115"/>
      <c r="TLS19" s="1115"/>
      <c r="TLT19" s="1115"/>
      <c r="TLU19" s="1115"/>
      <c r="TLV19" s="1115"/>
      <c r="TLW19" s="1115"/>
      <c r="TLX19" s="1115"/>
      <c r="TLY19" s="1115"/>
      <c r="TLZ19" s="1115"/>
      <c r="TMA19" s="1115"/>
      <c r="TMB19" s="1115"/>
      <c r="TMC19" s="1115"/>
      <c r="TMD19" s="1115"/>
      <c r="TME19" s="1115"/>
      <c r="TMF19" s="1115"/>
      <c r="TMG19" s="1115"/>
      <c r="TMH19" s="1115"/>
      <c r="TMI19" s="1115"/>
      <c r="TMJ19" s="1115"/>
      <c r="TMK19" s="1115"/>
      <c r="TML19" s="1115"/>
      <c r="TMM19" s="1115"/>
      <c r="TMN19" s="1115"/>
      <c r="TMO19" s="1115"/>
      <c r="TMP19" s="1115"/>
      <c r="TMQ19" s="1115"/>
      <c r="TMR19" s="1115"/>
      <c r="TMS19" s="1115"/>
      <c r="TMT19" s="1115"/>
      <c r="TMU19" s="1115"/>
      <c r="TMV19" s="1115"/>
      <c r="TMW19" s="1115"/>
      <c r="TMX19" s="1115"/>
      <c r="TMY19" s="1115"/>
      <c r="TMZ19" s="1115"/>
      <c r="TNA19" s="1115"/>
      <c r="TNB19" s="1115"/>
      <c r="TNC19" s="1115"/>
      <c r="TND19" s="1115"/>
      <c r="TNE19" s="1115"/>
      <c r="TNF19" s="1115"/>
      <c r="TNG19" s="1115"/>
      <c r="TNH19" s="1115"/>
      <c r="TNI19" s="1115"/>
      <c r="TNJ19" s="1115"/>
      <c r="TNK19" s="1115"/>
      <c r="TNL19" s="1115"/>
      <c r="TNM19" s="1115"/>
      <c r="TNN19" s="1115"/>
      <c r="TNO19" s="1115"/>
      <c r="TNP19" s="1115"/>
      <c r="TNQ19" s="1115"/>
      <c r="TNR19" s="1115"/>
      <c r="TNS19" s="1115"/>
      <c r="TNT19" s="1115"/>
      <c r="TNU19" s="1115"/>
      <c r="TNV19" s="1115"/>
      <c r="TNW19" s="1115"/>
      <c r="TNX19" s="1115"/>
      <c r="TNY19" s="1115"/>
      <c r="TNZ19" s="1115"/>
      <c r="TOA19" s="1115"/>
      <c r="TOB19" s="1115"/>
      <c r="TOC19" s="1115"/>
      <c r="TOD19" s="1115"/>
      <c r="TOE19" s="1115"/>
      <c r="TOF19" s="1115"/>
      <c r="TOG19" s="1115"/>
      <c r="TOH19" s="1115"/>
      <c r="TOI19" s="1115"/>
      <c r="TOJ19" s="1115"/>
      <c r="TOK19" s="1115"/>
      <c r="TOL19" s="1115"/>
      <c r="TOM19" s="1115"/>
      <c r="TON19" s="1115"/>
      <c r="TOO19" s="1115"/>
      <c r="TOP19" s="1115"/>
      <c r="TOQ19" s="1115"/>
      <c r="TOR19" s="1115"/>
      <c r="TOS19" s="1115"/>
      <c r="TOT19" s="1115"/>
      <c r="TOU19" s="1115"/>
      <c r="TOV19" s="1115"/>
      <c r="TOW19" s="1115"/>
      <c r="TOX19" s="1115"/>
      <c r="TOY19" s="1115"/>
      <c r="TOZ19" s="1115"/>
      <c r="TPA19" s="1115"/>
      <c r="TPB19" s="1115"/>
      <c r="TPC19" s="1115"/>
      <c r="TPD19" s="1115"/>
      <c r="TPE19" s="1115"/>
      <c r="TPF19" s="1115"/>
      <c r="TPG19" s="1115"/>
      <c r="TPH19" s="1115"/>
      <c r="TPI19" s="1115"/>
      <c r="TPJ19" s="1115"/>
      <c r="TPK19" s="1115"/>
      <c r="TPL19" s="1115"/>
      <c r="TPM19" s="1115"/>
      <c r="TPN19" s="1115"/>
      <c r="TPO19" s="1115"/>
      <c r="TPP19" s="1115"/>
      <c r="TPQ19" s="1115"/>
      <c r="TPR19" s="1115"/>
      <c r="TPS19" s="1115"/>
      <c r="TPT19" s="1115"/>
      <c r="TPU19" s="1115"/>
      <c r="TPV19" s="1115"/>
      <c r="TPW19" s="1115"/>
      <c r="TPX19" s="1115"/>
      <c r="TPY19" s="1115"/>
      <c r="TPZ19" s="1115"/>
      <c r="TQA19" s="1115"/>
      <c r="TQB19" s="1115"/>
      <c r="TQC19" s="1115"/>
      <c r="TQD19" s="1115"/>
      <c r="TQE19" s="1115"/>
      <c r="TQF19" s="1115"/>
      <c r="TQG19" s="1115"/>
      <c r="TQH19" s="1115"/>
      <c r="TQI19" s="1115"/>
      <c r="TQJ19" s="1115"/>
      <c r="TQK19" s="1115"/>
      <c r="TQL19" s="1115"/>
      <c r="TQM19" s="1115"/>
      <c r="TQN19" s="1115"/>
      <c r="TQO19" s="1115"/>
      <c r="TQP19" s="1115"/>
      <c r="TQQ19" s="1115"/>
      <c r="TQR19" s="1115"/>
      <c r="TQS19" s="1115"/>
      <c r="TQT19" s="1115"/>
      <c r="TQU19" s="1115"/>
      <c r="TQV19" s="1115"/>
      <c r="TQW19" s="1115"/>
      <c r="TQX19" s="1115"/>
      <c r="TQY19" s="1115"/>
      <c r="TQZ19" s="1115"/>
      <c r="TRA19" s="1115"/>
      <c r="TRB19" s="1115"/>
      <c r="TRC19" s="1115"/>
      <c r="TRD19" s="1115"/>
      <c r="TRE19" s="1115"/>
      <c r="TRF19" s="1115"/>
      <c r="TRG19" s="1115"/>
      <c r="TRH19" s="1115"/>
      <c r="TRI19" s="1115"/>
      <c r="TRJ19" s="1115"/>
      <c r="TRK19" s="1115"/>
      <c r="TRL19" s="1115"/>
      <c r="TRM19" s="1115"/>
      <c r="TRN19" s="1115"/>
      <c r="TRO19" s="1115"/>
      <c r="TRP19" s="1115"/>
      <c r="TRQ19" s="1115"/>
      <c r="TRR19" s="1115"/>
      <c r="TRS19" s="1115"/>
      <c r="TRT19" s="1115"/>
      <c r="TRU19" s="1115"/>
      <c r="TRV19" s="1115"/>
      <c r="TRW19" s="1115"/>
      <c r="TRX19" s="1115"/>
      <c r="TRY19" s="1115"/>
      <c r="TRZ19" s="1115"/>
      <c r="TSA19" s="1115"/>
      <c r="TSB19" s="1115"/>
      <c r="TSC19" s="1115"/>
      <c r="TSD19" s="1115"/>
      <c r="TSE19" s="1115"/>
      <c r="TSF19" s="1115"/>
      <c r="TSG19" s="1115"/>
      <c r="TSH19" s="1115"/>
      <c r="TSI19" s="1115"/>
      <c r="TSJ19" s="1115"/>
      <c r="TSK19" s="1115"/>
      <c r="TSL19" s="1115"/>
      <c r="TSM19" s="1115"/>
      <c r="TSN19" s="1115"/>
      <c r="TSO19" s="1115"/>
      <c r="TSP19" s="1115"/>
      <c r="TSQ19" s="1115"/>
      <c r="TSR19" s="1115"/>
      <c r="TSS19" s="1115"/>
      <c r="TST19" s="1115"/>
      <c r="TSU19" s="1115"/>
      <c r="TSV19" s="1115"/>
      <c r="TSW19" s="1115"/>
      <c r="TSX19" s="1115"/>
      <c r="TSY19" s="1115"/>
      <c r="TSZ19" s="1115"/>
      <c r="TTA19" s="1115"/>
      <c r="TTB19" s="1115"/>
      <c r="TTC19" s="1115"/>
      <c r="TTD19" s="1115"/>
      <c r="TTE19" s="1115"/>
      <c r="TTF19" s="1115"/>
      <c r="TTG19" s="1115"/>
      <c r="TTH19" s="1115"/>
      <c r="TTI19" s="1115"/>
      <c r="TTJ19" s="1115"/>
      <c r="TTK19" s="1115"/>
      <c r="TTL19" s="1115"/>
      <c r="TTM19" s="1115"/>
      <c r="TTN19" s="1115"/>
      <c r="TTO19" s="1115"/>
      <c r="TTP19" s="1115"/>
      <c r="TTQ19" s="1115"/>
      <c r="TTR19" s="1115"/>
      <c r="TTS19" s="1115"/>
      <c r="TTT19" s="1115"/>
      <c r="TTU19" s="1115"/>
      <c r="TTV19" s="1115"/>
      <c r="TTW19" s="1115"/>
      <c r="TTX19" s="1115"/>
      <c r="TTY19" s="1115"/>
      <c r="TTZ19" s="1115"/>
      <c r="TUA19" s="1115"/>
      <c r="TUB19" s="1115"/>
      <c r="TUC19" s="1115"/>
      <c r="TUD19" s="1115"/>
      <c r="TUE19" s="1115"/>
      <c r="TUF19" s="1115"/>
      <c r="TUG19" s="1115"/>
      <c r="TUH19" s="1115"/>
      <c r="TUI19" s="1115"/>
      <c r="TUJ19" s="1115"/>
      <c r="TUK19" s="1115"/>
      <c r="TUL19" s="1115"/>
      <c r="TUM19" s="1115"/>
      <c r="TUN19" s="1115"/>
      <c r="TUO19" s="1115"/>
      <c r="TUP19" s="1115"/>
      <c r="TUQ19" s="1115"/>
      <c r="TUR19" s="1115"/>
      <c r="TUS19" s="1115"/>
      <c r="TUT19" s="1115"/>
      <c r="TUU19" s="1115"/>
      <c r="TUV19" s="1115"/>
      <c r="TUW19" s="1115"/>
      <c r="TUX19" s="1115"/>
      <c r="TUY19" s="1115"/>
      <c r="TUZ19" s="1115"/>
      <c r="TVA19" s="1115"/>
      <c r="TVB19" s="1115"/>
      <c r="TVC19" s="1115"/>
      <c r="TVD19" s="1115"/>
      <c r="TVE19" s="1115"/>
      <c r="TVF19" s="1115"/>
      <c r="TVG19" s="1115"/>
      <c r="TVH19" s="1115"/>
      <c r="TVI19" s="1115"/>
      <c r="TVJ19" s="1115"/>
      <c r="TVK19" s="1115"/>
      <c r="TVL19" s="1115"/>
      <c r="TVM19" s="1115"/>
      <c r="TVN19" s="1115"/>
      <c r="TVO19" s="1115"/>
      <c r="TVP19" s="1115"/>
      <c r="TVQ19" s="1115"/>
      <c r="TVR19" s="1115"/>
      <c r="TVS19" s="1115"/>
      <c r="TVT19" s="1115"/>
      <c r="TVU19" s="1115"/>
      <c r="TVV19" s="1115"/>
      <c r="TVW19" s="1115"/>
      <c r="TVX19" s="1115"/>
      <c r="TVY19" s="1115"/>
      <c r="TVZ19" s="1115"/>
      <c r="TWA19" s="1115"/>
      <c r="TWB19" s="1115"/>
      <c r="TWC19" s="1115"/>
      <c r="TWD19" s="1115"/>
      <c r="TWE19" s="1115"/>
      <c r="TWF19" s="1115"/>
      <c r="TWG19" s="1115"/>
      <c r="TWH19" s="1115"/>
      <c r="TWI19" s="1115"/>
      <c r="TWJ19" s="1115"/>
      <c r="TWK19" s="1115"/>
      <c r="TWL19" s="1115"/>
      <c r="TWM19" s="1115"/>
      <c r="TWN19" s="1115"/>
      <c r="TWO19" s="1115"/>
      <c r="TWP19" s="1115"/>
      <c r="TWQ19" s="1115"/>
      <c r="TWR19" s="1115"/>
      <c r="TWS19" s="1115"/>
      <c r="TWT19" s="1115"/>
      <c r="TWU19" s="1115"/>
      <c r="TWV19" s="1115"/>
      <c r="TWW19" s="1115"/>
      <c r="TWX19" s="1115"/>
      <c r="TWY19" s="1115"/>
      <c r="TWZ19" s="1115"/>
      <c r="TXA19" s="1115"/>
      <c r="TXB19" s="1115"/>
      <c r="TXC19" s="1115"/>
      <c r="TXD19" s="1115"/>
      <c r="TXE19" s="1115"/>
      <c r="TXF19" s="1115"/>
      <c r="TXG19" s="1115"/>
      <c r="TXH19" s="1115"/>
      <c r="TXI19" s="1115"/>
      <c r="TXJ19" s="1115"/>
      <c r="TXK19" s="1115"/>
      <c r="TXL19" s="1115"/>
      <c r="TXM19" s="1115"/>
      <c r="TXN19" s="1115"/>
      <c r="TXO19" s="1115"/>
      <c r="TXP19" s="1115"/>
      <c r="TXQ19" s="1115"/>
      <c r="TXR19" s="1115"/>
      <c r="TXS19" s="1115"/>
      <c r="TXT19" s="1115"/>
      <c r="TXU19" s="1115"/>
      <c r="TXV19" s="1115"/>
      <c r="TXW19" s="1115"/>
      <c r="TXX19" s="1115"/>
      <c r="TXY19" s="1115"/>
      <c r="TXZ19" s="1115"/>
      <c r="TYA19" s="1115"/>
      <c r="TYB19" s="1115"/>
      <c r="TYC19" s="1115"/>
      <c r="TYD19" s="1115"/>
      <c r="TYE19" s="1115"/>
      <c r="TYF19" s="1115"/>
      <c r="TYG19" s="1115"/>
      <c r="TYH19" s="1115"/>
      <c r="TYI19" s="1115"/>
      <c r="TYJ19" s="1115"/>
      <c r="TYK19" s="1115"/>
      <c r="TYL19" s="1115"/>
      <c r="TYM19" s="1115"/>
      <c r="TYN19" s="1115"/>
      <c r="TYO19" s="1115"/>
      <c r="TYP19" s="1115"/>
      <c r="TYQ19" s="1115"/>
      <c r="TYR19" s="1115"/>
      <c r="TYS19" s="1115"/>
      <c r="TYT19" s="1115"/>
      <c r="TYU19" s="1115"/>
      <c r="TYV19" s="1115"/>
      <c r="TYW19" s="1115"/>
      <c r="TYX19" s="1115"/>
      <c r="TYY19" s="1115"/>
      <c r="TYZ19" s="1115"/>
      <c r="TZA19" s="1115"/>
      <c r="TZB19" s="1115"/>
      <c r="TZC19" s="1115"/>
      <c r="TZD19" s="1115"/>
      <c r="TZE19" s="1115"/>
      <c r="TZF19" s="1115"/>
      <c r="TZG19" s="1115"/>
      <c r="TZH19" s="1115"/>
      <c r="TZI19" s="1115"/>
      <c r="TZJ19" s="1115"/>
      <c r="TZK19" s="1115"/>
      <c r="TZL19" s="1115"/>
      <c r="TZM19" s="1115"/>
      <c r="TZN19" s="1115"/>
      <c r="TZO19" s="1115"/>
      <c r="TZP19" s="1115"/>
      <c r="TZQ19" s="1115"/>
      <c r="TZR19" s="1115"/>
      <c r="TZS19" s="1115"/>
      <c r="TZT19" s="1115"/>
      <c r="TZU19" s="1115"/>
      <c r="TZV19" s="1115"/>
      <c r="TZW19" s="1115"/>
      <c r="TZX19" s="1115"/>
      <c r="TZY19" s="1115"/>
      <c r="TZZ19" s="1115"/>
      <c r="UAA19" s="1115"/>
      <c r="UAB19" s="1115"/>
      <c r="UAC19" s="1115"/>
      <c r="UAD19" s="1115"/>
      <c r="UAE19" s="1115"/>
      <c r="UAF19" s="1115"/>
      <c r="UAG19" s="1115"/>
      <c r="UAH19" s="1115"/>
      <c r="UAI19" s="1115"/>
      <c r="UAJ19" s="1115"/>
      <c r="UAK19" s="1115"/>
      <c r="UAL19" s="1115"/>
      <c r="UAM19" s="1115"/>
      <c r="UAN19" s="1115"/>
      <c r="UAO19" s="1115"/>
      <c r="UAP19" s="1115"/>
      <c r="UAQ19" s="1115"/>
      <c r="UAR19" s="1115"/>
      <c r="UAS19" s="1115"/>
      <c r="UAT19" s="1115"/>
      <c r="UAU19" s="1115"/>
      <c r="UAV19" s="1115"/>
      <c r="UAW19" s="1115"/>
      <c r="UAX19" s="1115"/>
      <c r="UAY19" s="1115"/>
      <c r="UAZ19" s="1115"/>
      <c r="UBA19" s="1115"/>
      <c r="UBB19" s="1115"/>
      <c r="UBC19" s="1115"/>
      <c r="UBD19" s="1115"/>
      <c r="UBE19" s="1115"/>
      <c r="UBF19" s="1115"/>
      <c r="UBG19" s="1115"/>
      <c r="UBH19" s="1115"/>
      <c r="UBI19" s="1115"/>
      <c r="UBJ19" s="1115"/>
      <c r="UBK19" s="1115"/>
      <c r="UBL19" s="1115"/>
      <c r="UBM19" s="1115"/>
      <c r="UBN19" s="1115"/>
      <c r="UBO19" s="1115"/>
      <c r="UBP19" s="1115"/>
      <c r="UBQ19" s="1115"/>
      <c r="UBR19" s="1115"/>
      <c r="UBS19" s="1115"/>
      <c r="UBT19" s="1115"/>
      <c r="UBU19" s="1115"/>
      <c r="UBV19" s="1115"/>
      <c r="UBW19" s="1115"/>
      <c r="UBX19" s="1115"/>
      <c r="UBY19" s="1115"/>
      <c r="UBZ19" s="1115"/>
      <c r="UCA19" s="1115"/>
      <c r="UCB19" s="1115"/>
      <c r="UCC19" s="1115"/>
      <c r="UCD19" s="1115"/>
      <c r="UCE19" s="1115"/>
      <c r="UCF19" s="1115"/>
      <c r="UCG19" s="1115"/>
      <c r="UCH19" s="1115"/>
      <c r="UCI19" s="1115"/>
      <c r="UCJ19" s="1115"/>
      <c r="UCK19" s="1115"/>
      <c r="UCL19" s="1115"/>
      <c r="UCM19" s="1115"/>
      <c r="UCN19" s="1115"/>
      <c r="UCO19" s="1115"/>
      <c r="UCP19" s="1115"/>
      <c r="UCQ19" s="1115"/>
      <c r="UCR19" s="1115"/>
      <c r="UCS19" s="1115"/>
      <c r="UCT19" s="1115"/>
      <c r="UCU19" s="1115"/>
      <c r="UCV19" s="1115"/>
      <c r="UCW19" s="1115"/>
      <c r="UCX19" s="1115"/>
      <c r="UCY19" s="1115"/>
      <c r="UCZ19" s="1115"/>
      <c r="UDA19" s="1115"/>
      <c r="UDB19" s="1115"/>
      <c r="UDC19" s="1115"/>
      <c r="UDD19" s="1115"/>
      <c r="UDE19" s="1115"/>
      <c r="UDF19" s="1115"/>
      <c r="UDG19" s="1115"/>
      <c r="UDH19" s="1115"/>
      <c r="UDI19" s="1115"/>
      <c r="UDJ19" s="1115"/>
      <c r="UDK19" s="1115"/>
      <c r="UDL19" s="1115"/>
      <c r="UDM19" s="1115"/>
      <c r="UDN19" s="1115"/>
      <c r="UDO19" s="1115"/>
      <c r="UDP19" s="1115"/>
      <c r="UDQ19" s="1115"/>
      <c r="UDR19" s="1115"/>
      <c r="UDS19" s="1115"/>
      <c r="UDT19" s="1115"/>
      <c r="UDU19" s="1115"/>
      <c r="UDV19" s="1115"/>
      <c r="UDW19" s="1115"/>
      <c r="UDX19" s="1115"/>
      <c r="UDY19" s="1115"/>
      <c r="UDZ19" s="1115"/>
      <c r="UEA19" s="1115"/>
      <c r="UEB19" s="1115"/>
      <c r="UEC19" s="1115"/>
      <c r="UED19" s="1115"/>
      <c r="UEE19" s="1115"/>
      <c r="UEF19" s="1115"/>
      <c r="UEG19" s="1115"/>
      <c r="UEH19" s="1115"/>
      <c r="UEI19" s="1115"/>
      <c r="UEJ19" s="1115"/>
      <c r="UEK19" s="1115"/>
      <c r="UEL19" s="1115"/>
      <c r="UEM19" s="1115"/>
      <c r="UEN19" s="1115"/>
      <c r="UEO19" s="1115"/>
      <c r="UEP19" s="1115"/>
      <c r="UEQ19" s="1115"/>
      <c r="UER19" s="1115"/>
      <c r="UES19" s="1115"/>
      <c r="UET19" s="1115"/>
      <c r="UEU19" s="1115"/>
      <c r="UEV19" s="1115"/>
      <c r="UEW19" s="1115"/>
      <c r="UEX19" s="1115"/>
      <c r="UEY19" s="1115"/>
      <c r="UEZ19" s="1115"/>
      <c r="UFA19" s="1115"/>
      <c r="UFB19" s="1115"/>
      <c r="UFC19" s="1115"/>
      <c r="UFD19" s="1115"/>
      <c r="UFE19" s="1115"/>
      <c r="UFF19" s="1115"/>
      <c r="UFG19" s="1115"/>
      <c r="UFH19" s="1115"/>
      <c r="UFI19" s="1115"/>
      <c r="UFJ19" s="1115"/>
      <c r="UFK19" s="1115"/>
      <c r="UFL19" s="1115"/>
      <c r="UFM19" s="1115"/>
      <c r="UFN19" s="1115"/>
      <c r="UFO19" s="1115"/>
      <c r="UFP19" s="1115"/>
      <c r="UFQ19" s="1115"/>
      <c r="UFR19" s="1115"/>
      <c r="UFS19" s="1115"/>
      <c r="UFT19" s="1115"/>
      <c r="UFU19" s="1115"/>
      <c r="UFV19" s="1115"/>
      <c r="UFW19" s="1115"/>
      <c r="UFX19" s="1115"/>
      <c r="UFY19" s="1115"/>
      <c r="UFZ19" s="1115"/>
      <c r="UGA19" s="1115"/>
      <c r="UGB19" s="1115"/>
      <c r="UGC19" s="1115"/>
      <c r="UGD19" s="1115"/>
      <c r="UGE19" s="1115"/>
      <c r="UGF19" s="1115"/>
      <c r="UGG19" s="1115"/>
      <c r="UGH19" s="1115"/>
      <c r="UGI19" s="1115"/>
      <c r="UGJ19" s="1115"/>
      <c r="UGK19" s="1115"/>
      <c r="UGL19" s="1115"/>
      <c r="UGM19" s="1115"/>
      <c r="UGN19" s="1115"/>
      <c r="UGO19" s="1115"/>
      <c r="UGP19" s="1115"/>
      <c r="UGQ19" s="1115"/>
      <c r="UGR19" s="1115"/>
      <c r="UGS19" s="1115"/>
      <c r="UGT19" s="1115"/>
      <c r="UGU19" s="1115"/>
      <c r="UGV19" s="1115"/>
      <c r="UGW19" s="1115"/>
      <c r="UGX19" s="1115"/>
      <c r="UGY19" s="1115"/>
      <c r="UGZ19" s="1115"/>
      <c r="UHA19" s="1115"/>
      <c r="UHB19" s="1115"/>
      <c r="UHC19" s="1115"/>
      <c r="UHD19" s="1115"/>
      <c r="UHE19" s="1115"/>
      <c r="UHF19" s="1115"/>
      <c r="UHG19" s="1115"/>
      <c r="UHH19" s="1115"/>
      <c r="UHI19" s="1115"/>
      <c r="UHJ19" s="1115"/>
      <c r="UHK19" s="1115"/>
      <c r="UHL19" s="1115"/>
      <c r="UHM19" s="1115"/>
      <c r="UHN19" s="1115"/>
      <c r="UHO19" s="1115"/>
      <c r="UHP19" s="1115"/>
      <c r="UHQ19" s="1115"/>
      <c r="UHR19" s="1115"/>
      <c r="UHS19" s="1115"/>
      <c r="UHT19" s="1115"/>
      <c r="UHU19" s="1115"/>
      <c r="UHV19" s="1115"/>
      <c r="UHW19" s="1115"/>
      <c r="UHX19" s="1115"/>
      <c r="UHY19" s="1115"/>
      <c r="UHZ19" s="1115"/>
      <c r="UIA19" s="1115"/>
      <c r="UIB19" s="1115"/>
      <c r="UIC19" s="1115"/>
      <c r="UID19" s="1115"/>
      <c r="UIE19" s="1115"/>
      <c r="UIF19" s="1115"/>
      <c r="UIG19" s="1115"/>
      <c r="UIH19" s="1115"/>
      <c r="UII19" s="1115"/>
      <c r="UIJ19" s="1115"/>
      <c r="UIK19" s="1115"/>
      <c r="UIL19" s="1115"/>
      <c r="UIM19" s="1115"/>
      <c r="UIN19" s="1115"/>
      <c r="UIO19" s="1115"/>
      <c r="UIP19" s="1115"/>
      <c r="UIQ19" s="1115"/>
      <c r="UIR19" s="1115"/>
      <c r="UIS19" s="1115"/>
      <c r="UIT19" s="1115"/>
      <c r="UIU19" s="1115"/>
      <c r="UIV19" s="1115"/>
      <c r="UIW19" s="1115"/>
      <c r="UIX19" s="1115"/>
      <c r="UIY19" s="1115"/>
      <c r="UIZ19" s="1115"/>
      <c r="UJA19" s="1115"/>
      <c r="UJB19" s="1115"/>
      <c r="UJC19" s="1115"/>
      <c r="UJD19" s="1115"/>
      <c r="UJE19" s="1115"/>
      <c r="UJF19" s="1115"/>
      <c r="UJG19" s="1115"/>
      <c r="UJH19" s="1115"/>
      <c r="UJI19" s="1115"/>
      <c r="UJJ19" s="1115"/>
      <c r="UJK19" s="1115"/>
      <c r="UJL19" s="1115"/>
      <c r="UJM19" s="1115"/>
      <c r="UJN19" s="1115"/>
      <c r="UJO19" s="1115"/>
      <c r="UJP19" s="1115"/>
      <c r="UJQ19" s="1115"/>
      <c r="UJR19" s="1115"/>
      <c r="UJS19" s="1115"/>
      <c r="UJT19" s="1115"/>
      <c r="UJU19" s="1115"/>
      <c r="UJV19" s="1115"/>
      <c r="UJW19" s="1115"/>
      <c r="UJX19" s="1115"/>
      <c r="UJY19" s="1115"/>
      <c r="UJZ19" s="1115"/>
      <c r="UKA19" s="1115"/>
      <c r="UKB19" s="1115"/>
      <c r="UKC19" s="1115"/>
      <c r="UKD19" s="1115"/>
      <c r="UKE19" s="1115"/>
      <c r="UKF19" s="1115"/>
      <c r="UKG19" s="1115"/>
      <c r="UKH19" s="1115"/>
      <c r="UKI19" s="1115"/>
      <c r="UKJ19" s="1115"/>
      <c r="UKK19" s="1115"/>
      <c r="UKL19" s="1115"/>
      <c r="UKM19" s="1115"/>
      <c r="UKN19" s="1115"/>
      <c r="UKO19" s="1115"/>
      <c r="UKP19" s="1115"/>
      <c r="UKQ19" s="1115"/>
      <c r="UKR19" s="1115"/>
      <c r="UKS19" s="1115"/>
      <c r="UKT19" s="1115"/>
      <c r="UKU19" s="1115"/>
      <c r="UKV19" s="1115"/>
      <c r="UKW19" s="1115"/>
      <c r="UKX19" s="1115"/>
      <c r="UKY19" s="1115"/>
      <c r="UKZ19" s="1115"/>
      <c r="ULA19" s="1115"/>
      <c r="ULB19" s="1115"/>
      <c r="ULC19" s="1115"/>
      <c r="ULD19" s="1115"/>
      <c r="ULE19" s="1115"/>
      <c r="ULF19" s="1115"/>
      <c r="ULG19" s="1115"/>
      <c r="ULH19" s="1115"/>
      <c r="ULI19" s="1115"/>
      <c r="ULJ19" s="1115"/>
      <c r="ULK19" s="1115"/>
      <c r="ULL19" s="1115"/>
      <c r="ULM19" s="1115"/>
      <c r="ULN19" s="1115"/>
      <c r="ULO19" s="1115"/>
      <c r="ULP19" s="1115"/>
      <c r="ULQ19" s="1115"/>
      <c r="ULR19" s="1115"/>
      <c r="ULS19" s="1115"/>
      <c r="ULT19" s="1115"/>
      <c r="ULU19" s="1115"/>
      <c r="ULV19" s="1115"/>
      <c r="ULW19" s="1115"/>
      <c r="ULX19" s="1115"/>
      <c r="ULY19" s="1115"/>
      <c r="ULZ19" s="1115"/>
      <c r="UMA19" s="1115"/>
      <c r="UMB19" s="1115"/>
      <c r="UMC19" s="1115"/>
      <c r="UMD19" s="1115"/>
      <c r="UME19" s="1115"/>
      <c r="UMF19" s="1115"/>
      <c r="UMG19" s="1115"/>
      <c r="UMH19" s="1115"/>
      <c r="UMI19" s="1115"/>
      <c r="UMJ19" s="1115"/>
      <c r="UMK19" s="1115"/>
      <c r="UML19" s="1115"/>
      <c r="UMM19" s="1115"/>
      <c r="UMN19" s="1115"/>
      <c r="UMO19" s="1115"/>
      <c r="UMP19" s="1115"/>
      <c r="UMQ19" s="1115"/>
      <c r="UMR19" s="1115"/>
      <c r="UMS19" s="1115"/>
      <c r="UMT19" s="1115"/>
      <c r="UMU19" s="1115"/>
      <c r="UMV19" s="1115"/>
      <c r="UMW19" s="1115"/>
      <c r="UMX19" s="1115"/>
      <c r="UMY19" s="1115"/>
      <c r="UMZ19" s="1115"/>
      <c r="UNA19" s="1115"/>
      <c r="UNB19" s="1115"/>
      <c r="UNC19" s="1115"/>
      <c r="UND19" s="1115"/>
      <c r="UNE19" s="1115"/>
      <c r="UNF19" s="1115"/>
      <c r="UNG19" s="1115"/>
      <c r="UNH19" s="1115"/>
      <c r="UNI19" s="1115"/>
      <c r="UNJ19" s="1115"/>
      <c r="UNK19" s="1115"/>
      <c r="UNL19" s="1115"/>
      <c r="UNM19" s="1115"/>
      <c r="UNN19" s="1115"/>
      <c r="UNO19" s="1115"/>
      <c r="UNP19" s="1115"/>
      <c r="UNQ19" s="1115"/>
      <c r="UNR19" s="1115"/>
      <c r="UNS19" s="1115"/>
      <c r="UNT19" s="1115"/>
      <c r="UNU19" s="1115"/>
      <c r="UNV19" s="1115"/>
      <c r="UNW19" s="1115"/>
      <c r="UNX19" s="1115"/>
      <c r="UNY19" s="1115"/>
      <c r="UNZ19" s="1115"/>
      <c r="UOA19" s="1115"/>
      <c r="UOB19" s="1115"/>
      <c r="UOC19" s="1115"/>
      <c r="UOD19" s="1115"/>
      <c r="UOE19" s="1115"/>
      <c r="UOF19" s="1115"/>
      <c r="UOG19" s="1115"/>
      <c r="UOH19" s="1115"/>
      <c r="UOI19" s="1115"/>
      <c r="UOJ19" s="1115"/>
      <c r="UOK19" s="1115"/>
      <c r="UOL19" s="1115"/>
      <c r="UOM19" s="1115"/>
      <c r="UON19" s="1115"/>
      <c r="UOO19" s="1115"/>
      <c r="UOP19" s="1115"/>
      <c r="UOQ19" s="1115"/>
      <c r="UOR19" s="1115"/>
      <c r="UOS19" s="1115"/>
      <c r="UOT19" s="1115"/>
      <c r="UOU19" s="1115"/>
      <c r="UOV19" s="1115"/>
      <c r="UOW19" s="1115"/>
      <c r="UOX19" s="1115"/>
      <c r="UOY19" s="1115"/>
      <c r="UOZ19" s="1115"/>
      <c r="UPA19" s="1115"/>
      <c r="UPB19" s="1115"/>
      <c r="UPC19" s="1115"/>
      <c r="UPD19" s="1115"/>
      <c r="UPE19" s="1115"/>
      <c r="UPF19" s="1115"/>
      <c r="UPG19" s="1115"/>
      <c r="UPH19" s="1115"/>
      <c r="UPI19" s="1115"/>
      <c r="UPJ19" s="1115"/>
      <c r="UPK19" s="1115"/>
      <c r="UPL19" s="1115"/>
      <c r="UPM19" s="1115"/>
      <c r="UPN19" s="1115"/>
      <c r="UPO19" s="1115"/>
      <c r="UPP19" s="1115"/>
      <c r="UPQ19" s="1115"/>
      <c r="UPR19" s="1115"/>
      <c r="UPS19" s="1115"/>
      <c r="UPT19" s="1115"/>
      <c r="UPU19" s="1115"/>
      <c r="UPV19" s="1115"/>
      <c r="UPW19" s="1115"/>
      <c r="UPX19" s="1115"/>
      <c r="UPY19" s="1115"/>
      <c r="UPZ19" s="1115"/>
      <c r="UQA19" s="1115"/>
      <c r="UQB19" s="1115"/>
      <c r="UQC19" s="1115"/>
      <c r="UQD19" s="1115"/>
      <c r="UQE19" s="1115"/>
      <c r="UQF19" s="1115"/>
      <c r="UQG19" s="1115"/>
      <c r="UQH19" s="1115"/>
      <c r="UQI19" s="1115"/>
      <c r="UQJ19" s="1115"/>
      <c r="UQK19" s="1115"/>
      <c r="UQL19" s="1115"/>
      <c r="UQM19" s="1115"/>
      <c r="UQN19" s="1115"/>
      <c r="UQO19" s="1115"/>
      <c r="UQP19" s="1115"/>
      <c r="UQQ19" s="1115"/>
      <c r="UQR19" s="1115"/>
      <c r="UQS19" s="1115"/>
      <c r="UQT19" s="1115"/>
      <c r="UQU19" s="1115"/>
      <c r="UQV19" s="1115"/>
      <c r="UQW19" s="1115"/>
      <c r="UQX19" s="1115"/>
      <c r="UQY19" s="1115"/>
      <c r="UQZ19" s="1115"/>
      <c r="URA19" s="1115"/>
      <c r="URB19" s="1115"/>
      <c r="URC19" s="1115"/>
      <c r="URD19" s="1115"/>
      <c r="URE19" s="1115"/>
      <c r="URF19" s="1115"/>
      <c r="URG19" s="1115"/>
      <c r="URH19" s="1115"/>
      <c r="URI19" s="1115"/>
      <c r="URJ19" s="1115"/>
      <c r="URK19" s="1115"/>
      <c r="URL19" s="1115"/>
      <c r="URM19" s="1115"/>
      <c r="URN19" s="1115"/>
      <c r="URO19" s="1115"/>
      <c r="URP19" s="1115"/>
      <c r="URQ19" s="1115"/>
      <c r="URR19" s="1115"/>
      <c r="URS19" s="1115"/>
      <c r="URT19" s="1115"/>
      <c r="URU19" s="1115"/>
      <c r="URV19" s="1115"/>
      <c r="URW19" s="1115"/>
      <c r="URX19" s="1115"/>
      <c r="URY19" s="1115"/>
      <c r="URZ19" s="1115"/>
      <c r="USA19" s="1115"/>
      <c r="USB19" s="1115"/>
      <c r="USC19" s="1115"/>
      <c r="USD19" s="1115"/>
      <c r="USE19" s="1115"/>
      <c r="USF19" s="1115"/>
      <c r="USG19" s="1115"/>
      <c r="USH19" s="1115"/>
      <c r="USI19" s="1115"/>
      <c r="USJ19" s="1115"/>
      <c r="USK19" s="1115"/>
      <c r="USL19" s="1115"/>
      <c r="USM19" s="1115"/>
      <c r="USN19" s="1115"/>
      <c r="USO19" s="1115"/>
      <c r="USP19" s="1115"/>
      <c r="USQ19" s="1115"/>
      <c r="USR19" s="1115"/>
      <c r="USS19" s="1115"/>
      <c r="UST19" s="1115"/>
      <c r="USU19" s="1115"/>
      <c r="USV19" s="1115"/>
      <c r="USW19" s="1115"/>
      <c r="USX19" s="1115"/>
      <c r="USY19" s="1115"/>
      <c r="USZ19" s="1115"/>
      <c r="UTA19" s="1115"/>
      <c r="UTB19" s="1115"/>
      <c r="UTC19" s="1115"/>
      <c r="UTD19" s="1115"/>
      <c r="UTE19" s="1115"/>
      <c r="UTF19" s="1115"/>
      <c r="UTG19" s="1115"/>
      <c r="UTH19" s="1115"/>
      <c r="UTI19" s="1115"/>
      <c r="UTJ19" s="1115"/>
      <c r="UTK19" s="1115"/>
      <c r="UTL19" s="1115"/>
      <c r="UTM19" s="1115"/>
      <c r="UTN19" s="1115"/>
      <c r="UTO19" s="1115"/>
      <c r="UTP19" s="1115"/>
      <c r="UTQ19" s="1115"/>
      <c r="UTR19" s="1115"/>
      <c r="UTS19" s="1115"/>
      <c r="UTT19" s="1115"/>
      <c r="UTU19" s="1115"/>
      <c r="UTV19" s="1115"/>
      <c r="UTW19" s="1115"/>
      <c r="UTX19" s="1115"/>
      <c r="UTY19" s="1115"/>
      <c r="UTZ19" s="1115"/>
      <c r="UUA19" s="1115"/>
      <c r="UUB19" s="1115"/>
      <c r="UUC19" s="1115"/>
      <c r="UUD19" s="1115"/>
      <c r="UUE19" s="1115"/>
      <c r="UUF19" s="1115"/>
      <c r="UUG19" s="1115"/>
      <c r="UUH19" s="1115"/>
      <c r="UUI19" s="1115"/>
      <c r="UUJ19" s="1115"/>
      <c r="UUK19" s="1115"/>
      <c r="UUL19" s="1115"/>
      <c r="UUM19" s="1115"/>
      <c r="UUN19" s="1115"/>
      <c r="UUO19" s="1115"/>
      <c r="UUP19" s="1115"/>
      <c r="UUQ19" s="1115"/>
      <c r="UUR19" s="1115"/>
      <c r="UUS19" s="1115"/>
      <c r="UUT19" s="1115"/>
      <c r="UUU19" s="1115"/>
      <c r="UUV19" s="1115"/>
      <c r="UUW19" s="1115"/>
      <c r="UUX19" s="1115"/>
      <c r="UUY19" s="1115"/>
      <c r="UUZ19" s="1115"/>
      <c r="UVA19" s="1115"/>
      <c r="UVB19" s="1115"/>
      <c r="UVC19" s="1115"/>
      <c r="UVD19" s="1115"/>
      <c r="UVE19" s="1115"/>
      <c r="UVF19" s="1115"/>
      <c r="UVG19" s="1115"/>
      <c r="UVH19" s="1115"/>
      <c r="UVI19" s="1115"/>
      <c r="UVJ19" s="1115"/>
      <c r="UVK19" s="1115"/>
      <c r="UVL19" s="1115"/>
      <c r="UVM19" s="1115"/>
      <c r="UVN19" s="1115"/>
      <c r="UVO19" s="1115"/>
      <c r="UVP19" s="1115"/>
      <c r="UVQ19" s="1115"/>
      <c r="UVR19" s="1115"/>
      <c r="UVS19" s="1115"/>
      <c r="UVT19" s="1115"/>
      <c r="UVU19" s="1115"/>
      <c r="UVV19" s="1115"/>
      <c r="UVW19" s="1115"/>
      <c r="UVX19" s="1115"/>
      <c r="UVY19" s="1115"/>
      <c r="UVZ19" s="1115"/>
      <c r="UWA19" s="1115"/>
      <c r="UWB19" s="1115"/>
      <c r="UWC19" s="1115"/>
      <c r="UWD19" s="1115"/>
      <c r="UWE19" s="1115"/>
      <c r="UWF19" s="1115"/>
      <c r="UWG19" s="1115"/>
      <c r="UWH19" s="1115"/>
      <c r="UWI19" s="1115"/>
      <c r="UWJ19" s="1115"/>
      <c r="UWK19" s="1115"/>
      <c r="UWL19" s="1115"/>
      <c r="UWM19" s="1115"/>
      <c r="UWN19" s="1115"/>
      <c r="UWO19" s="1115"/>
      <c r="UWP19" s="1115"/>
      <c r="UWQ19" s="1115"/>
      <c r="UWR19" s="1115"/>
      <c r="UWS19" s="1115"/>
      <c r="UWT19" s="1115"/>
      <c r="UWU19" s="1115"/>
      <c r="UWV19" s="1115"/>
      <c r="UWW19" s="1115"/>
      <c r="UWX19" s="1115"/>
      <c r="UWY19" s="1115"/>
      <c r="UWZ19" s="1115"/>
      <c r="UXA19" s="1115"/>
      <c r="UXB19" s="1115"/>
      <c r="UXC19" s="1115"/>
      <c r="UXD19" s="1115"/>
      <c r="UXE19" s="1115"/>
      <c r="UXF19" s="1115"/>
      <c r="UXG19" s="1115"/>
      <c r="UXH19" s="1115"/>
      <c r="UXI19" s="1115"/>
      <c r="UXJ19" s="1115"/>
      <c r="UXK19" s="1115"/>
      <c r="UXL19" s="1115"/>
      <c r="UXM19" s="1115"/>
      <c r="UXN19" s="1115"/>
      <c r="UXO19" s="1115"/>
      <c r="UXP19" s="1115"/>
      <c r="UXQ19" s="1115"/>
      <c r="UXR19" s="1115"/>
      <c r="UXS19" s="1115"/>
      <c r="UXT19" s="1115"/>
      <c r="UXU19" s="1115"/>
      <c r="UXV19" s="1115"/>
      <c r="UXW19" s="1115"/>
      <c r="UXX19" s="1115"/>
      <c r="UXY19" s="1115"/>
      <c r="UXZ19" s="1115"/>
      <c r="UYA19" s="1115"/>
      <c r="UYB19" s="1115"/>
      <c r="UYC19" s="1115"/>
      <c r="UYD19" s="1115"/>
      <c r="UYE19" s="1115"/>
      <c r="UYF19" s="1115"/>
      <c r="UYG19" s="1115"/>
      <c r="UYH19" s="1115"/>
      <c r="UYI19" s="1115"/>
      <c r="UYJ19" s="1115"/>
      <c r="UYK19" s="1115"/>
      <c r="UYL19" s="1115"/>
      <c r="UYM19" s="1115"/>
      <c r="UYN19" s="1115"/>
      <c r="UYO19" s="1115"/>
      <c r="UYP19" s="1115"/>
      <c r="UYQ19" s="1115"/>
      <c r="UYR19" s="1115"/>
      <c r="UYS19" s="1115"/>
      <c r="UYT19" s="1115"/>
      <c r="UYU19" s="1115"/>
      <c r="UYV19" s="1115"/>
      <c r="UYW19" s="1115"/>
      <c r="UYX19" s="1115"/>
      <c r="UYY19" s="1115"/>
      <c r="UYZ19" s="1115"/>
      <c r="UZA19" s="1115"/>
      <c r="UZB19" s="1115"/>
      <c r="UZC19" s="1115"/>
      <c r="UZD19" s="1115"/>
      <c r="UZE19" s="1115"/>
      <c r="UZF19" s="1115"/>
      <c r="UZG19" s="1115"/>
      <c r="UZH19" s="1115"/>
      <c r="UZI19" s="1115"/>
      <c r="UZJ19" s="1115"/>
      <c r="UZK19" s="1115"/>
      <c r="UZL19" s="1115"/>
      <c r="UZM19" s="1115"/>
      <c r="UZN19" s="1115"/>
      <c r="UZO19" s="1115"/>
      <c r="UZP19" s="1115"/>
      <c r="UZQ19" s="1115"/>
      <c r="UZR19" s="1115"/>
      <c r="UZS19" s="1115"/>
      <c r="UZT19" s="1115"/>
      <c r="UZU19" s="1115"/>
      <c r="UZV19" s="1115"/>
      <c r="UZW19" s="1115"/>
      <c r="UZX19" s="1115"/>
      <c r="UZY19" s="1115"/>
      <c r="UZZ19" s="1115"/>
      <c r="VAA19" s="1115"/>
      <c r="VAB19" s="1115"/>
      <c r="VAC19" s="1115"/>
      <c r="VAD19" s="1115"/>
      <c r="VAE19" s="1115"/>
      <c r="VAF19" s="1115"/>
      <c r="VAG19" s="1115"/>
      <c r="VAH19" s="1115"/>
      <c r="VAI19" s="1115"/>
      <c r="VAJ19" s="1115"/>
      <c r="VAK19" s="1115"/>
      <c r="VAL19" s="1115"/>
      <c r="VAM19" s="1115"/>
      <c r="VAN19" s="1115"/>
      <c r="VAO19" s="1115"/>
      <c r="VAP19" s="1115"/>
      <c r="VAQ19" s="1115"/>
      <c r="VAR19" s="1115"/>
      <c r="VAS19" s="1115"/>
      <c r="VAT19" s="1115"/>
      <c r="VAU19" s="1115"/>
      <c r="VAV19" s="1115"/>
      <c r="VAW19" s="1115"/>
      <c r="VAX19" s="1115"/>
      <c r="VAY19" s="1115"/>
      <c r="VAZ19" s="1115"/>
      <c r="VBA19" s="1115"/>
      <c r="VBB19" s="1115"/>
      <c r="VBC19" s="1115"/>
      <c r="VBD19" s="1115"/>
      <c r="VBE19" s="1115"/>
      <c r="VBF19" s="1115"/>
      <c r="VBG19" s="1115"/>
      <c r="VBH19" s="1115"/>
      <c r="VBI19" s="1115"/>
      <c r="VBJ19" s="1115"/>
      <c r="VBK19" s="1115"/>
      <c r="VBL19" s="1115"/>
      <c r="VBM19" s="1115"/>
      <c r="VBN19" s="1115"/>
      <c r="VBO19" s="1115"/>
      <c r="VBP19" s="1115"/>
      <c r="VBQ19" s="1115"/>
      <c r="VBR19" s="1115"/>
      <c r="VBS19" s="1115"/>
      <c r="VBT19" s="1115"/>
      <c r="VBU19" s="1115"/>
      <c r="VBV19" s="1115"/>
      <c r="VBW19" s="1115"/>
      <c r="VBX19" s="1115"/>
      <c r="VBY19" s="1115"/>
      <c r="VBZ19" s="1115"/>
      <c r="VCA19" s="1115"/>
      <c r="VCB19" s="1115"/>
      <c r="VCC19" s="1115"/>
      <c r="VCD19" s="1115"/>
      <c r="VCE19" s="1115"/>
      <c r="VCF19" s="1115"/>
      <c r="VCG19" s="1115"/>
      <c r="VCH19" s="1115"/>
      <c r="VCI19" s="1115"/>
      <c r="VCJ19" s="1115"/>
      <c r="VCK19" s="1115"/>
      <c r="VCL19" s="1115"/>
      <c r="VCM19" s="1115"/>
      <c r="VCN19" s="1115"/>
      <c r="VCO19" s="1115"/>
      <c r="VCP19" s="1115"/>
      <c r="VCQ19" s="1115"/>
      <c r="VCR19" s="1115"/>
      <c r="VCS19" s="1115"/>
      <c r="VCT19" s="1115"/>
      <c r="VCU19" s="1115"/>
      <c r="VCV19" s="1115"/>
      <c r="VCW19" s="1115"/>
      <c r="VCX19" s="1115"/>
      <c r="VCY19" s="1115"/>
      <c r="VCZ19" s="1115"/>
      <c r="VDA19" s="1115"/>
      <c r="VDB19" s="1115"/>
      <c r="VDC19" s="1115"/>
      <c r="VDD19" s="1115"/>
      <c r="VDE19" s="1115"/>
      <c r="VDF19" s="1115"/>
      <c r="VDG19" s="1115"/>
      <c r="VDH19" s="1115"/>
      <c r="VDI19" s="1115"/>
      <c r="VDJ19" s="1115"/>
      <c r="VDK19" s="1115"/>
      <c r="VDL19" s="1115"/>
      <c r="VDM19" s="1115"/>
      <c r="VDN19" s="1115"/>
      <c r="VDO19" s="1115"/>
      <c r="VDP19" s="1115"/>
      <c r="VDQ19" s="1115"/>
      <c r="VDR19" s="1115"/>
      <c r="VDS19" s="1115"/>
      <c r="VDT19" s="1115"/>
      <c r="VDU19" s="1115"/>
      <c r="VDV19" s="1115"/>
      <c r="VDW19" s="1115"/>
      <c r="VDX19" s="1115"/>
      <c r="VDY19" s="1115"/>
      <c r="VDZ19" s="1115"/>
      <c r="VEA19" s="1115"/>
      <c r="VEB19" s="1115"/>
      <c r="VEC19" s="1115"/>
      <c r="VED19" s="1115"/>
      <c r="VEE19" s="1115"/>
      <c r="VEF19" s="1115"/>
      <c r="VEG19" s="1115"/>
      <c r="VEH19" s="1115"/>
      <c r="VEI19" s="1115"/>
      <c r="VEJ19" s="1115"/>
      <c r="VEK19" s="1115"/>
      <c r="VEL19" s="1115"/>
      <c r="VEM19" s="1115"/>
      <c r="VEN19" s="1115"/>
      <c r="VEO19" s="1115"/>
      <c r="VEP19" s="1115"/>
      <c r="VEQ19" s="1115"/>
      <c r="VER19" s="1115"/>
      <c r="VES19" s="1115"/>
      <c r="VET19" s="1115"/>
      <c r="VEU19" s="1115"/>
      <c r="VEV19" s="1115"/>
      <c r="VEW19" s="1115"/>
      <c r="VEX19" s="1115"/>
      <c r="VEY19" s="1115"/>
      <c r="VEZ19" s="1115"/>
      <c r="VFA19" s="1115"/>
      <c r="VFB19" s="1115"/>
      <c r="VFC19" s="1115"/>
      <c r="VFD19" s="1115"/>
      <c r="VFE19" s="1115"/>
      <c r="VFF19" s="1115"/>
      <c r="VFG19" s="1115"/>
      <c r="VFH19" s="1115"/>
      <c r="VFI19" s="1115"/>
      <c r="VFJ19" s="1115"/>
      <c r="VFK19" s="1115"/>
      <c r="VFL19" s="1115"/>
      <c r="VFM19" s="1115"/>
      <c r="VFN19" s="1115"/>
      <c r="VFO19" s="1115"/>
      <c r="VFP19" s="1115"/>
      <c r="VFQ19" s="1115"/>
      <c r="VFR19" s="1115"/>
      <c r="VFS19" s="1115"/>
      <c r="VFT19" s="1115"/>
      <c r="VFU19" s="1115"/>
      <c r="VFV19" s="1115"/>
      <c r="VFW19" s="1115"/>
      <c r="VFX19" s="1115"/>
      <c r="VFY19" s="1115"/>
      <c r="VFZ19" s="1115"/>
      <c r="VGA19" s="1115"/>
      <c r="VGB19" s="1115"/>
      <c r="VGC19" s="1115"/>
      <c r="VGD19" s="1115"/>
      <c r="VGE19" s="1115"/>
      <c r="VGF19" s="1115"/>
      <c r="VGG19" s="1115"/>
      <c r="VGH19" s="1115"/>
      <c r="VGI19" s="1115"/>
      <c r="VGJ19" s="1115"/>
      <c r="VGK19" s="1115"/>
      <c r="VGL19" s="1115"/>
      <c r="VGM19" s="1115"/>
      <c r="VGN19" s="1115"/>
      <c r="VGO19" s="1115"/>
      <c r="VGP19" s="1115"/>
      <c r="VGQ19" s="1115"/>
      <c r="VGR19" s="1115"/>
      <c r="VGS19" s="1115"/>
      <c r="VGT19" s="1115"/>
      <c r="VGU19" s="1115"/>
      <c r="VGV19" s="1115"/>
      <c r="VGW19" s="1115"/>
      <c r="VGX19" s="1115"/>
      <c r="VGY19" s="1115"/>
      <c r="VGZ19" s="1115"/>
      <c r="VHA19" s="1115"/>
      <c r="VHB19" s="1115"/>
      <c r="VHC19" s="1115"/>
      <c r="VHD19" s="1115"/>
      <c r="VHE19" s="1115"/>
      <c r="VHF19" s="1115"/>
      <c r="VHG19" s="1115"/>
      <c r="VHH19" s="1115"/>
      <c r="VHI19" s="1115"/>
      <c r="VHJ19" s="1115"/>
      <c r="VHK19" s="1115"/>
      <c r="VHL19" s="1115"/>
      <c r="VHM19" s="1115"/>
      <c r="VHN19" s="1115"/>
      <c r="VHO19" s="1115"/>
      <c r="VHP19" s="1115"/>
      <c r="VHQ19" s="1115"/>
      <c r="VHR19" s="1115"/>
      <c r="VHS19" s="1115"/>
      <c r="VHT19" s="1115"/>
      <c r="VHU19" s="1115"/>
      <c r="VHV19" s="1115"/>
      <c r="VHW19" s="1115"/>
      <c r="VHX19" s="1115"/>
      <c r="VHY19" s="1115"/>
      <c r="VHZ19" s="1115"/>
      <c r="VIA19" s="1115"/>
      <c r="VIB19" s="1115"/>
      <c r="VIC19" s="1115"/>
      <c r="VID19" s="1115"/>
      <c r="VIE19" s="1115"/>
      <c r="VIF19" s="1115"/>
      <c r="VIG19" s="1115"/>
      <c r="VIH19" s="1115"/>
      <c r="VII19" s="1115"/>
      <c r="VIJ19" s="1115"/>
      <c r="VIK19" s="1115"/>
      <c r="VIL19" s="1115"/>
      <c r="VIM19" s="1115"/>
      <c r="VIN19" s="1115"/>
      <c r="VIO19" s="1115"/>
      <c r="VIP19" s="1115"/>
      <c r="VIQ19" s="1115"/>
      <c r="VIR19" s="1115"/>
      <c r="VIS19" s="1115"/>
      <c r="VIT19" s="1115"/>
      <c r="VIU19" s="1115"/>
      <c r="VIV19" s="1115"/>
      <c r="VIW19" s="1115"/>
      <c r="VIX19" s="1115"/>
      <c r="VIY19" s="1115"/>
      <c r="VIZ19" s="1115"/>
      <c r="VJA19" s="1115"/>
      <c r="VJB19" s="1115"/>
      <c r="VJC19" s="1115"/>
      <c r="VJD19" s="1115"/>
      <c r="VJE19" s="1115"/>
      <c r="VJF19" s="1115"/>
      <c r="VJG19" s="1115"/>
      <c r="VJH19" s="1115"/>
      <c r="VJI19" s="1115"/>
      <c r="VJJ19" s="1115"/>
      <c r="VJK19" s="1115"/>
      <c r="VJL19" s="1115"/>
      <c r="VJM19" s="1115"/>
      <c r="VJN19" s="1115"/>
      <c r="VJO19" s="1115"/>
      <c r="VJP19" s="1115"/>
      <c r="VJQ19" s="1115"/>
      <c r="VJR19" s="1115"/>
      <c r="VJS19" s="1115"/>
      <c r="VJT19" s="1115"/>
      <c r="VJU19" s="1115"/>
      <c r="VJV19" s="1115"/>
      <c r="VJW19" s="1115"/>
      <c r="VJX19" s="1115"/>
      <c r="VJY19" s="1115"/>
      <c r="VJZ19" s="1115"/>
      <c r="VKA19" s="1115"/>
      <c r="VKB19" s="1115"/>
      <c r="VKC19" s="1115"/>
      <c r="VKD19" s="1115"/>
      <c r="VKE19" s="1115"/>
      <c r="VKF19" s="1115"/>
      <c r="VKG19" s="1115"/>
      <c r="VKH19" s="1115"/>
      <c r="VKI19" s="1115"/>
      <c r="VKJ19" s="1115"/>
      <c r="VKK19" s="1115"/>
      <c r="VKL19" s="1115"/>
      <c r="VKM19" s="1115"/>
      <c r="VKN19" s="1115"/>
      <c r="VKO19" s="1115"/>
      <c r="VKP19" s="1115"/>
      <c r="VKQ19" s="1115"/>
      <c r="VKR19" s="1115"/>
      <c r="VKS19" s="1115"/>
      <c r="VKT19" s="1115"/>
      <c r="VKU19" s="1115"/>
      <c r="VKV19" s="1115"/>
      <c r="VKW19" s="1115"/>
      <c r="VKX19" s="1115"/>
      <c r="VKY19" s="1115"/>
      <c r="VKZ19" s="1115"/>
      <c r="VLA19" s="1115"/>
      <c r="VLB19" s="1115"/>
      <c r="VLC19" s="1115"/>
      <c r="VLD19" s="1115"/>
      <c r="VLE19" s="1115"/>
      <c r="VLF19" s="1115"/>
      <c r="VLG19" s="1115"/>
      <c r="VLH19" s="1115"/>
      <c r="VLI19" s="1115"/>
      <c r="VLJ19" s="1115"/>
      <c r="VLK19" s="1115"/>
      <c r="VLL19" s="1115"/>
      <c r="VLM19" s="1115"/>
      <c r="VLN19" s="1115"/>
      <c r="VLO19" s="1115"/>
      <c r="VLP19" s="1115"/>
      <c r="VLQ19" s="1115"/>
      <c r="VLR19" s="1115"/>
      <c r="VLS19" s="1115"/>
      <c r="VLT19" s="1115"/>
      <c r="VLU19" s="1115"/>
      <c r="VLV19" s="1115"/>
      <c r="VLW19" s="1115"/>
      <c r="VLX19" s="1115"/>
      <c r="VLY19" s="1115"/>
      <c r="VLZ19" s="1115"/>
      <c r="VMA19" s="1115"/>
      <c r="VMB19" s="1115"/>
      <c r="VMC19" s="1115"/>
      <c r="VMD19" s="1115"/>
      <c r="VME19" s="1115"/>
      <c r="VMF19" s="1115"/>
      <c r="VMG19" s="1115"/>
      <c r="VMH19" s="1115"/>
      <c r="VMI19" s="1115"/>
      <c r="VMJ19" s="1115"/>
      <c r="VMK19" s="1115"/>
      <c r="VML19" s="1115"/>
      <c r="VMM19" s="1115"/>
      <c r="VMN19" s="1115"/>
      <c r="VMO19" s="1115"/>
      <c r="VMP19" s="1115"/>
      <c r="VMQ19" s="1115"/>
      <c r="VMR19" s="1115"/>
      <c r="VMS19" s="1115"/>
      <c r="VMT19" s="1115"/>
      <c r="VMU19" s="1115"/>
      <c r="VMV19" s="1115"/>
      <c r="VMW19" s="1115"/>
      <c r="VMX19" s="1115"/>
      <c r="VMY19" s="1115"/>
      <c r="VMZ19" s="1115"/>
      <c r="VNA19" s="1115"/>
      <c r="VNB19" s="1115"/>
      <c r="VNC19" s="1115"/>
      <c r="VND19" s="1115"/>
      <c r="VNE19" s="1115"/>
      <c r="VNF19" s="1115"/>
      <c r="VNG19" s="1115"/>
      <c r="VNH19" s="1115"/>
      <c r="VNI19" s="1115"/>
      <c r="VNJ19" s="1115"/>
      <c r="VNK19" s="1115"/>
      <c r="VNL19" s="1115"/>
      <c r="VNM19" s="1115"/>
      <c r="VNN19" s="1115"/>
      <c r="VNO19" s="1115"/>
      <c r="VNP19" s="1115"/>
      <c r="VNQ19" s="1115"/>
      <c r="VNR19" s="1115"/>
      <c r="VNS19" s="1115"/>
      <c r="VNT19" s="1115"/>
      <c r="VNU19" s="1115"/>
      <c r="VNV19" s="1115"/>
      <c r="VNW19" s="1115"/>
      <c r="VNX19" s="1115"/>
      <c r="VNY19" s="1115"/>
      <c r="VNZ19" s="1115"/>
      <c r="VOA19" s="1115"/>
      <c r="VOB19" s="1115"/>
      <c r="VOC19" s="1115"/>
      <c r="VOD19" s="1115"/>
      <c r="VOE19" s="1115"/>
      <c r="VOF19" s="1115"/>
      <c r="VOG19" s="1115"/>
      <c r="VOH19" s="1115"/>
      <c r="VOI19" s="1115"/>
      <c r="VOJ19" s="1115"/>
      <c r="VOK19" s="1115"/>
      <c r="VOL19" s="1115"/>
      <c r="VOM19" s="1115"/>
      <c r="VON19" s="1115"/>
      <c r="VOO19" s="1115"/>
      <c r="VOP19" s="1115"/>
      <c r="VOQ19" s="1115"/>
      <c r="VOR19" s="1115"/>
      <c r="VOS19" s="1115"/>
      <c r="VOT19" s="1115"/>
      <c r="VOU19" s="1115"/>
      <c r="VOV19" s="1115"/>
      <c r="VOW19" s="1115"/>
      <c r="VOX19" s="1115"/>
      <c r="VOY19" s="1115"/>
      <c r="VOZ19" s="1115"/>
      <c r="VPA19" s="1115"/>
      <c r="VPB19" s="1115"/>
      <c r="VPC19" s="1115"/>
      <c r="VPD19" s="1115"/>
      <c r="VPE19" s="1115"/>
      <c r="VPF19" s="1115"/>
      <c r="VPG19" s="1115"/>
      <c r="VPH19" s="1115"/>
      <c r="VPI19" s="1115"/>
      <c r="VPJ19" s="1115"/>
      <c r="VPK19" s="1115"/>
      <c r="VPL19" s="1115"/>
      <c r="VPM19" s="1115"/>
      <c r="VPN19" s="1115"/>
      <c r="VPO19" s="1115"/>
      <c r="VPP19" s="1115"/>
      <c r="VPQ19" s="1115"/>
      <c r="VPR19" s="1115"/>
      <c r="VPS19" s="1115"/>
      <c r="VPT19" s="1115"/>
      <c r="VPU19" s="1115"/>
      <c r="VPV19" s="1115"/>
      <c r="VPW19" s="1115"/>
      <c r="VPX19" s="1115"/>
      <c r="VPY19" s="1115"/>
      <c r="VPZ19" s="1115"/>
      <c r="VQA19" s="1115"/>
      <c r="VQB19" s="1115"/>
      <c r="VQC19" s="1115"/>
      <c r="VQD19" s="1115"/>
      <c r="VQE19" s="1115"/>
      <c r="VQF19" s="1115"/>
      <c r="VQG19" s="1115"/>
      <c r="VQH19" s="1115"/>
      <c r="VQI19" s="1115"/>
      <c r="VQJ19" s="1115"/>
      <c r="VQK19" s="1115"/>
      <c r="VQL19" s="1115"/>
      <c r="VQM19" s="1115"/>
      <c r="VQN19" s="1115"/>
      <c r="VQO19" s="1115"/>
      <c r="VQP19" s="1115"/>
      <c r="VQQ19" s="1115"/>
      <c r="VQR19" s="1115"/>
      <c r="VQS19" s="1115"/>
      <c r="VQT19" s="1115"/>
      <c r="VQU19" s="1115"/>
      <c r="VQV19" s="1115"/>
      <c r="VQW19" s="1115"/>
      <c r="VQX19" s="1115"/>
      <c r="VQY19" s="1115"/>
      <c r="VQZ19" s="1115"/>
      <c r="VRA19" s="1115"/>
      <c r="VRB19" s="1115"/>
      <c r="VRC19" s="1115"/>
      <c r="VRD19" s="1115"/>
      <c r="VRE19" s="1115"/>
      <c r="VRF19" s="1115"/>
      <c r="VRG19" s="1115"/>
      <c r="VRH19" s="1115"/>
      <c r="VRI19" s="1115"/>
      <c r="VRJ19" s="1115"/>
      <c r="VRK19" s="1115"/>
      <c r="VRL19" s="1115"/>
      <c r="VRM19" s="1115"/>
      <c r="VRN19" s="1115"/>
      <c r="VRO19" s="1115"/>
      <c r="VRP19" s="1115"/>
      <c r="VRQ19" s="1115"/>
      <c r="VRR19" s="1115"/>
      <c r="VRS19" s="1115"/>
      <c r="VRT19" s="1115"/>
      <c r="VRU19" s="1115"/>
      <c r="VRV19" s="1115"/>
      <c r="VRW19" s="1115"/>
      <c r="VRX19" s="1115"/>
      <c r="VRY19" s="1115"/>
      <c r="VRZ19" s="1115"/>
      <c r="VSA19" s="1115"/>
      <c r="VSB19" s="1115"/>
      <c r="VSC19" s="1115"/>
      <c r="VSD19" s="1115"/>
      <c r="VSE19" s="1115"/>
      <c r="VSF19" s="1115"/>
      <c r="VSG19" s="1115"/>
      <c r="VSH19" s="1115"/>
      <c r="VSI19" s="1115"/>
      <c r="VSJ19" s="1115"/>
      <c r="VSK19" s="1115"/>
      <c r="VSL19" s="1115"/>
      <c r="VSM19" s="1115"/>
      <c r="VSN19" s="1115"/>
      <c r="VSO19" s="1115"/>
      <c r="VSP19" s="1115"/>
      <c r="VSQ19" s="1115"/>
      <c r="VSR19" s="1115"/>
      <c r="VSS19" s="1115"/>
      <c r="VST19" s="1115"/>
      <c r="VSU19" s="1115"/>
      <c r="VSV19" s="1115"/>
      <c r="VSW19" s="1115"/>
      <c r="VSX19" s="1115"/>
      <c r="VSY19" s="1115"/>
      <c r="VSZ19" s="1115"/>
      <c r="VTA19" s="1115"/>
      <c r="VTB19" s="1115"/>
      <c r="VTC19" s="1115"/>
      <c r="VTD19" s="1115"/>
      <c r="VTE19" s="1115"/>
      <c r="VTF19" s="1115"/>
      <c r="VTG19" s="1115"/>
      <c r="VTH19" s="1115"/>
      <c r="VTI19" s="1115"/>
      <c r="VTJ19" s="1115"/>
      <c r="VTK19" s="1115"/>
      <c r="VTL19" s="1115"/>
      <c r="VTM19" s="1115"/>
      <c r="VTN19" s="1115"/>
      <c r="VTO19" s="1115"/>
      <c r="VTP19" s="1115"/>
      <c r="VTQ19" s="1115"/>
      <c r="VTR19" s="1115"/>
      <c r="VTS19" s="1115"/>
      <c r="VTT19" s="1115"/>
      <c r="VTU19" s="1115"/>
      <c r="VTV19" s="1115"/>
      <c r="VTW19" s="1115"/>
      <c r="VTX19" s="1115"/>
      <c r="VTY19" s="1115"/>
      <c r="VTZ19" s="1115"/>
      <c r="VUA19" s="1115"/>
      <c r="VUB19" s="1115"/>
      <c r="VUC19" s="1115"/>
      <c r="VUD19" s="1115"/>
      <c r="VUE19" s="1115"/>
      <c r="VUF19" s="1115"/>
      <c r="VUG19" s="1115"/>
      <c r="VUH19" s="1115"/>
      <c r="VUI19" s="1115"/>
      <c r="VUJ19" s="1115"/>
      <c r="VUK19" s="1115"/>
      <c r="VUL19" s="1115"/>
      <c r="VUM19" s="1115"/>
      <c r="VUN19" s="1115"/>
      <c r="VUO19" s="1115"/>
      <c r="VUP19" s="1115"/>
      <c r="VUQ19" s="1115"/>
      <c r="VUR19" s="1115"/>
      <c r="VUS19" s="1115"/>
      <c r="VUT19" s="1115"/>
      <c r="VUU19" s="1115"/>
      <c r="VUV19" s="1115"/>
      <c r="VUW19" s="1115"/>
      <c r="VUX19" s="1115"/>
      <c r="VUY19" s="1115"/>
      <c r="VUZ19" s="1115"/>
      <c r="VVA19" s="1115"/>
      <c r="VVB19" s="1115"/>
      <c r="VVC19" s="1115"/>
      <c r="VVD19" s="1115"/>
      <c r="VVE19" s="1115"/>
      <c r="VVF19" s="1115"/>
      <c r="VVG19" s="1115"/>
      <c r="VVH19" s="1115"/>
      <c r="VVI19" s="1115"/>
      <c r="VVJ19" s="1115"/>
      <c r="VVK19" s="1115"/>
      <c r="VVL19" s="1115"/>
      <c r="VVM19" s="1115"/>
      <c r="VVN19" s="1115"/>
      <c r="VVO19" s="1115"/>
      <c r="VVP19" s="1115"/>
      <c r="VVQ19" s="1115"/>
      <c r="VVR19" s="1115"/>
      <c r="VVS19" s="1115"/>
      <c r="VVT19" s="1115"/>
      <c r="VVU19" s="1115"/>
      <c r="VVV19" s="1115"/>
      <c r="VVW19" s="1115"/>
      <c r="VVX19" s="1115"/>
      <c r="VVY19" s="1115"/>
      <c r="VVZ19" s="1115"/>
      <c r="VWA19" s="1115"/>
      <c r="VWB19" s="1115"/>
      <c r="VWC19" s="1115"/>
      <c r="VWD19" s="1115"/>
      <c r="VWE19" s="1115"/>
      <c r="VWF19" s="1115"/>
      <c r="VWG19" s="1115"/>
      <c r="VWH19" s="1115"/>
      <c r="VWI19" s="1115"/>
      <c r="VWJ19" s="1115"/>
      <c r="VWK19" s="1115"/>
      <c r="VWL19" s="1115"/>
      <c r="VWM19" s="1115"/>
      <c r="VWN19" s="1115"/>
      <c r="VWO19" s="1115"/>
      <c r="VWP19" s="1115"/>
      <c r="VWQ19" s="1115"/>
      <c r="VWR19" s="1115"/>
      <c r="VWS19" s="1115"/>
      <c r="VWT19" s="1115"/>
      <c r="VWU19" s="1115"/>
      <c r="VWV19" s="1115"/>
      <c r="VWW19" s="1115"/>
      <c r="VWX19" s="1115"/>
      <c r="VWY19" s="1115"/>
      <c r="VWZ19" s="1115"/>
      <c r="VXA19" s="1115"/>
      <c r="VXB19" s="1115"/>
      <c r="VXC19" s="1115"/>
      <c r="VXD19" s="1115"/>
      <c r="VXE19" s="1115"/>
      <c r="VXF19" s="1115"/>
      <c r="VXG19" s="1115"/>
      <c r="VXH19" s="1115"/>
      <c r="VXI19" s="1115"/>
      <c r="VXJ19" s="1115"/>
      <c r="VXK19" s="1115"/>
      <c r="VXL19" s="1115"/>
      <c r="VXM19" s="1115"/>
      <c r="VXN19" s="1115"/>
      <c r="VXO19" s="1115"/>
      <c r="VXP19" s="1115"/>
      <c r="VXQ19" s="1115"/>
      <c r="VXR19" s="1115"/>
      <c r="VXS19" s="1115"/>
      <c r="VXT19" s="1115"/>
      <c r="VXU19" s="1115"/>
      <c r="VXV19" s="1115"/>
      <c r="VXW19" s="1115"/>
      <c r="VXX19" s="1115"/>
      <c r="VXY19" s="1115"/>
      <c r="VXZ19" s="1115"/>
      <c r="VYA19" s="1115"/>
      <c r="VYB19" s="1115"/>
      <c r="VYC19" s="1115"/>
      <c r="VYD19" s="1115"/>
      <c r="VYE19" s="1115"/>
      <c r="VYF19" s="1115"/>
      <c r="VYG19" s="1115"/>
      <c r="VYH19" s="1115"/>
      <c r="VYI19" s="1115"/>
      <c r="VYJ19" s="1115"/>
      <c r="VYK19" s="1115"/>
      <c r="VYL19" s="1115"/>
      <c r="VYM19" s="1115"/>
      <c r="VYN19" s="1115"/>
      <c r="VYO19" s="1115"/>
      <c r="VYP19" s="1115"/>
      <c r="VYQ19" s="1115"/>
      <c r="VYR19" s="1115"/>
      <c r="VYS19" s="1115"/>
      <c r="VYT19" s="1115"/>
      <c r="VYU19" s="1115"/>
      <c r="VYV19" s="1115"/>
      <c r="VYW19" s="1115"/>
      <c r="VYX19" s="1115"/>
      <c r="VYY19" s="1115"/>
      <c r="VYZ19" s="1115"/>
      <c r="VZA19" s="1115"/>
      <c r="VZB19" s="1115"/>
      <c r="VZC19" s="1115"/>
      <c r="VZD19" s="1115"/>
      <c r="VZE19" s="1115"/>
      <c r="VZF19" s="1115"/>
      <c r="VZG19" s="1115"/>
      <c r="VZH19" s="1115"/>
      <c r="VZI19" s="1115"/>
      <c r="VZJ19" s="1115"/>
      <c r="VZK19" s="1115"/>
      <c r="VZL19" s="1115"/>
      <c r="VZM19" s="1115"/>
      <c r="VZN19" s="1115"/>
      <c r="VZO19" s="1115"/>
      <c r="VZP19" s="1115"/>
      <c r="VZQ19" s="1115"/>
      <c r="VZR19" s="1115"/>
      <c r="VZS19" s="1115"/>
      <c r="VZT19" s="1115"/>
      <c r="VZU19" s="1115"/>
      <c r="VZV19" s="1115"/>
      <c r="VZW19" s="1115"/>
      <c r="VZX19" s="1115"/>
      <c r="VZY19" s="1115"/>
      <c r="VZZ19" s="1115"/>
      <c r="WAA19" s="1115"/>
      <c r="WAB19" s="1115"/>
      <c r="WAC19" s="1115"/>
      <c r="WAD19" s="1115"/>
      <c r="WAE19" s="1115"/>
      <c r="WAF19" s="1115"/>
      <c r="WAG19" s="1115"/>
      <c r="WAH19" s="1115"/>
      <c r="WAI19" s="1115"/>
      <c r="WAJ19" s="1115"/>
      <c r="WAK19" s="1115"/>
      <c r="WAL19" s="1115"/>
      <c r="WAM19" s="1115"/>
      <c r="WAN19" s="1115"/>
      <c r="WAO19" s="1115"/>
      <c r="WAP19" s="1115"/>
      <c r="WAQ19" s="1115"/>
      <c r="WAR19" s="1115"/>
      <c r="WAS19" s="1115"/>
      <c r="WAT19" s="1115"/>
      <c r="WAU19" s="1115"/>
      <c r="WAV19" s="1115"/>
      <c r="WAW19" s="1115"/>
      <c r="WAX19" s="1115"/>
      <c r="WAY19" s="1115"/>
      <c r="WAZ19" s="1115"/>
      <c r="WBA19" s="1115"/>
      <c r="WBB19" s="1115"/>
      <c r="WBC19" s="1115"/>
      <c r="WBD19" s="1115"/>
      <c r="WBE19" s="1115"/>
      <c r="WBF19" s="1115"/>
      <c r="WBG19" s="1115"/>
      <c r="WBH19" s="1115"/>
      <c r="WBI19" s="1115"/>
      <c r="WBJ19" s="1115"/>
      <c r="WBK19" s="1115"/>
      <c r="WBL19" s="1115"/>
      <c r="WBM19" s="1115"/>
      <c r="WBN19" s="1115"/>
      <c r="WBO19" s="1115"/>
      <c r="WBP19" s="1115"/>
      <c r="WBQ19" s="1115"/>
      <c r="WBR19" s="1115"/>
      <c r="WBS19" s="1115"/>
      <c r="WBT19" s="1115"/>
      <c r="WBU19" s="1115"/>
      <c r="WBV19" s="1115"/>
      <c r="WBW19" s="1115"/>
      <c r="WBX19" s="1115"/>
      <c r="WBY19" s="1115"/>
      <c r="WBZ19" s="1115"/>
      <c r="WCA19" s="1115"/>
      <c r="WCB19" s="1115"/>
      <c r="WCC19" s="1115"/>
      <c r="WCD19" s="1115"/>
      <c r="WCE19" s="1115"/>
      <c r="WCF19" s="1115"/>
      <c r="WCG19" s="1115"/>
      <c r="WCH19" s="1115"/>
      <c r="WCI19" s="1115"/>
      <c r="WCJ19" s="1115"/>
      <c r="WCK19" s="1115"/>
      <c r="WCL19" s="1115"/>
      <c r="WCM19" s="1115"/>
      <c r="WCN19" s="1115"/>
      <c r="WCO19" s="1115"/>
      <c r="WCP19" s="1115"/>
      <c r="WCQ19" s="1115"/>
      <c r="WCR19" s="1115"/>
      <c r="WCS19" s="1115"/>
      <c r="WCT19" s="1115"/>
      <c r="WCU19" s="1115"/>
      <c r="WCV19" s="1115"/>
      <c r="WCW19" s="1115"/>
      <c r="WCX19" s="1115"/>
      <c r="WCY19" s="1115"/>
      <c r="WCZ19" s="1115"/>
      <c r="WDA19" s="1115"/>
      <c r="WDB19" s="1115"/>
      <c r="WDC19" s="1115"/>
      <c r="WDD19" s="1115"/>
      <c r="WDE19" s="1115"/>
      <c r="WDF19" s="1115"/>
      <c r="WDG19" s="1115"/>
      <c r="WDH19" s="1115"/>
      <c r="WDI19" s="1115"/>
      <c r="WDJ19" s="1115"/>
      <c r="WDK19" s="1115"/>
      <c r="WDL19" s="1115"/>
      <c r="WDM19" s="1115"/>
      <c r="WDN19" s="1115"/>
      <c r="WDO19" s="1115"/>
      <c r="WDP19" s="1115"/>
      <c r="WDQ19" s="1115"/>
      <c r="WDR19" s="1115"/>
      <c r="WDS19" s="1115"/>
      <c r="WDT19" s="1115"/>
      <c r="WDU19" s="1115"/>
      <c r="WDV19" s="1115"/>
      <c r="WDW19" s="1115"/>
      <c r="WDX19" s="1115"/>
      <c r="WDY19" s="1115"/>
      <c r="WDZ19" s="1115"/>
      <c r="WEA19" s="1115"/>
      <c r="WEB19" s="1115"/>
      <c r="WEC19" s="1115"/>
      <c r="WED19" s="1115"/>
      <c r="WEE19" s="1115"/>
      <c r="WEF19" s="1115"/>
      <c r="WEG19" s="1115"/>
      <c r="WEH19" s="1115"/>
      <c r="WEI19" s="1115"/>
      <c r="WEJ19" s="1115"/>
      <c r="WEK19" s="1115"/>
      <c r="WEL19" s="1115"/>
      <c r="WEM19" s="1115"/>
      <c r="WEN19" s="1115"/>
      <c r="WEO19" s="1115"/>
      <c r="WEP19" s="1115"/>
      <c r="WEQ19" s="1115"/>
      <c r="WER19" s="1115"/>
      <c r="WES19" s="1115"/>
      <c r="WET19" s="1115"/>
      <c r="WEU19" s="1115"/>
      <c r="WEV19" s="1115"/>
      <c r="WEW19" s="1115"/>
      <c r="WEX19" s="1115"/>
      <c r="WEY19" s="1115"/>
      <c r="WEZ19" s="1115"/>
      <c r="WFA19" s="1115"/>
      <c r="WFB19" s="1115"/>
      <c r="WFC19" s="1115"/>
      <c r="WFD19" s="1115"/>
      <c r="WFE19" s="1115"/>
      <c r="WFF19" s="1115"/>
      <c r="WFG19" s="1115"/>
      <c r="WFH19" s="1115"/>
      <c r="WFI19" s="1115"/>
      <c r="WFJ19" s="1115"/>
      <c r="WFK19" s="1115"/>
      <c r="WFL19" s="1115"/>
      <c r="WFM19" s="1115"/>
      <c r="WFN19" s="1115"/>
      <c r="WFO19" s="1115"/>
      <c r="WFP19" s="1115"/>
      <c r="WFQ19" s="1115"/>
      <c r="WFR19" s="1115"/>
      <c r="WFS19" s="1115"/>
      <c r="WFT19" s="1115"/>
      <c r="WFU19" s="1115"/>
      <c r="WFV19" s="1115"/>
      <c r="WFW19" s="1115"/>
      <c r="WFX19" s="1115"/>
      <c r="WFY19" s="1115"/>
      <c r="WFZ19" s="1115"/>
      <c r="WGA19" s="1115"/>
      <c r="WGB19" s="1115"/>
      <c r="WGC19" s="1115"/>
      <c r="WGD19" s="1115"/>
      <c r="WGE19" s="1115"/>
      <c r="WGF19" s="1115"/>
      <c r="WGG19" s="1115"/>
      <c r="WGH19" s="1115"/>
      <c r="WGI19" s="1115"/>
      <c r="WGJ19" s="1115"/>
      <c r="WGK19" s="1115"/>
      <c r="WGL19" s="1115"/>
      <c r="WGM19" s="1115"/>
      <c r="WGN19" s="1115"/>
      <c r="WGO19" s="1115"/>
      <c r="WGP19" s="1115"/>
      <c r="WGQ19" s="1115"/>
      <c r="WGR19" s="1115"/>
      <c r="WGS19" s="1115"/>
      <c r="WGT19" s="1115"/>
      <c r="WGU19" s="1115"/>
      <c r="WGV19" s="1115"/>
      <c r="WGW19" s="1115"/>
      <c r="WGX19" s="1115"/>
      <c r="WGY19" s="1115"/>
      <c r="WGZ19" s="1115"/>
      <c r="WHA19" s="1115"/>
      <c r="WHB19" s="1115"/>
      <c r="WHC19" s="1115"/>
      <c r="WHD19" s="1115"/>
      <c r="WHE19" s="1115"/>
      <c r="WHF19" s="1115"/>
      <c r="WHG19" s="1115"/>
      <c r="WHH19" s="1115"/>
      <c r="WHI19" s="1115"/>
      <c r="WHJ19" s="1115"/>
      <c r="WHK19" s="1115"/>
      <c r="WHL19" s="1115"/>
      <c r="WHM19" s="1115"/>
      <c r="WHN19" s="1115"/>
      <c r="WHO19" s="1115"/>
      <c r="WHP19" s="1115"/>
      <c r="WHQ19" s="1115"/>
      <c r="WHR19" s="1115"/>
      <c r="WHS19" s="1115"/>
      <c r="WHT19" s="1115"/>
      <c r="WHU19" s="1115"/>
      <c r="WHV19" s="1115"/>
      <c r="WHW19" s="1115"/>
      <c r="WHX19" s="1115"/>
      <c r="WHY19" s="1115"/>
      <c r="WHZ19" s="1115"/>
      <c r="WIA19" s="1115"/>
      <c r="WIB19" s="1115"/>
      <c r="WIC19" s="1115"/>
      <c r="WID19" s="1115"/>
      <c r="WIE19" s="1115"/>
      <c r="WIF19" s="1115"/>
      <c r="WIG19" s="1115"/>
      <c r="WIH19" s="1115"/>
      <c r="WII19" s="1115"/>
      <c r="WIJ19" s="1115"/>
      <c r="WIK19" s="1115"/>
      <c r="WIL19" s="1115"/>
      <c r="WIM19" s="1115"/>
      <c r="WIN19" s="1115"/>
      <c r="WIO19" s="1115"/>
      <c r="WIP19" s="1115"/>
      <c r="WIQ19" s="1115"/>
      <c r="WIR19" s="1115"/>
      <c r="WIS19" s="1115"/>
      <c r="WIT19" s="1115"/>
      <c r="WIU19" s="1115"/>
      <c r="WIV19" s="1115"/>
      <c r="WIW19" s="1115"/>
      <c r="WIX19" s="1115"/>
      <c r="WIY19" s="1115"/>
      <c r="WIZ19" s="1115"/>
      <c r="WJA19" s="1115"/>
      <c r="WJB19" s="1115"/>
      <c r="WJC19" s="1115"/>
      <c r="WJD19" s="1115"/>
      <c r="WJE19" s="1115"/>
      <c r="WJF19" s="1115"/>
      <c r="WJG19" s="1115"/>
      <c r="WJH19" s="1115"/>
      <c r="WJI19" s="1115"/>
      <c r="WJJ19" s="1115"/>
      <c r="WJK19" s="1115"/>
      <c r="WJL19" s="1115"/>
      <c r="WJM19" s="1115"/>
      <c r="WJN19" s="1115"/>
      <c r="WJO19" s="1115"/>
      <c r="WJP19" s="1115"/>
      <c r="WJQ19" s="1115"/>
      <c r="WJR19" s="1115"/>
      <c r="WJS19" s="1115"/>
      <c r="WJT19" s="1115"/>
      <c r="WJU19" s="1115"/>
      <c r="WJV19" s="1115"/>
      <c r="WJW19" s="1115"/>
      <c r="WJX19" s="1115"/>
      <c r="WJY19" s="1115"/>
      <c r="WJZ19" s="1115"/>
      <c r="WKA19" s="1115"/>
      <c r="WKB19" s="1115"/>
      <c r="WKC19" s="1115"/>
      <c r="WKD19" s="1115"/>
      <c r="WKE19" s="1115"/>
      <c r="WKF19" s="1115"/>
      <c r="WKG19" s="1115"/>
      <c r="WKH19" s="1115"/>
      <c r="WKI19" s="1115"/>
      <c r="WKJ19" s="1115"/>
      <c r="WKK19" s="1115"/>
      <c r="WKL19" s="1115"/>
      <c r="WKM19" s="1115"/>
      <c r="WKN19" s="1115"/>
      <c r="WKO19" s="1115"/>
      <c r="WKP19" s="1115"/>
      <c r="WKQ19" s="1115"/>
      <c r="WKR19" s="1115"/>
      <c r="WKS19" s="1115"/>
      <c r="WKT19" s="1115"/>
      <c r="WKU19" s="1115"/>
      <c r="WKV19" s="1115"/>
      <c r="WKW19" s="1115"/>
      <c r="WKX19" s="1115"/>
      <c r="WKY19" s="1115"/>
      <c r="WKZ19" s="1115"/>
      <c r="WLA19" s="1115"/>
      <c r="WLB19" s="1115"/>
      <c r="WLC19" s="1115"/>
      <c r="WLD19" s="1115"/>
      <c r="WLE19" s="1115"/>
      <c r="WLF19" s="1115"/>
      <c r="WLG19" s="1115"/>
      <c r="WLH19" s="1115"/>
      <c r="WLI19" s="1115"/>
      <c r="WLJ19" s="1115"/>
      <c r="WLK19" s="1115"/>
      <c r="WLL19" s="1115"/>
      <c r="WLM19" s="1115"/>
      <c r="WLN19" s="1115"/>
      <c r="WLO19" s="1115"/>
      <c r="WLP19" s="1115"/>
      <c r="WLQ19" s="1115"/>
      <c r="WLR19" s="1115"/>
      <c r="WLS19" s="1115"/>
      <c r="WLT19" s="1115"/>
      <c r="WLU19" s="1115"/>
      <c r="WLV19" s="1115"/>
      <c r="WLW19" s="1115"/>
      <c r="WLX19" s="1115"/>
      <c r="WLY19" s="1115"/>
      <c r="WLZ19" s="1115"/>
      <c r="WMA19" s="1115"/>
      <c r="WMB19" s="1115"/>
      <c r="WMC19" s="1115"/>
      <c r="WMD19" s="1115"/>
      <c r="WME19" s="1115"/>
      <c r="WMF19" s="1115"/>
      <c r="WMG19" s="1115"/>
      <c r="WMH19" s="1115"/>
      <c r="WMI19" s="1115"/>
      <c r="WMJ19" s="1115"/>
      <c r="WMK19" s="1115"/>
      <c r="WML19" s="1115"/>
      <c r="WMM19" s="1115"/>
      <c r="WMN19" s="1115"/>
      <c r="WMO19" s="1115"/>
      <c r="WMP19" s="1115"/>
      <c r="WMQ19" s="1115"/>
      <c r="WMR19" s="1115"/>
      <c r="WMS19" s="1115"/>
      <c r="WMT19" s="1115"/>
      <c r="WMU19" s="1115"/>
      <c r="WMV19" s="1115"/>
      <c r="WMW19" s="1115"/>
      <c r="WMX19" s="1115"/>
      <c r="WMY19" s="1115"/>
      <c r="WMZ19" s="1115"/>
      <c r="WNA19" s="1115"/>
      <c r="WNB19" s="1115"/>
      <c r="WNC19" s="1115"/>
      <c r="WND19" s="1115"/>
      <c r="WNE19" s="1115"/>
      <c r="WNF19" s="1115"/>
      <c r="WNG19" s="1115"/>
      <c r="WNH19" s="1115"/>
      <c r="WNI19" s="1115"/>
      <c r="WNJ19" s="1115"/>
      <c r="WNK19" s="1115"/>
      <c r="WNL19" s="1115"/>
      <c r="WNM19" s="1115"/>
      <c r="WNN19" s="1115"/>
      <c r="WNO19" s="1115"/>
      <c r="WNP19" s="1115"/>
      <c r="WNQ19" s="1115"/>
      <c r="WNR19" s="1115"/>
      <c r="WNS19" s="1115"/>
      <c r="WNT19" s="1115"/>
      <c r="WNU19" s="1115"/>
      <c r="WNV19" s="1115"/>
      <c r="WNW19" s="1115"/>
      <c r="WNX19" s="1115"/>
      <c r="WNY19" s="1115"/>
      <c r="WNZ19" s="1115"/>
      <c r="WOA19" s="1115"/>
      <c r="WOB19" s="1115"/>
      <c r="WOC19" s="1115"/>
      <c r="WOD19" s="1115"/>
      <c r="WOE19" s="1115"/>
      <c r="WOF19" s="1115"/>
      <c r="WOG19" s="1115"/>
      <c r="WOH19" s="1115"/>
      <c r="WOI19" s="1115"/>
      <c r="WOJ19" s="1115"/>
      <c r="WOK19" s="1115"/>
      <c r="WOL19" s="1115"/>
      <c r="WOM19" s="1115"/>
      <c r="WON19" s="1115"/>
      <c r="WOO19" s="1115"/>
      <c r="WOP19" s="1115"/>
      <c r="WOQ19" s="1115"/>
      <c r="WOR19" s="1115"/>
      <c r="WOS19" s="1115"/>
      <c r="WOT19" s="1115"/>
      <c r="WOU19" s="1115"/>
      <c r="WOV19" s="1115"/>
      <c r="WOW19" s="1115"/>
      <c r="WOX19" s="1115"/>
      <c r="WOY19" s="1115"/>
      <c r="WOZ19" s="1115"/>
      <c r="WPA19" s="1115"/>
      <c r="WPB19" s="1115"/>
      <c r="WPC19" s="1115"/>
      <c r="WPD19" s="1115"/>
      <c r="WPE19" s="1115"/>
      <c r="WPF19" s="1115"/>
      <c r="WPG19" s="1115"/>
      <c r="WPH19" s="1115"/>
      <c r="WPI19" s="1115"/>
      <c r="WPJ19" s="1115"/>
      <c r="WPK19" s="1115"/>
      <c r="WPL19" s="1115"/>
      <c r="WPM19" s="1115"/>
      <c r="WPN19" s="1115"/>
      <c r="WPO19" s="1115"/>
      <c r="WPP19" s="1115"/>
      <c r="WPQ19" s="1115"/>
      <c r="WPR19" s="1115"/>
      <c r="WPS19" s="1115"/>
      <c r="WPT19" s="1115"/>
      <c r="WPU19" s="1115"/>
      <c r="WPV19" s="1115"/>
      <c r="WPW19" s="1115"/>
      <c r="WPX19" s="1115"/>
      <c r="WPY19" s="1115"/>
      <c r="WPZ19" s="1115"/>
      <c r="WQA19" s="1115"/>
      <c r="WQB19" s="1115"/>
      <c r="WQC19" s="1115"/>
      <c r="WQD19" s="1115"/>
      <c r="WQE19" s="1115"/>
      <c r="WQF19" s="1115"/>
      <c r="WQG19" s="1115"/>
      <c r="WQH19" s="1115"/>
      <c r="WQI19" s="1115"/>
      <c r="WQJ19" s="1115"/>
      <c r="WQK19" s="1115"/>
      <c r="WQL19" s="1115"/>
      <c r="WQM19" s="1115"/>
      <c r="WQN19" s="1115"/>
      <c r="WQO19" s="1115"/>
      <c r="WQP19" s="1115"/>
      <c r="WQQ19" s="1115"/>
      <c r="WQR19" s="1115"/>
      <c r="WQS19" s="1115"/>
      <c r="WQT19" s="1115"/>
      <c r="WQU19" s="1115"/>
      <c r="WQV19" s="1115"/>
      <c r="WQW19" s="1115"/>
      <c r="WQX19" s="1115"/>
      <c r="WQY19" s="1115"/>
      <c r="WQZ19" s="1115"/>
      <c r="WRA19" s="1115"/>
      <c r="WRB19" s="1115"/>
      <c r="WRC19" s="1115"/>
      <c r="WRD19" s="1115"/>
      <c r="WRE19" s="1115"/>
      <c r="WRF19" s="1115"/>
      <c r="WRG19" s="1115"/>
      <c r="WRH19" s="1115"/>
      <c r="WRI19" s="1115"/>
      <c r="WRJ19" s="1115"/>
      <c r="WRK19" s="1115"/>
      <c r="WRL19" s="1115"/>
      <c r="WRM19" s="1115"/>
      <c r="WRN19" s="1115"/>
      <c r="WRO19" s="1115"/>
      <c r="WRP19" s="1115"/>
      <c r="WRQ19" s="1115"/>
      <c r="WRR19" s="1115"/>
      <c r="WRS19" s="1115"/>
      <c r="WRT19" s="1115"/>
      <c r="WRU19" s="1115"/>
      <c r="WRV19" s="1115"/>
      <c r="WRW19" s="1115"/>
      <c r="WRX19" s="1115"/>
      <c r="WRY19" s="1115"/>
      <c r="WRZ19" s="1115"/>
      <c r="WSA19" s="1115"/>
      <c r="WSB19" s="1115"/>
      <c r="WSC19" s="1115"/>
      <c r="WSD19" s="1115"/>
      <c r="WSE19" s="1115"/>
      <c r="WSF19" s="1115"/>
      <c r="WSG19" s="1115"/>
      <c r="WSH19" s="1115"/>
      <c r="WSI19" s="1115"/>
      <c r="WSJ19" s="1115"/>
      <c r="WSK19" s="1115"/>
      <c r="WSL19" s="1115"/>
      <c r="WSM19" s="1115"/>
      <c r="WSN19" s="1115"/>
      <c r="WSO19" s="1115"/>
      <c r="WSP19" s="1115"/>
      <c r="WSQ19" s="1115"/>
      <c r="WSR19" s="1115"/>
      <c r="WSS19" s="1115"/>
      <c r="WST19" s="1115"/>
      <c r="WSU19" s="1115"/>
      <c r="WSV19" s="1115"/>
      <c r="WSW19" s="1115"/>
      <c r="WSX19" s="1115"/>
      <c r="WSY19" s="1115"/>
      <c r="WSZ19" s="1115"/>
      <c r="WTA19" s="1115"/>
      <c r="WTB19" s="1115"/>
      <c r="WTC19" s="1115"/>
      <c r="WTD19" s="1115"/>
      <c r="WTE19" s="1115"/>
      <c r="WTF19" s="1115"/>
      <c r="WTG19" s="1115"/>
      <c r="WTH19" s="1115"/>
      <c r="WTI19" s="1115"/>
      <c r="WTJ19" s="1115"/>
      <c r="WTK19" s="1115"/>
      <c r="WTL19" s="1115"/>
      <c r="WTM19" s="1115"/>
      <c r="WTN19" s="1115"/>
      <c r="WTO19" s="1115"/>
      <c r="WTP19" s="1115"/>
      <c r="WTQ19" s="1115"/>
      <c r="WTR19" s="1115"/>
      <c r="WTS19" s="1115"/>
      <c r="WTT19" s="1115"/>
      <c r="WTU19" s="1115"/>
      <c r="WTV19" s="1115"/>
      <c r="WTW19" s="1115"/>
      <c r="WTX19" s="1115"/>
      <c r="WTY19" s="1115"/>
      <c r="WTZ19" s="1115"/>
      <c r="WUA19" s="1115"/>
      <c r="WUB19" s="1115"/>
      <c r="WUC19" s="1115"/>
      <c r="WUD19" s="1115"/>
      <c r="WUE19" s="1115"/>
      <c r="WUF19" s="1115"/>
      <c r="WUG19" s="1115"/>
      <c r="WUH19" s="1115"/>
      <c r="WUI19" s="1115"/>
      <c r="WUJ19" s="1115"/>
      <c r="WUK19" s="1115"/>
      <c r="WUL19" s="1115"/>
      <c r="WUM19" s="1115"/>
      <c r="WUN19" s="1115"/>
      <c r="WUO19" s="1115"/>
      <c r="WUP19" s="1115"/>
      <c r="WUQ19" s="1115"/>
      <c r="WUR19" s="1115"/>
      <c r="WUS19" s="1115"/>
      <c r="WUT19" s="1115"/>
      <c r="WUU19" s="1115"/>
      <c r="WUV19" s="1115"/>
      <c r="WUW19" s="1115"/>
      <c r="WUX19" s="1115"/>
      <c r="WUY19" s="1115"/>
      <c r="WUZ19" s="1115"/>
      <c r="WVA19" s="1115"/>
      <c r="WVB19" s="1115"/>
      <c r="WVC19" s="1115"/>
      <c r="WVD19" s="1115"/>
      <c r="WVE19" s="1115"/>
      <c r="WVF19" s="1115"/>
      <c r="WVG19" s="1115"/>
      <c r="WVH19" s="1115"/>
      <c r="WVI19" s="1115"/>
      <c r="WVJ19" s="1115"/>
      <c r="WVK19" s="1115"/>
      <c r="WVL19" s="1115"/>
      <c r="WVM19" s="1115"/>
      <c r="WVN19" s="1115"/>
      <c r="WVO19" s="1115"/>
      <c r="WVP19" s="1115"/>
      <c r="WVQ19" s="1115"/>
      <c r="WVR19" s="1115"/>
      <c r="WVS19" s="1115"/>
      <c r="WVT19" s="1115"/>
      <c r="WVU19" s="1115"/>
      <c r="WVV19" s="1115"/>
      <c r="WVW19" s="1115"/>
      <c r="WVX19" s="1115"/>
      <c r="WVY19" s="1115"/>
      <c r="WVZ19" s="1115"/>
      <c r="WWA19" s="1115"/>
      <c r="WWB19" s="1115"/>
      <c r="WWC19" s="1115"/>
      <c r="WWD19" s="1115"/>
      <c r="WWE19" s="1115"/>
      <c r="WWF19" s="1115"/>
      <c r="WWG19" s="1115"/>
      <c r="WWH19" s="1115"/>
      <c r="WWI19" s="1115"/>
      <c r="WWJ19" s="1115"/>
      <c r="WWK19" s="1115"/>
      <c r="WWL19" s="1115"/>
      <c r="WWM19" s="1115"/>
      <c r="WWN19" s="1115"/>
      <c r="WWO19" s="1115"/>
      <c r="WWP19" s="1115"/>
      <c r="WWQ19" s="1115"/>
      <c r="WWR19" s="1115"/>
      <c r="WWS19" s="1115"/>
      <c r="WWT19" s="1115"/>
      <c r="WWU19" s="1115"/>
      <c r="WWV19" s="1115"/>
      <c r="WWW19" s="1115"/>
      <c r="WWX19" s="1115"/>
      <c r="WWY19" s="1115"/>
      <c r="WWZ19" s="1115"/>
      <c r="WXA19" s="1115"/>
      <c r="WXB19" s="1115"/>
      <c r="WXC19" s="1115"/>
      <c r="WXD19" s="1115"/>
      <c r="WXE19" s="1115"/>
      <c r="WXF19" s="1115"/>
      <c r="WXG19" s="1115"/>
      <c r="WXH19" s="1115"/>
      <c r="WXI19" s="1115"/>
      <c r="WXJ19" s="1115"/>
      <c r="WXK19" s="1115"/>
      <c r="WXL19" s="1115"/>
      <c r="WXM19" s="1115"/>
      <c r="WXN19" s="1115"/>
      <c r="WXO19" s="1115"/>
      <c r="WXP19" s="1115"/>
      <c r="WXQ19" s="1115"/>
      <c r="WXR19" s="1115"/>
      <c r="WXS19" s="1115"/>
      <c r="WXT19" s="1115"/>
      <c r="WXU19" s="1115"/>
      <c r="WXV19" s="1115"/>
      <c r="WXW19" s="1115"/>
      <c r="WXX19" s="1115"/>
      <c r="WXY19" s="1115"/>
      <c r="WXZ19" s="1115"/>
      <c r="WYA19" s="1115"/>
      <c r="WYB19" s="1115"/>
      <c r="WYC19" s="1115"/>
      <c r="WYD19" s="1115"/>
      <c r="WYE19" s="1115"/>
      <c r="WYF19" s="1115"/>
      <c r="WYG19" s="1115"/>
      <c r="WYH19" s="1115"/>
      <c r="WYI19" s="1115"/>
      <c r="WYJ19" s="1115"/>
      <c r="WYK19" s="1115"/>
      <c r="WYL19" s="1115"/>
      <c r="WYM19" s="1115"/>
      <c r="WYN19" s="1115"/>
      <c r="WYO19" s="1115"/>
      <c r="WYP19" s="1115"/>
      <c r="WYQ19" s="1115"/>
      <c r="WYR19" s="1115"/>
      <c r="WYS19" s="1115"/>
      <c r="WYT19" s="1115"/>
      <c r="WYU19" s="1115"/>
      <c r="WYV19" s="1115"/>
      <c r="WYW19" s="1115"/>
      <c r="WYX19" s="1115"/>
      <c r="WYY19" s="1115"/>
      <c r="WYZ19" s="1115"/>
      <c r="WZA19" s="1115"/>
      <c r="WZB19" s="1115"/>
      <c r="WZC19" s="1115"/>
      <c r="WZD19" s="1115"/>
      <c r="WZE19" s="1115"/>
      <c r="WZF19" s="1115"/>
      <c r="WZG19" s="1115"/>
      <c r="WZH19" s="1115"/>
      <c r="WZI19" s="1115"/>
      <c r="WZJ19" s="1115"/>
      <c r="WZK19" s="1115"/>
      <c r="WZL19" s="1115"/>
      <c r="WZM19" s="1115"/>
      <c r="WZN19" s="1115"/>
      <c r="WZO19" s="1115"/>
      <c r="WZP19" s="1115"/>
      <c r="WZQ19" s="1115"/>
      <c r="WZR19" s="1115"/>
      <c r="WZS19" s="1115"/>
      <c r="WZT19" s="1115"/>
      <c r="WZU19" s="1115"/>
      <c r="WZV19" s="1115"/>
      <c r="WZW19" s="1115"/>
      <c r="WZX19" s="1115"/>
      <c r="WZY19" s="1115"/>
      <c r="WZZ19" s="1115"/>
      <c r="XAA19" s="1115"/>
      <c r="XAB19" s="1115"/>
      <c r="XAC19" s="1115"/>
      <c r="XAD19" s="1115"/>
      <c r="XAE19" s="1115"/>
      <c r="XAF19" s="1115"/>
      <c r="XAG19" s="1115"/>
      <c r="XAH19" s="1115"/>
      <c r="XAI19" s="1115"/>
      <c r="XAJ19" s="1115"/>
      <c r="XAK19" s="1115"/>
      <c r="XAL19" s="1115"/>
      <c r="XAM19" s="1115"/>
      <c r="XAN19" s="1115"/>
      <c r="XAO19" s="1115"/>
      <c r="XAP19" s="1115"/>
      <c r="XAQ19" s="1115"/>
      <c r="XAR19" s="1115"/>
      <c r="XAS19" s="1115"/>
      <c r="XAT19" s="1115"/>
      <c r="XAU19" s="1115"/>
      <c r="XAV19" s="1115"/>
      <c r="XAW19" s="1115"/>
      <c r="XAX19" s="1115"/>
      <c r="XAY19" s="1115"/>
      <c r="XAZ19" s="1115"/>
      <c r="XBA19" s="1115"/>
      <c r="XBB19" s="1115"/>
      <c r="XBC19" s="1115"/>
      <c r="XBD19" s="1115"/>
      <c r="XBE19" s="1115"/>
      <c r="XBF19" s="1115"/>
      <c r="XBG19" s="1115"/>
      <c r="XBH19" s="1115"/>
      <c r="XBI19" s="1115"/>
      <c r="XBJ19" s="1115"/>
      <c r="XBK19" s="1115"/>
      <c r="XBL19" s="1115"/>
      <c r="XBM19" s="1115"/>
      <c r="XBN19" s="1115"/>
      <c r="XBO19" s="1115"/>
      <c r="XBP19" s="1115"/>
      <c r="XBQ19" s="1115"/>
      <c r="XBR19" s="1115"/>
      <c r="XBS19" s="1115"/>
      <c r="XBT19" s="1115"/>
      <c r="XBU19" s="1115"/>
      <c r="XBV19" s="1115"/>
      <c r="XBW19" s="1115"/>
      <c r="XBX19" s="1115"/>
      <c r="XBY19" s="1115"/>
      <c r="XBZ19" s="1115"/>
      <c r="XCA19" s="1115"/>
      <c r="XCB19" s="1115"/>
      <c r="XCC19" s="1115"/>
      <c r="XCD19" s="1115"/>
      <c r="XCE19" s="1115"/>
      <c r="XCF19" s="1115"/>
      <c r="XCG19" s="1115"/>
      <c r="XCH19" s="1115"/>
      <c r="XCI19" s="1115"/>
      <c r="XCJ19" s="1115"/>
      <c r="XCK19" s="1115"/>
      <c r="XCL19" s="1115"/>
      <c r="XCM19" s="1115"/>
      <c r="XCN19" s="1115"/>
      <c r="XCO19" s="1115"/>
      <c r="XCP19" s="1115"/>
      <c r="XCQ19" s="1115"/>
      <c r="XCR19" s="1115"/>
      <c r="XCS19" s="1115"/>
      <c r="XCT19" s="1115"/>
      <c r="XCU19" s="1115"/>
      <c r="XCV19" s="1115"/>
      <c r="XCW19" s="1115"/>
      <c r="XCX19" s="1115"/>
      <c r="XCY19" s="1115"/>
      <c r="XCZ19" s="1115"/>
      <c r="XDA19" s="1115"/>
      <c r="XDB19" s="1115"/>
      <c r="XDC19" s="1115"/>
      <c r="XDD19" s="1115"/>
      <c r="XDE19" s="1115"/>
      <c r="XDF19" s="1115"/>
      <c r="XDG19" s="1115"/>
      <c r="XDH19" s="1115"/>
      <c r="XDI19" s="1115"/>
      <c r="XDJ19" s="1115"/>
      <c r="XDK19" s="1115"/>
      <c r="XDL19" s="1115"/>
      <c r="XDM19" s="1115"/>
      <c r="XDN19" s="1115"/>
      <c r="XDO19" s="1115"/>
      <c r="XDP19" s="1115"/>
      <c r="XDQ19" s="1115"/>
      <c r="XDR19" s="1115"/>
      <c r="XDS19" s="1115"/>
      <c r="XDT19" s="1115"/>
      <c r="XDU19" s="1115"/>
      <c r="XDV19" s="1115"/>
      <c r="XDW19" s="1115"/>
      <c r="XDX19" s="1115"/>
      <c r="XDY19" s="1115"/>
      <c r="XDZ19" s="1115"/>
      <c r="XEA19" s="1115"/>
      <c r="XEB19" s="1115"/>
      <c r="XEC19" s="1115"/>
      <c r="XED19" s="1115"/>
      <c r="XEE19" s="1115"/>
      <c r="XEF19" s="1115"/>
      <c r="XEG19" s="1115"/>
      <c r="XEH19" s="1115"/>
      <c r="XEI19" s="1115"/>
      <c r="XEJ19" s="1115"/>
      <c r="XEK19" s="1115"/>
      <c r="XEL19" s="1115"/>
      <c r="XEM19" s="1115"/>
      <c r="XEN19" s="1115"/>
      <c r="XEO19" s="1115"/>
      <c r="XEP19" s="1115"/>
      <c r="XEQ19" s="1115"/>
      <c r="XER19" s="1115"/>
      <c r="XES19" s="1115"/>
      <c r="XET19" s="1115"/>
      <c r="XEU19" s="1115"/>
      <c r="XEV19" s="1115"/>
      <c r="XEW19" s="1115"/>
      <c r="XEX19" s="1115"/>
      <c r="XEY19" s="1115"/>
      <c r="XEZ19" s="1115"/>
      <c r="XFA19" s="1115"/>
      <c r="XFB19" s="1115"/>
      <c r="XFC19" s="1115"/>
      <c r="XFD19" s="1115"/>
    </row>
    <row r="20" spans="1:19">
      <c r="A20" s="1116" t="s">
        <v>1725</v>
      </c>
      <c r="B20" s="1116" t="s">
        <v>1672</v>
      </c>
      <c r="C20" s="1116" t="s">
        <v>1736</v>
      </c>
      <c r="D20" s="1116">
        <v>22073.9</v>
      </c>
      <c r="E20" s="1116">
        <v>44147.8</v>
      </c>
      <c r="F20" s="1116" t="s">
        <v>1674</v>
      </c>
      <c r="G20" s="1116" t="s">
        <v>1674</v>
      </c>
      <c r="H20" s="1116">
        <v>50</v>
      </c>
      <c r="I20" s="1116" t="s">
        <v>1686</v>
      </c>
      <c r="J20" s="1116" t="s">
        <v>1677</v>
      </c>
      <c r="K20" s="1119">
        <v>45380.0004976852</v>
      </c>
      <c r="L20" s="1119">
        <v>45380.0004976852</v>
      </c>
      <c r="M20" s="1116" t="s">
        <v>1678</v>
      </c>
      <c r="N20" s="1116" t="s">
        <v>1737</v>
      </c>
      <c r="O20" s="1116">
        <v>1400</v>
      </c>
      <c r="P20" s="1116">
        <v>1400</v>
      </c>
      <c r="Q20" s="1116">
        <v>42.28</v>
      </c>
      <c r="R20" s="1116">
        <v>317</v>
      </c>
      <c r="S20" s="1116">
        <v>0</v>
      </c>
    </row>
    <row r="21" spans="1:19">
      <c r="A21" s="1116" t="s">
        <v>1697</v>
      </c>
      <c r="B21" s="1116" t="s">
        <v>1672</v>
      </c>
      <c r="C21" s="1116" t="s">
        <v>1738</v>
      </c>
      <c r="D21" s="1116">
        <v>4538.7</v>
      </c>
      <c r="E21" s="1116">
        <v>9077.4</v>
      </c>
      <c r="F21" s="1116" t="s">
        <v>1674</v>
      </c>
      <c r="G21" s="1116" t="s">
        <v>1674</v>
      </c>
      <c r="H21" s="1116">
        <v>50</v>
      </c>
      <c r="I21" s="1116" t="s">
        <v>1729</v>
      </c>
      <c r="J21" s="1116" t="s">
        <v>1677</v>
      </c>
      <c r="K21" s="1119">
        <v>45380.0004976852</v>
      </c>
      <c r="L21" s="1119">
        <v>45380.0004976852</v>
      </c>
      <c r="M21" s="1116" t="s">
        <v>1678</v>
      </c>
      <c r="N21" s="1116" t="s">
        <v>1739</v>
      </c>
      <c r="O21" s="1116">
        <v>240</v>
      </c>
      <c r="P21" s="1116">
        <v>240</v>
      </c>
      <c r="Q21" s="1116">
        <v>35.25</v>
      </c>
      <c r="R21" s="1116">
        <v>264</v>
      </c>
      <c r="S21" s="1116">
        <v>0</v>
      </c>
    </row>
    <row r="22" spans="1:19">
      <c r="A22" s="1116" t="s">
        <v>1740</v>
      </c>
      <c r="B22" s="1116" t="s">
        <v>1672</v>
      </c>
      <c r="C22" s="1116" t="s">
        <v>1741</v>
      </c>
      <c r="D22" s="1116">
        <v>10000</v>
      </c>
      <c r="E22" s="1116">
        <v>10000</v>
      </c>
      <c r="F22" s="1116" t="s">
        <v>1674</v>
      </c>
      <c r="G22" s="1116" t="s">
        <v>1674</v>
      </c>
      <c r="H22" s="1116">
        <v>20</v>
      </c>
      <c r="I22" s="1119">
        <v>36739.0004976852</v>
      </c>
      <c r="J22" s="1116" t="s">
        <v>1677</v>
      </c>
      <c r="K22" s="1119">
        <v>45380.0004976852</v>
      </c>
      <c r="L22" s="1119">
        <v>45380.0004976852</v>
      </c>
      <c r="M22" s="1116" t="s">
        <v>1678</v>
      </c>
      <c r="N22" s="1116" t="s">
        <v>1742</v>
      </c>
      <c r="O22" s="1116">
        <v>220</v>
      </c>
      <c r="P22" s="1116">
        <v>220</v>
      </c>
      <c r="Q22" s="1116">
        <v>14.67</v>
      </c>
      <c r="R22" s="1116">
        <v>220</v>
      </c>
      <c r="S22" s="1116">
        <v>0</v>
      </c>
    </row>
    <row r="23" spans="1:19">
      <c r="A23" s="1116" t="s">
        <v>1725</v>
      </c>
      <c r="B23" s="1116" t="s">
        <v>1672</v>
      </c>
      <c r="C23" s="1116" t="s">
        <v>1743</v>
      </c>
      <c r="D23" s="1116">
        <v>13750.4</v>
      </c>
      <c r="E23" s="1116">
        <v>27500.8</v>
      </c>
      <c r="F23" s="1116" t="s">
        <v>1674</v>
      </c>
      <c r="G23" s="1116" t="s">
        <v>1674</v>
      </c>
      <c r="H23" s="1116">
        <v>50</v>
      </c>
      <c r="I23" s="1116" t="s">
        <v>1699</v>
      </c>
      <c r="J23" s="1116" t="s">
        <v>1677</v>
      </c>
      <c r="K23" s="1119">
        <v>45380.0004976852</v>
      </c>
      <c r="L23" s="1119">
        <v>45380.0004976852</v>
      </c>
      <c r="M23" s="1116" t="s">
        <v>1678</v>
      </c>
      <c r="N23" s="1116" t="s">
        <v>1744</v>
      </c>
      <c r="O23" s="1116">
        <v>1200</v>
      </c>
      <c r="P23" s="1116">
        <v>1200</v>
      </c>
      <c r="Q23" s="1116">
        <v>58.18</v>
      </c>
      <c r="R23" s="1116">
        <v>436</v>
      </c>
      <c r="S23" s="1116">
        <v>0</v>
      </c>
    </row>
    <row r="24" spans="1:19">
      <c r="A24" s="1116" t="s">
        <v>1745</v>
      </c>
      <c r="B24" s="1116" t="s">
        <v>1672</v>
      </c>
      <c r="C24" s="1116" t="s">
        <v>1746</v>
      </c>
      <c r="D24" s="1116">
        <v>8438.8</v>
      </c>
      <c r="E24" s="1116">
        <v>16877.6</v>
      </c>
      <c r="F24" s="1116" t="s">
        <v>1674</v>
      </c>
      <c r="G24" s="1116" t="s">
        <v>1674</v>
      </c>
      <c r="H24" s="1116">
        <v>20</v>
      </c>
      <c r="I24" s="1116" t="s">
        <v>1699</v>
      </c>
      <c r="J24" s="1116" t="s">
        <v>1677</v>
      </c>
      <c r="K24" s="1119">
        <v>45380.0004976852</v>
      </c>
      <c r="L24" s="1119">
        <v>45380.0004976852</v>
      </c>
      <c r="M24" s="1116" t="s">
        <v>1678</v>
      </c>
      <c r="N24" s="1116" t="s">
        <v>1747</v>
      </c>
      <c r="O24" s="1116">
        <v>190</v>
      </c>
      <c r="P24" s="1116">
        <v>190</v>
      </c>
      <c r="Q24" s="1116">
        <v>15.01</v>
      </c>
      <c r="R24" s="1116">
        <v>113</v>
      </c>
      <c r="S24" s="1116">
        <v>0</v>
      </c>
    </row>
    <row r="25" s="1114" customFormat="1" spans="1:16384">
      <c r="A25" s="1117" t="s">
        <v>1748</v>
      </c>
      <c r="B25" s="1117" t="s">
        <v>1672</v>
      </c>
      <c r="C25" s="1117" t="s">
        <v>1749</v>
      </c>
      <c r="D25" s="1117">
        <v>2206.4</v>
      </c>
      <c r="E25" s="1117">
        <v>2647.68</v>
      </c>
      <c r="F25" s="1117" t="s">
        <v>1674</v>
      </c>
      <c r="G25" s="1117" t="s">
        <v>1674</v>
      </c>
      <c r="H25" s="1117">
        <v>50</v>
      </c>
      <c r="I25" s="1117" t="s">
        <v>1750</v>
      </c>
      <c r="J25" s="1117" t="s">
        <v>1677</v>
      </c>
      <c r="K25" s="1121">
        <v>45357.0004976852</v>
      </c>
      <c r="L25" s="1121">
        <v>45357.0004976852</v>
      </c>
      <c r="M25" s="1117" t="s">
        <v>1678</v>
      </c>
      <c r="N25" s="1117" t="s">
        <v>1751</v>
      </c>
      <c r="O25" s="1117">
        <v>120</v>
      </c>
      <c r="P25" s="1117">
        <v>120</v>
      </c>
      <c r="Q25" s="1117">
        <v>36.26</v>
      </c>
      <c r="R25" s="1117">
        <v>453</v>
      </c>
      <c r="S25" s="1117">
        <v>0</v>
      </c>
      <c r="T25" s="1117"/>
      <c r="U25" s="1117"/>
      <c r="V25" s="1117"/>
      <c r="W25" s="1117"/>
      <c r="X25" s="1117"/>
      <c r="Y25" s="1117"/>
      <c r="Z25" s="1117"/>
      <c r="AA25" s="1117"/>
      <c r="AB25" s="1117"/>
      <c r="AC25" s="1117"/>
      <c r="AD25" s="1117"/>
      <c r="AE25" s="1117"/>
      <c r="AF25" s="1117"/>
      <c r="AG25" s="1117"/>
      <c r="AH25" s="1117"/>
      <c r="AI25" s="1117"/>
      <c r="AJ25" s="1117"/>
      <c r="AK25" s="1117"/>
      <c r="AL25" s="1117"/>
      <c r="AM25" s="1117"/>
      <c r="AN25" s="1117"/>
      <c r="AO25" s="1117"/>
      <c r="AP25" s="1117"/>
      <c r="AQ25" s="1117"/>
      <c r="AR25" s="1117"/>
      <c r="AS25" s="1117"/>
      <c r="AT25" s="1117"/>
      <c r="AU25" s="1117"/>
      <c r="AV25" s="1117"/>
      <c r="AW25" s="1117"/>
      <c r="AX25" s="1117"/>
      <c r="AY25" s="1117"/>
      <c r="AZ25" s="1117"/>
      <c r="BA25" s="1117"/>
      <c r="BB25" s="1117"/>
      <c r="BC25" s="1117"/>
      <c r="BD25" s="1117"/>
      <c r="BE25" s="1117"/>
      <c r="BF25" s="1117"/>
      <c r="BG25" s="1117"/>
      <c r="BH25" s="1117"/>
      <c r="BI25" s="1117"/>
      <c r="BJ25" s="1117"/>
      <c r="BK25" s="1117"/>
      <c r="BL25" s="1117"/>
      <c r="BM25" s="1117"/>
      <c r="BN25" s="1117"/>
      <c r="BO25" s="1117"/>
      <c r="BP25" s="1117"/>
      <c r="BQ25" s="1117"/>
      <c r="BR25" s="1117"/>
      <c r="BS25" s="1117"/>
      <c r="BT25" s="1117"/>
      <c r="BU25" s="1117"/>
      <c r="BV25" s="1117"/>
      <c r="BW25" s="1117"/>
      <c r="BX25" s="1117"/>
      <c r="BY25" s="1117"/>
      <c r="BZ25" s="1117"/>
      <c r="CA25" s="1117"/>
      <c r="CB25" s="1117"/>
      <c r="CC25" s="1117"/>
      <c r="CD25" s="1117"/>
      <c r="CE25" s="1117"/>
      <c r="CF25" s="1117"/>
      <c r="CG25" s="1117"/>
      <c r="CH25" s="1117"/>
      <c r="CI25" s="1117"/>
      <c r="CJ25" s="1117"/>
      <c r="CK25" s="1117"/>
      <c r="CL25" s="1117"/>
      <c r="CM25" s="1117"/>
      <c r="CN25" s="1117"/>
      <c r="CO25" s="1117"/>
      <c r="CP25" s="1117"/>
      <c r="CQ25" s="1117"/>
      <c r="CR25" s="1117"/>
      <c r="CS25" s="1117"/>
      <c r="CT25" s="1117"/>
      <c r="CU25" s="1117"/>
      <c r="CV25" s="1117"/>
      <c r="CW25" s="1117"/>
      <c r="CX25" s="1117"/>
      <c r="CY25" s="1117"/>
      <c r="CZ25" s="1117"/>
      <c r="DA25" s="1117"/>
      <c r="DB25" s="1117"/>
      <c r="DC25" s="1117"/>
      <c r="DD25" s="1117"/>
      <c r="DE25" s="1117"/>
      <c r="DF25" s="1117"/>
      <c r="DG25" s="1117"/>
      <c r="DH25" s="1117"/>
      <c r="DI25" s="1117"/>
      <c r="DJ25" s="1117"/>
      <c r="DK25" s="1117"/>
      <c r="DL25" s="1117"/>
      <c r="DM25" s="1117"/>
      <c r="DN25" s="1117"/>
      <c r="DO25" s="1117"/>
      <c r="DP25" s="1117"/>
      <c r="DQ25" s="1117"/>
      <c r="DR25" s="1117"/>
      <c r="DS25" s="1117"/>
      <c r="DT25" s="1117"/>
      <c r="DU25" s="1117"/>
      <c r="DV25" s="1117"/>
      <c r="DW25" s="1117"/>
      <c r="DX25" s="1117"/>
      <c r="DY25" s="1117"/>
      <c r="DZ25" s="1117"/>
      <c r="EA25" s="1117"/>
      <c r="EB25" s="1117"/>
      <c r="EC25" s="1117"/>
      <c r="ED25" s="1117"/>
      <c r="EE25" s="1117"/>
      <c r="EF25" s="1117"/>
      <c r="EG25" s="1117"/>
      <c r="EH25" s="1117"/>
      <c r="EI25" s="1117"/>
      <c r="EJ25" s="1117"/>
      <c r="EK25" s="1117"/>
      <c r="EL25" s="1117"/>
      <c r="EM25" s="1117"/>
      <c r="EN25" s="1117"/>
      <c r="EO25" s="1117"/>
      <c r="EP25" s="1117"/>
      <c r="EQ25" s="1117"/>
      <c r="ER25" s="1117"/>
      <c r="ES25" s="1117"/>
      <c r="ET25" s="1117"/>
      <c r="EU25" s="1117"/>
      <c r="EV25" s="1117"/>
      <c r="EW25" s="1117"/>
      <c r="EX25" s="1117"/>
      <c r="EY25" s="1117"/>
      <c r="EZ25" s="1117"/>
      <c r="FA25" s="1117"/>
      <c r="FB25" s="1117"/>
      <c r="FC25" s="1117"/>
      <c r="FD25" s="1117"/>
      <c r="FE25" s="1117"/>
      <c r="FF25" s="1117"/>
      <c r="FG25" s="1117"/>
      <c r="FH25" s="1117"/>
      <c r="FI25" s="1117"/>
      <c r="FJ25" s="1117"/>
      <c r="FK25" s="1117"/>
      <c r="FL25" s="1117"/>
      <c r="FM25" s="1117"/>
      <c r="FN25" s="1117"/>
      <c r="FO25" s="1117"/>
      <c r="FP25" s="1117"/>
      <c r="FQ25" s="1117"/>
      <c r="FR25" s="1117"/>
      <c r="FS25" s="1117"/>
      <c r="FT25" s="1117"/>
      <c r="FU25" s="1117"/>
      <c r="FV25" s="1117"/>
      <c r="FW25" s="1117"/>
      <c r="FX25" s="1117"/>
      <c r="FY25" s="1117"/>
      <c r="FZ25" s="1117"/>
      <c r="GA25" s="1117"/>
      <c r="GB25" s="1117"/>
      <c r="GC25" s="1117"/>
      <c r="GD25" s="1117"/>
      <c r="GE25" s="1117"/>
      <c r="GF25" s="1117"/>
      <c r="GG25" s="1117"/>
      <c r="GH25" s="1117"/>
      <c r="GI25" s="1117"/>
      <c r="GJ25" s="1117"/>
      <c r="GK25" s="1117"/>
      <c r="GL25" s="1117"/>
      <c r="GM25" s="1117"/>
      <c r="GN25" s="1117"/>
      <c r="GO25" s="1117"/>
      <c r="GP25" s="1117"/>
      <c r="GQ25" s="1117"/>
      <c r="GR25" s="1117"/>
      <c r="GS25" s="1117"/>
      <c r="GT25" s="1117"/>
      <c r="GU25" s="1117"/>
      <c r="GV25" s="1117"/>
      <c r="GW25" s="1117"/>
      <c r="GX25" s="1117"/>
      <c r="GY25" s="1117"/>
      <c r="GZ25" s="1117"/>
      <c r="HA25" s="1117"/>
      <c r="HB25" s="1117"/>
      <c r="HC25" s="1117"/>
      <c r="HD25" s="1117"/>
      <c r="HE25" s="1117"/>
      <c r="HF25" s="1117"/>
      <c r="HG25" s="1117"/>
      <c r="HH25" s="1117"/>
      <c r="HI25" s="1117"/>
      <c r="HJ25" s="1117"/>
      <c r="HK25" s="1117"/>
      <c r="HL25" s="1117"/>
      <c r="HM25" s="1117"/>
      <c r="HN25" s="1117"/>
      <c r="HO25" s="1117"/>
      <c r="HP25" s="1117"/>
      <c r="HQ25" s="1117"/>
      <c r="HR25" s="1117"/>
      <c r="HS25" s="1117"/>
      <c r="HT25" s="1117"/>
      <c r="HU25" s="1117"/>
      <c r="HV25" s="1117"/>
      <c r="HW25" s="1117"/>
      <c r="HX25" s="1117"/>
      <c r="HY25" s="1117"/>
      <c r="HZ25" s="1117"/>
      <c r="IA25" s="1117"/>
      <c r="IB25" s="1117"/>
      <c r="IC25" s="1117"/>
      <c r="ID25" s="1117"/>
      <c r="IE25" s="1117"/>
      <c r="IF25" s="1117"/>
      <c r="IG25" s="1117"/>
      <c r="IH25" s="1117"/>
      <c r="II25" s="1117"/>
      <c r="IJ25" s="1117"/>
      <c r="IK25" s="1117"/>
      <c r="IL25" s="1117"/>
      <c r="IM25" s="1117"/>
      <c r="IN25" s="1117"/>
      <c r="IO25" s="1117"/>
      <c r="IP25" s="1117"/>
      <c r="IQ25" s="1117"/>
      <c r="IR25" s="1117"/>
      <c r="IS25" s="1117"/>
      <c r="IT25" s="1117"/>
      <c r="IU25" s="1117"/>
      <c r="IV25" s="1117"/>
      <c r="IW25" s="1117"/>
      <c r="IX25" s="1117"/>
      <c r="IY25" s="1117"/>
      <c r="IZ25" s="1117"/>
      <c r="JA25" s="1117"/>
      <c r="JB25" s="1117"/>
      <c r="JC25" s="1117"/>
      <c r="JD25" s="1117"/>
      <c r="JE25" s="1117"/>
      <c r="JF25" s="1117"/>
      <c r="JG25" s="1117"/>
      <c r="JH25" s="1117"/>
      <c r="JI25" s="1117"/>
      <c r="JJ25" s="1117"/>
      <c r="JK25" s="1117"/>
      <c r="JL25" s="1117"/>
      <c r="JM25" s="1117"/>
      <c r="JN25" s="1117"/>
      <c r="JO25" s="1117"/>
      <c r="JP25" s="1117"/>
      <c r="JQ25" s="1117"/>
      <c r="JR25" s="1117"/>
      <c r="JS25" s="1117"/>
      <c r="JT25" s="1117"/>
      <c r="JU25" s="1117"/>
      <c r="JV25" s="1117"/>
      <c r="JW25" s="1117"/>
      <c r="JX25" s="1117"/>
      <c r="JY25" s="1117"/>
      <c r="JZ25" s="1117"/>
      <c r="KA25" s="1117"/>
      <c r="KB25" s="1117"/>
      <c r="KC25" s="1117"/>
      <c r="KD25" s="1117"/>
      <c r="KE25" s="1117"/>
      <c r="KF25" s="1117"/>
      <c r="KG25" s="1117"/>
      <c r="KH25" s="1117"/>
      <c r="KI25" s="1117"/>
      <c r="KJ25" s="1117"/>
      <c r="KK25" s="1117"/>
      <c r="KL25" s="1117"/>
      <c r="KM25" s="1117"/>
      <c r="KN25" s="1117"/>
      <c r="KO25" s="1117"/>
      <c r="KP25" s="1117"/>
      <c r="KQ25" s="1117"/>
      <c r="KR25" s="1117"/>
      <c r="KS25" s="1117"/>
      <c r="KT25" s="1117"/>
      <c r="KU25" s="1117"/>
      <c r="KV25" s="1117"/>
      <c r="KW25" s="1117"/>
      <c r="KX25" s="1117"/>
      <c r="KY25" s="1117"/>
      <c r="KZ25" s="1117"/>
      <c r="LA25" s="1117"/>
      <c r="LB25" s="1117"/>
      <c r="LC25" s="1117"/>
      <c r="LD25" s="1117"/>
      <c r="LE25" s="1117"/>
      <c r="LF25" s="1117"/>
      <c r="LG25" s="1117"/>
      <c r="LH25" s="1117"/>
      <c r="LI25" s="1117"/>
      <c r="LJ25" s="1117"/>
      <c r="LK25" s="1117"/>
      <c r="LL25" s="1117"/>
      <c r="LM25" s="1117"/>
      <c r="LN25" s="1117"/>
      <c r="LO25" s="1117"/>
      <c r="LP25" s="1117"/>
      <c r="LQ25" s="1117"/>
      <c r="LR25" s="1117"/>
      <c r="LS25" s="1117"/>
      <c r="LT25" s="1117"/>
      <c r="LU25" s="1117"/>
      <c r="LV25" s="1117"/>
      <c r="LW25" s="1117"/>
      <c r="LX25" s="1117"/>
      <c r="LY25" s="1117"/>
      <c r="LZ25" s="1117"/>
      <c r="MA25" s="1117"/>
      <c r="MB25" s="1117"/>
      <c r="MC25" s="1117"/>
      <c r="MD25" s="1117"/>
      <c r="ME25" s="1117"/>
      <c r="MF25" s="1117"/>
      <c r="MG25" s="1117"/>
      <c r="MH25" s="1117"/>
      <c r="MI25" s="1117"/>
      <c r="MJ25" s="1117"/>
      <c r="MK25" s="1117"/>
      <c r="ML25" s="1117"/>
      <c r="MM25" s="1117"/>
      <c r="MN25" s="1117"/>
      <c r="MO25" s="1117"/>
      <c r="MP25" s="1117"/>
      <c r="MQ25" s="1117"/>
      <c r="MR25" s="1117"/>
      <c r="MS25" s="1117"/>
      <c r="MT25" s="1117"/>
      <c r="MU25" s="1117"/>
      <c r="MV25" s="1117"/>
      <c r="MW25" s="1117"/>
      <c r="MX25" s="1117"/>
      <c r="MY25" s="1117"/>
      <c r="MZ25" s="1117"/>
      <c r="NA25" s="1117"/>
      <c r="NB25" s="1117"/>
      <c r="NC25" s="1117"/>
      <c r="ND25" s="1117"/>
      <c r="NE25" s="1117"/>
      <c r="NF25" s="1117"/>
      <c r="NG25" s="1117"/>
      <c r="NH25" s="1117"/>
      <c r="NI25" s="1117"/>
      <c r="NJ25" s="1117"/>
      <c r="NK25" s="1117"/>
      <c r="NL25" s="1117"/>
      <c r="NM25" s="1117"/>
      <c r="NN25" s="1117"/>
      <c r="NO25" s="1117"/>
      <c r="NP25" s="1117"/>
      <c r="NQ25" s="1117"/>
      <c r="NR25" s="1117"/>
      <c r="NS25" s="1117"/>
      <c r="NT25" s="1117"/>
      <c r="NU25" s="1117"/>
      <c r="NV25" s="1117"/>
      <c r="NW25" s="1117"/>
      <c r="NX25" s="1117"/>
      <c r="NY25" s="1117"/>
      <c r="NZ25" s="1117"/>
      <c r="OA25" s="1117"/>
      <c r="OB25" s="1117"/>
      <c r="OC25" s="1117"/>
      <c r="OD25" s="1117"/>
      <c r="OE25" s="1117"/>
      <c r="OF25" s="1117"/>
      <c r="OG25" s="1117"/>
      <c r="OH25" s="1117"/>
      <c r="OI25" s="1117"/>
      <c r="OJ25" s="1117"/>
      <c r="OK25" s="1117"/>
      <c r="OL25" s="1117"/>
      <c r="OM25" s="1117"/>
      <c r="ON25" s="1117"/>
      <c r="OO25" s="1117"/>
      <c r="OP25" s="1117"/>
      <c r="OQ25" s="1117"/>
      <c r="OR25" s="1117"/>
      <c r="OS25" s="1117"/>
      <c r="OT25" s="1117"/>
      <c r="OU25" s="1117"/>
      <c r="OV25" s="1117"/>
      <c r="OW25" s="1117"/>
      <c r="OX25" s="1117"/>
      <c r="OY25" s="1117"/>
      <c r="OZ25" s="1117"/>
      <c r="PA25" s="1117"/>
      <c r="PB25" s="1117"/>
      <c r="PC25" s="1117"/>
      <c r="PD25" s="1117"/>
      <c r="PE25" s="1117"/>
      <c r="PF25" s="1117"/>
      <c r="PG25" s="1117"/>
      <c r="PH25" s="1117"/>
      <c r="PI25" s="1117"/>
      <c r="PJ25" s="1117"/>
      <c r="PK25" s="1117"/>
      <c r="PL25" s="1117"/>
      <c r="PM25" s="1117"/>
      <c r="PN25" s="1117"/>
      <c r="PO25" s="1117"/>
      <c r="PP25" s="1117"/>
      <c r="PQ25" s="1117"/>
      <c r="PR25" s="1117"/>
      <c r="PS25" s="1117"/>
      <c r="PT25" s="1117"/>
      <c r="PU25" s="1117"/>
      <c r="PV25" s="1117"/>
      <c r="PW25" s="1117"/>
      <c r="PX25" s="1117"/>
      <c r="PY25" s="1117"/>
      <c r="PZ25" s="1117"/>
      <c r="QA25" s="1117"/>
      <c r="QB25" s="1117"/>
      <c r="QC25" s="1117"/>
      <c r="QD25" s="1117"/>
      <c r="QE25" s="1117"/>
      <c r="QF25" s="1117"/>
      <c r="QG25" s="1117"/>
      <c r="QH25" s="1117"/>
      <c r="QI25" s="1117"/>
      <c r="QJ25" s="1117"/>
      <c r="QK25" s="1117"/>
      <c r="QL25" s="1117"/>
      <c r="QM25" s="1117"/>
      <c r="QN25" s="1117"/>
      <c r="QO25" s="1117"/>
      <c r="QP25" s="1117"/>
      <c r="QQ25" s="1117"/>
      <c r="QR25" s="1117"/>
      <c r="QS25" s="1117"/>
      <c r="QT25" s="1117"/>
      <c r="QU25" s="1117"/>
      <c r="QV25" s="1117"/>
      <c r="QW25" s="1117"/>
      <c r="QX25" s="1117"/>
      <c r="QY25" s="1117"/>
      <c r="QZ25" s="1117"/>
      <c r="RA25" s="1117"/>
      <c r="RB25" s="1117"/>
      <c r="RC25" s="1117"/>
      <c r="RD25" s="1117"/>
      <c r="RE25" s="1117"/>
      <c r="RF25" s="1117"/>
      <c r="RG25" s="1117"/>
      <c r="RH25" s="1117"/>
      <c r="RI25" s="1117"/>
      <c r="RJ25" s="1117"/>
      <c r="RK25" s="1117"/>
      <c r="RL25" s="1117"/>
      <c r="RM25" s="1117"/>
      <c r="RN25" s="1117"/>
      <c r="RO25" s="1117"/>
      <c r="RP25" s="1117"/>
      <c r="RQ25" s="1117"/>
      <c r="RR25" s="1117"/>
      <c r="RS25" s="1117"/>
      <c r="RT25" s="1117"/>
      <c r="RU25" s="1117"/>
      <c r="RV25" s="1117"/>
      <c r="RW25" s="1117"/>
      <c r="RX25" s="1117"/>
      <c r="RY25" s="1117"/>
      <c r="RZ25" s="1117"/>
      <c r="SA25" s="1117"/>
      <c r="SB25" s="1117"/>
      <c r="SC25" s="1117"/>
      <c r="SD25" s="1117"/>
      <c r="SE25" s="1117"/>
      <c r="SF25" s="1117"/>
      <c r="SG25" s="1117"/>
      <c r="SH25" s="1117"/>
      <c r="SI25" s="1117"/>
      <c r="SJ25" s="1117"/>
      <c r="SK25" s="1117"/>
      <c r="SL25" s="1117"/>
      <c r="SM25" s="1117"/>
      <c r="SN25" s="1117"/>
      <c r="SO25" s="1117"/>
      <c r="SP25" s="1117"/>
      <c r="SQ25" s="1117"/>
      <c r="SR25" s="1117"/>
      <c r="SS25" s="1117"/>
      <c r="ST25" s="1117"/>
      <c r="SU25" s="1117"/>
      <c r="SV25" s="1117"/>
      <c r="SW25" s="1117"/>
      <c r="SX25" s="1117"/>
      <c r="SY25" s="1117"/>
      <c r="SZ25" s="1117"/>
      <c r="TA25" s="1117"/>
      <c r="TB25" s="1117"/>
      <c r="TC25" s="1117"/>
      <c r="TD25" s="1117"/>
      <c r="TE25" s="1117"/>
      <c r="TF25" s="1117"/>
      <c r="TG25" s="1117"/>
      <c r="TH25" s="1117"/>
      <c r="TI25" s="1117"/>
      <c r="TJ25" s="1117"/>
      <c r="TK25" s="1117"/>
      <c r="TL25" s="1117"/>
      <c r="TM25" s="1117"/>
      <c r="TN25" s="1117"/>
      <c r="TO25" s="1117"/>
      <c r="TP25" s="1117"/>
      <c r="TQ25" s="1117"/>
      <c r="TR25" s="1117"/>
      <c r="TS25" s="1117"/>
      <c r="TT25" s="1117"/>
      <c r="TU25" s="1117"/>
      <c r="TV25" s="1117"/>
      <c r="TW25" s="1117"/>
      <c r="TX25" s="1117"/>
      <c r="TY25" s="1117"/>
      <c r="TZ25" s="1117"/>
      <c r="UA25" s="1117"/>
      <c r="UB25" s="1117"/>
      <c r="UC25" s="1117"/>
      <c r="UD25" s="1117"/>
      <c r="UE25" s="1117"/>
      <c r="UF25" s="1117"/>
      <c r="UG25" s="1117"/>
      <c r="UH25" s="1117"/>
      <c r="UI25" s="1117"/>
      <c r="UJ25" s="1117"/>
      <c r="UK25" s="1117"/>
      <c r="UL25" s="1117"/>
      <c r="UM25" s="1117"/>
      <c r="UN25" s="1117"/>
      <c r="UO25" s="1117"/>
      <c r="UP25" s="1117"/>
      <c r="UQ25" s="1117"/>
      <c r="UR25" s="1117"/>
      <c r="US25" s="1117"/>
      <c r="UT25" s="1117"/>
      <c r="UU25" s="1117"/>
      <c r="UV25" s="1117"/>
      <c r="UW25" s="1117"/>
      <c r="UX25" s="1117"/>
      <c r="UY25" s="1117"/>
      <c r="UZ25" s="1117"/>
      <c r="VA25" s="1117"/>
      <c r="VB25" s="1117"/>
      <c r="VC25" s="1117"/>
      <c r="VD25" s="1117"/>
      <c r="VE25" s="1117"/>
      <c r="VF25" s="1117"/>
      <c r="VG25" s="1117"/>
      <c r="VH25" s="1117"/>
      <c r="VI25" s="1117"/>
      <c r="VJ25" s="1117"/>
      <c r="VK25" s="1117"/>
      <c r="VL25" s="1117"/>
      <c r="VM25" s="1117"/>
      <c r="VN25" s="1117"/>
      <c r="VO25" s="1117"/>
      <c r="VP25" s="1117"/>
      <c r="VQ25" s="1117"/>
      <c r="VR25" s="1117"/>
      <c r="VS25" s="1117"/>
      <c r="VT25" s="1117"/>
      <c r="VU25" s="1117"/>
      <c r="VV25" s="1117"/>
      <c r="VW25" s="1117"/>
      <c r="VX25" s="1117"/>
      <c r="VY25" s="1117"/>
      <c r="VZ25" s="1117"/>
      <c r="WA25" s="1117"/>
      <c r="WB25" s="1117"/>
      <c r="WC25" s="1117"/>
      <c r="WD25" s="1117"/>
      <c r="WE25" s="1117"/>
      <c r="WF25" s="1117"/>
      <c r="WG25" s="1117"/>
      <c r="WH25" s="1117"/>
      <c r="WI25" s="1117"/>
      <c r="WJ25" s="1117"/>
      <c r="WK25" s="1117"/>
      <c r="WL25" s="1117"/>
      <c r="WM25" s="1117"/>
      <c r="WN25" s="1117"/>
      <c r="WO25" s="1117"/>
      <c r="WP25" s="1117"/>
      <c r="WQ25" s="1117"/>
      <c r="WR25" s="1117"/>
      <c r="WS25" s="1117"/>
      <c r="WT25" s="1117"/>
      <c r="WU25" s="1117"/>
      <c r="WV25" s="1117"/>
      <c r="WW25" s="1117"/>
      <c r="WX25" s="1117"/>
      <c r="WY25" s="1117"/>
      <c r="WZ25" s="1117"/>
      <c r="XA25" s="1117"/>
      <c r="XB25" s="1117"/>
      <c r="XC25" s="1117"/>
      <c r="XD25" s="1117"/>
      <c r="XE25" s="1117"/>
      <c r="XF25" s="1117"/>
      <c r="XG25" s="1117"/>
      <c r="XH25" s="1117"/>
      <c r="XI25" s="1117"/>
      <c r="XJ25" s="1117"/>
      <c r="XK25" s="1117"/>
      <c r="XL25" s="1117"/>
      <c r="XM25" s="1117"/>
      <c r="XN25" s="1117"/>
      <c r="XO25" s="1117"/>
      <c r="XP25" s="1117"/>
      <c r="XQ25" s="1117"/>
      <c r="XR25" s="1117"/>
      <c r="XS25" s="1117"/>
      <c r="XT25" s="1117"/>
      <c r="XU25" s="1117"/>
      <c r="XV25" s="1117"/>
      <c r="XW25" s="1117"/>
      <c r="XX25" s="1117"/>
      <c r="XY25" s="1117"/>
      <c r="XZ25" s="1117"/>
      <c r="YA25" s="1117"/>
      <c r="YB25" s="1117"/>
      <c r="YC25" s="1117"/>
      <c r="YD25" s="1117"/>
      <c r="YE25" s="1117"/>
      <c r="YF25" s="1117"/>
      <c r="YG25" s="1117"/>
      <c r="YH25" s="1117"/>
      <c r="YI25" s="1117"/>
      <c r="YJ25" s="1117"/>
      <c r="YK25" s="1117"/>
      <c r="YL25" s="1117"/>
      <c r="YM25" s="1117"/>
      <c r="YN25" s="1117"/>
      <c r="YO25" s="1117"/>
      <c r="YP25" s="1117"/>
      <c r="YQ25" s="1117"/>
      <c r="YR25" s="1117"/>
      <c r="YS25" s="1117"/>
      <c r="YT25" s="1117"/>
      <c r="YU25" s="1117"/>
      <c r="YV25" s="1117"/>
      <c r="YW25" s="1117"/>
      <c r="YX25" s="1117"/>
      <c r="YY25" s="1117"/>
      <c r="YZ25" s="1117"/>
      <c r="ZA25" s="1117"/>
      <c r="ZB25" s="1117"/>
      <c r="ZC25" s="1117"/>
      <c r="ZD25" s="1117"/>
      <c r="ZE25" s="1117"/>
      <c r="ZF25" s="1117"/>
      <c r="ZG25" s="1117"/>
      <c r="ZH25" s="1117"/>
      <c r="ZI25" s="1117"/>
      <c r="ZJ25" s="1117"/>
      <c r="ZK25" s="1117"/>
      <c r="ZL25" s="1117"/>
      <c r="ZM25" s="1117"/>
      <c r="ZN25" s="1117"/>
      <c r="ZO25" s="1117"/>
      <c r="ZP25" s="1117"/>
      <c r="ZQ25" s="1117"/>
      <c r="ZR25" s="1117"/>
      <c r="ZS25" s="1117"/>
      <c r="ZT25" s="1117"/>
      <c r="ZU25" s="1117"/>
      <c r="ZV25" s="1117"/>
      <c r="ZW25" s="1117"/>
      <c r="ZX25" s="1117"/>
      <c r="ZY25" s="1117"/>
      <c r="ZZ25" s="1117"/>
      <c r="AAA25" s="1117"/>
      <c r="AAB25" s="1117"/>
      <c r="AAC25" s="1117"/>
      <c r="AAD25" s="1117"/>
      <c r="AAE25" s="1117"/>
      <c r="AAF25" s="1117"/>
      <c r="AAG25" s="1117"/>
      <c r="AAH25" s="1117"/>
      <c r="AAI25" s="1117"/>
      <c r="AAJ25" s="1117"/>
      <c r="AAK25" s="1117"/>
      <c r="AAL25" s="1117"/>
      <c r="AAM25" s="1117"/>
      <c r="AAN25" s="1117"/>
      <c r="AAO25" s="1117"/>
      <c r="AAP25" s="1117"/>
      <c r="AAQ25" s="1117"/>
      <c r="AAR25" s="1117"/>
      <c r="AAS25" s="1117"/>
      <c r="AAT25" s="1117"/>
      <c r="AAU25" s="1117"/>
      <c r="AAV25" s="1117"/>
      <c r="AAW25" s="1117"/>
      <c r="AAX25" s="1117"/>
      <c r="AAY25" s="1117"/>
      <c r="AAZ25" s="1117"/>
      <c r="ABA25" s="1117"/>
      <c r="ABB25" s="1117"/>
      <c r="ABC25" s="1117"/>
      <c r="ABD25" s="1117"/>
      <c r="ABE25" s="1117"/>
      <c r="ABF25" s="1117"/>
      <c r="ABG25" s="1117"/>
      <c r="ABH25" s="1117"/>
      <c r="ABI25" s="1117"/>
      <c r="ABJ25" s="1117"/>
      <c r="ABK25" s="1117"/>
      <c r="ABL25" s="1117"/>
      <c r="ABM25" s="1117"/>
      <c r="ABN25" s="1117"/>
      <c r="ABO25" s="1117"/>
      <c r="ABP25" s="1117"/>
      <c r="ABQ25" s="1117"/>
      <c r="ABR25" s="1117"/>
      <c r="ABS25" s="1117"/>
      <c r="ABT25" s="1117"/>
      <c r="ABU25" s="1117"/>
      <c r="ABV25" s="1117"/>
      <c r="ABW25" s="1117"/>
      <c r="ABX25" s="1117"/>
      <c r="ABY25" s="1117"/>
      <c r="ABZ25" s="1117"/>
      <c r="ACA25" s="1117"/>
      <c r="ACB25" s="1117"/>
      <c r="ACC25" s="1117"/>
      <c r="ACD25" s="1117"/>
      <c r="ACE25" s="1117"/>
      <c r="ACF25" s="1117"/>
      <c r="ACG25" s="1117"/>
      <c r="ACH25" s="1117"/>
      <c r="ACI25" s="1117"/>
      <c r="ACJ25" s="1117"/>
      <c r="ACK25" s="1117"/>
      <c r="ACL25" s="1117"/>
      <c r="ACM25" s="1117"/>
      <c r="ACN25" s="1117"/>
      <c r="ACO25" s="1117"/>
      <c r="ACP25" s="1117"/>
      <c r="ACQ25" s="1117"/>
      <c r="ACR25" s="1117"/>
      <c r="ACS25" s="1117"/>
      <c r="ACT25" s="1117"/>
      <c r="ACU25" s="1117"/>
      <c r="ACV25" s="1117"/>
      <c r="ACW25" s="1117"/>
      <c r="ACX25" s="1117"/>
      <c r="ACY25" s="1117"/>
      <c r="ACZ25" s="1117"/>
      <c r="ADA25" s="1117"/>
      <c r="ADB25" s="1117"/>
      <c r="ADC25" s="1117"/>
      <c r="ADD25" s="1117"/>
      <c r="ADE25" s="1117"/>
      <c r="ADF25" s="1117"/>
      <c r="ADG25" s="1117"/>
      <c r="ADH25" s="1117"/>
      <c r="ADI25" s="1117"/>
      <c r="ADJ25" s="1117"/>
      <c r="ADK25" s="1117"/>
      <c r="ADL25" s="1117"/>
      <c r="ADM25" s="1117"/>
      <c r="ADN25" s="1117"/>
      <c r="ADO25" s="1117"/>
      <c r="ADP25" s="1117"/>
      <c r="ADQ25" s="1117"/>
      <c r="ADR25" s="1117"/>
      <c r="ADS25" s="1117"/>
      <c r="ADT25" s="1117"/>
      <c r="ADU25" s="1117"/>
      <c r="ADV25" s="1117"/>
      <c r="ADW25" s="1117"/>
      <c r="ADX25" s="1117"/>
      <c r="ADY25" s="1117"/>
      <c r="ADZ25" s="1117"/>
      <c r="AEA25" s="1117"/>
      <c r="AEB25" s="1117"/>
      <c r="AEC25" s="1117"/>
      <c r="AED25" s="1117"/>
      <c r="AEE25" s="1117"/>
      <c r="AEF25" s="1117"/>
      <c r="AEG25" s="1117"/>
      <c r="AEH25" s="1117"/>
      <c r="AEI25" s="1117"/>
      <c r="AEJ25" s="1117"/>
      <c r="AEK25" s="1117"/>
      <c r="AEL25" s="1117"/>
      <c r="AEM25" s="1117"/>
      <c r="AEN25" s="1117"/>
      <c r="AEO25" s="1117"/>
      <c r="AEP25" s="1117"/>
      <c r="AEQ25" s="1117"/>
      <c r="AER25" s="1117"/>
      <c r="AES25" s="1117"/>
      <c r="AET25" s="1117"/>
      <c r="AEU25" s="1117"/>
      <c r="AEV25" s="1117"/>
      <c r="AEW25" s="1117"/>
      <c r="AEX25" s="1117"/>
      <c r="AEY25" s="1117"/>
      <c r="AEZ25" s="1117"/>
      <c r="AFA25" s="1117"/>
      <c r="AFB25" s="1117"/>
      <c r="AFC25" s="1117"/>
      <c r="AFD25" s="1117"/>
      <c r="AFE25" s="1117"/>
      <c r="AFF25" s="1117"/>
      <c r="AFG25" s="1117"/>
      <c r="AFH25" s="1117"/>
      <c r="AFI25" s="1117"/>
      <c r="AFJ25" s="1117"/>
      <c r="AFK25" s="1117"/>
      <c r="AFL25" s="1117"/>
      <c r="AFM25" s="1117"/>
      <c r="AFN25" s="1117"/>
      <c r="AFO25" s="1117"/>
      <c r="AFP25" s="1117"/>
      <c r="AFQ25" s="1117"/>
      <c r="AFR25" s="1117"/>
      <c r="AFS25" s="1117"/>
      <c r="AFT25" s="1117"/>
      <c r="AFU25" s="1117"/>
      <c r="AFV25" s="1117"/>
      <c r="AFW25" s="1117"/>
      <c r="AFX25" s="1117"/>
      <c r="AFY25" s="1117"/>
      <c r="AFZ25" s="1117"/>
      <c r="AGA25" s="1117"/>
      <c r="AGB25" s="1117"/>
      <c r="AGC25" s="1117"/>
      <c r="AGD25" s="1117"/>
      <c r="AGE25" s="1117"/>
      <c r="AGF25" s="1117"/>
      <c r="AGG25" s="1117"/>
      <c r="AGH25" s="1117"/>
      <c r="AGI25" s="1117"/>
      <c r="AGJ25" s="1117"/>
      <c r="AGK25" s="1117"/>
      <c r="AGL25" s="1117"/>
      <c r="AGM25" s="1117"/>
      <c r="AGN25" s="1117"/>
      <c r="AGO25" s="1117"/>
      <c r="AGP25" s="1117"/>
      <c r="AGQ25" s="1117"/>
      <c r="AGR25" s="1117"/>
      <c r="AGS25" s="1117"/>
      <c r="AGT25" s="1117"/>
      <c r="AGU25" s="1117"/>
      <c r="AGV25" s="1117"/>
      <c r="AGW25" s="1117"/>
      <c r="AGX25" s="1117"/>
      <c r="AGY25" s="1117"/>
      <c r="AGZ25" s="1117"/>
      <c r="AHA25" s="1117"/>
      <c r="AHB25" s="1117"/>
      <c r="AHC25" s="1117"/>
      <c r="AHD25" s="1117"/>
      <c r="AHE25" s="1117"/>
      <c r="AHF25" s="1117"/>
      <c r="AHG25" s="1117"/>
      <c r="AHH25" s="1117"/>
      <c r="AHI25" s="1117"/>
      <c r="AHJ25" s="1117"/>
      <c r="AHK25" s="1117"/>
      <c r="AHL25" s="1117"/>
      <c r="AHM25" s="1117"/>
      <c r="AHN25" s="1117"/>
      <c r="AHO25" s="1117"/>
      <c r="AHP25" s="1117"/>
      <c r="AHQ25" s="1117"/>
      <c r="AHR25" s="1117"/>
      <c r="AHS25" s="1117"/>
      <c r="AHT25" s="1117"/>
      <c r="AHU25" s="1117"/>
      <c r="AHV25" s="1117"/>
      <c r="AHW25" s="1117"/>
      <c r="AHX25" s="1117"/>
      <c r="AHY25" s="1117"/>
      <c r="AHZ25" s="1117"/>
      <c r="AIA25" s="1117"/>
      <c r="AIB25" s="1117"/>
      <c r="AIC25" s="1117"/>
      <c r="AID25" s="1117"/>
      <c r="AIE25" s="1117"/>
      <c r="AIF25" s="1117"/>
      <c r="AIG25" s="1117"/>
      <c r="AIH25" s="1117"/>
      <c r="AII25" s="1117"/>
      <c r="AIJ25" s="1117"/>
      <c r="AIK25" s="1117"/>
      <c r="AIL25" s="1117"/>
      <c r="AIM25" s="1117"/>
      <c r="AIN25" s="1117"/>
      <c r="AIO25" s="1117"/>
      <c r="AIP25" s="1117"/>
      <c r="AIQ25" s="1117"/>
      <c r="AIR25" s="1117"/>
      <c r="AIS25" s="1117"/>
      <c r="AIT25" s="1117"/>
      <c r="AIU25" s="1117"/>
      <c r="AIV25" s="1117"/>
      <c r="AIW25" s="1117"/>
      <c r="AIX25" s="1117"/>
      <c r="AIY25" s="1117"/>
      <c r="AIZ25" s="1117"/>
      <c r="AJA25" s="1117"/>
      <c r="AJB25" s="1117"/>
      <c r="AJC25" s="1117"/>
      <c r="AJD25" s="1117"/>
      <c r="AJE25" s="1117"/>
      <c r="AJF25" s="1117"/>
      <c r="AJG25" s="1117"/>
      <c r="AJH25" s="1117"/>
      <c r="AJI25" s="1117"/>
      <c r="AJJ25" s="1117"/>
      <c r="AJK25" s="1117"/>
      <c r="AJL25" s="1117"/>
      <c r="AJM25" s="1117"/>
      <c r="AJN25" s="1117"/>
      <c r="AJO25" s="1117"/>
      <c r="AJP25" s="1117"/>
      <c r="AJQ25" s="1117"/>
      <c r="AJR25" s="1117"/>
      <c r="AJS25" s="1117"/>
      <c r="AJT25" s="1117"/>
      <c r="AJU25" s="1117"/>
      <c r="AJV25" s="1117"/>
      <c r="AJW25" s="1117"/>
      <c r="AJX25" s="1117"/>
      <c r="AJY25" s="1117"/>
      <c r="AJZ25" s="1117"/>
      <c r="AKA25" s="1117"/>
      <c r="AKB25" s="1117"/>
      <c r="AKC25" s="1117"/>
      <c r="AKD25" s="1117"/>
      <c r="AKE25" s="1117"/>
      <c r="AKF25" s="1117"/>
      <c r="AKG25" s="1117"/>
      <c r="AKH25" s="1117"/>
      <c r="AKI25" s="1117"/>
      <c r="AKJ25" s="1117"/>
      <c r="AKK25" s="1117"/>
      <c r="AKL25" s="1117"/>
      <c r="AKM25" s="1117"/>
      <c r="AKN25" s="1117"/>
      <c r="AKO25" s="1117"/>
      <c r="AKP25" s="1117"/>
      <c r="AKQ25" s="1117"/>
      <c r="AKR25" s="1117"/>
      <c r="AKS25" s="1117"/>
      <c r="AKT25" s="1117"/>
      <c r="AKU25" s="1117"/>
      <c r="AKV25" s="1117"/>
      <c r="AKW25" s="1117"/>
      <c r="AKX25" s="1117"/>
      <c r="AKY25" s="1117"/>
      <c r="AKZ25" s="1117"/>
      <c r="ALA25" s="1117"/>
      <c r="ALB25" s="1117"/>
      <c r="ALC25" s="1117"/>
      <c r="ALD25" s="1117"/>
      <c r="ALE25" s="1117"/>
      <c r="ALF25" s="1117"/>
      <c r="ALG25" s="1117"/>
      <c r="ALH25" s="1117"/>
      <c r="ALI25" s="1117"/>
      <c r="ALJ25" s="1117"/>
      <c r="ALK25" s="1117"/>
      <c r="ALL25" s="1117"/>
      <c r="ALM25" s="1117"/>
      <c r="ALN25" s="1117"/>
      <c r="ALO25" s="1117"/>
      <c r="ALP25" s="1117"/>
      <c r="ALQ25" s="1117"/>
      <c r="ALR25" s="1117"/>
      <c r="ALS25" s="1117"/>
      <c r="ALT25" s="1117"/>
      <c r="ALU25" s="1117"/>
      <c r="ALV25" s="1117"/>
      <c r="ALW25" s="1117"/>
      <c r="ALX25" s="1117"/>
      <c r="ALY25" s="1117"/>
      <c r="ALZ25" s="1117"/>
      <c r="AMA25" s="1117"/>
      <c r="AMB25" s="1117"/>
      <c r="AMC25" s="1117"/>
      <c r="AMD25" s="1117"/>
      <c r="AME25" s="1117"/>
      <c r="AMF25" s="1117"/>
      <c r="AMG25" s="1117"/>
      <c r="AMH25" s="1117"/>
      <c r="AMI25" s="1117"/>
      <c r="AMJ25" s="1117"/>
      <c r="AMK25" s="1117"/>
      <c r="AML25" s="1117"/>
      <c r="AMM25" s="1117"/>
      <c r="AMN25" s="1117"/>
      <c r="AMO25" s="1117"/>
      <c r="AMP25" s="1117"/>
      <c r="AMQ25" s="1117"/>
      <c r="AMR25" s="1117"/>
      <c r="AMS25" s="1117"/>
      <c r="AMT25" s="1117"/>
      <c r="AMU25" s="1117"/>
      <c r="AMV25" s="1117"/>
      <c r="AMW25" s="1117"/>
      <c r="AMX25" s="1117"/>
      <c r="AMY25" s="1117"/>
      <c r="AMZ25" s="1117"/>
      <c r="ANA25" s="1117"/>
      <c r="ANB25" s="1117"/>
      <c r="ANC25" s="1117"/>
      <c r="AND25" s="1117"/>
      <c r="ANE25" s="1117"/>
      <c r="ANF25" s="1117"/>
      <c r="ANG25" s="1117"/>
      <c r="ANH25" s="1117"/>
      <c r="ANI25" s="1117"/>
      <c r="ANJ25" s="1117"/>
      <c r="ANK25" s="1117"/>
      <c r="ANL25" s="1117"/>
      <c r="ANM25" s="1117"/>
      <c r="ANN25" s="1117"/>
      <c r="ANO25" s="1117"/>
      <c r="ANP25" s="1117"/>
      <c r="ANQ25" s="1117"/>
      <c r="ANR25" s="1117"/>
      <c r="ANS25" s="1117"/>
      <c r="ANT25" s="1117"/>
      <c r="ANU25" s="1117"/>
      <c r="ANV25" s="1117"/>
      <c r="ANW25" s="1117"/>
      <c r="ANX25" s="1117"/>
      <c r="ANY25" s="1117"/>
      <c r="ANZ25" s="1117"/>
      <c r="AOA25" s="1117"/>
      <c r="AOB25" s="1117"/>
      <c r="AOC25" s="1117"/>
      <c r="AOD25" s="1117"/>
      <c r="AOE25" s="1117"/>
      <c r="AOF25" s="1117"/>
      <c r="AOG25" s="1117"/>
      <c r="AOH25" s="1117"/>
      <c r="AOI25" s="1117"/>
      <c r="AOJ25" s="1117"/>
      <c r="AOK25" s="1117"/>
      <c r="AOL25" s="1117"/>
      <c r="AOM25" s="1117"/>
      <c r="AON25" s="1117"/>
      <c r="AOO25" s="1117"/>
      <c r="AOP25" s="1117"/>
      <c r="AOQ25" s="1117"/>
      <c r="AOR25" s="1117"/>
      <c r="AOS25" s="1117"/>
      <c r="AOT25" s="1117"/>
      <c r="AOU25" s="1117"/>
      <c r="AOV25" s="1117"/>
      <c r="AOW25" s="1117"/>
      <c r="AOX25" s="1117"/>
      <c r="AOY25" s="1117"/>
      <c r="AOZ25" s="1117"/>
      <c r="APA25" s="1117"/>
      <c r="APB25" s="1117"/>
      <c r="APC25" s="1117"/>
      <c r="APD25" s="1117"/>
      <c r="APE25" s="1117"/>
      <c r="APF25" s="1117"/>
      <c r="APG25" s="1117"/>
      <c r="APH25" s="1117"/>
      <c r="API25" s="1117"/>
      <c r="APJ25" s="1117"/>
      <c r="APK25" s="1117"/>
      <c r="APL25" s="1117"/>
      <c r="APM25" s="1117"/>
      <c r="APN25" s="1117"/>
      <c r="APO25" s="1117"/>
      <c r="APP25" s="1117"/>
      <c r="APQ25" s="1117"/>
      <c r="APR25" s="1117"/>
      <c r="APS25" s="1117"/>
      <c r="APT25" s="1117"/>
      <c r="APU25" s="1117"/>
      <c r="APV25" s="1117"/>
      <c r="APW25" s="1117"/>
      <c r="APX25" s="1117"/>
      <c r="APY25" s="1117"/>
      <c r="APZ25" s="1117"/>
      <c r="AQA25" s="1117"/>
      <c r="AQB25" s="1117"/>
      <c r="AQC25" s="1117"/>
      <c r="AQD25" s="1117"/>
      <c r="AQE25" s="1117"/>
      <c r="AQF25" s="1117"/>
      <c r="AQG25" s="1117"/>
      <c r="AQH25" s="1117"/>
      <c r="AQI25" s="1117"/>
      <c r="AQJ25" s="1117"/>
      <c r="AQK25" s="1117"/>
      <c r="AQL25" s="1117"/>
      <c r="AQM25" s="1117"/>
      <c r="AQN25" s="1117"/>
      <c r="AQO25" s="1117"/>
      <c r="AQP25" s="1117"/>
      <c r="AQQ25" s="1117"/>
      <c r="AQR25" s="1117"/>
      <c r="AQS25" s="1117"/>
      <c r="AQT25" s="1117"/>
      <c r="AQU25" s="1117"/>
      <c r="AQV25" s="1117"/>
      <c r="AQW25" s="1117"/>
      <c r="AQX25" s="1117"/>
      <c r="AQY25" s="1117"/>
      <c r="AQZ25" s="1117"/>
      <c r="ARA25" s="1117"/>
      <c r="ARB25" s="1117"/>
      <c r="ARC25" s="1117"/>
      <c r="ARD25" s="1117"/>
      <c r="ARE25" s="1117"/>
      <c r="ARF25" s="1117"/>
      <c r="ARG25" s="1117"/>
      <c r="ARH25" s="1117"/>
      <c r="ARI25" s="1117"/>
      <c r="ARJ25" s="1117"/>
      <c r="ARK25" s="1117"/>
      <c r="ARL25" s="1117"/>
      <c r="ARM25" s="1117"/>
      <c r="ARN25" s="1117"/>
      <c r="ARO25" s="1117"/>
      <c r="ARP25" s="1117"/>
      <c r="ARQ25" s="1117"/>
      <c r="ARR25" s="1117"/>
      <c r="ARS25" s="1117"/>
      <c r="ART25" s="1117"/>
      <c r="ARU25" s="1117"/>
      <c r="ARV25" s="1117"/>
      <c r="ARW25" s="1117"/>
      <c r="ARX25" s="1117"/>
      <c r="ARY25" s="1117"/>
      <c r="ARZ25" s="1117"/>
      <c r="ASA25" s="1117"/>
      <c r="ASB25" s="1117"/>
      <c r="ASC25" s="1117"/>
      <c r="ASD25" s="1117"/>
      <c r="ASE25" s="1117"/>
      <c r="ASF25" s="1117"/>
      <c r="ASG25" s="1117"/>
      <c r="ASH25" s="1117"/>
      <c r="ASI25" s="1117"/>
      <c r="ASJ25" s="1117"/>
      <c r="ASK25" s="1117"/>
      <c r="ASL25" s="1117"/>
      <c r="ASM25" s="1117"/>
      <c r="ASN25" s="1117"/>
      <c r="ASO25" s="1117"/>
      <c r="ASP25" s="1117"/>
      <c r="ASQ25" s="1117"/>
      <c r="ASR25" s="1117"/>
      <c r="ASS25" s="1117"/>
      <c r="AST25" s="1117"/>
      <c r="ASU25" s="1117"/>
      <c r="ASV25" s="1117"/>
      <c r="ASW25" s="1117"/>
      <c r="ASX25" s="1117"/>
      <c r="ASY25" s="1117"/>
      <c r="ASZ25" s="1117"/>
      <c r="ATA25" s="1117"/>
      <c r="ATB25" s="1117"/>
      <c r="ATC25" s="1117"/>
      <c r="ATD25" s="1117"/>
      <c r="ATE25" s="1117"/>
      <c r="ATF25" s="1117"/>
      <c r="ATG25" s="1117"/>
      <c r="ATH25" s="1117"/>
      <c r="ATI25" s="1117"/>
      <c r="ATJ25" s="1117"/>
      <c r="ATK25" s="1117"/>
      <c r="ATL25" s="1117"/>
      <c r="ATM25" s="1117"/>
      <c r="ATN25" s="1117"/>
      <c r="ATO25" s="1117"/>
      <c r="ATP25" s="1117"/>
      <c r="ATQ25" s="1117"/>
      <c r="ATR25" s="1117"/>
      <c r="ATS25" s="1117"/>
      <c r="ATT25" s="1117"/>
      <c r="ATU25" s="1117"/>
      <c r="ATV25" s="1117"/>
      <c r="ATW25" s="1117"/>
      <c r="ATX25" s="1117"/>
      <c r="ATY25" s="1117"/>
      <c r="ATZ25" s="1117"/>
      <c r="AUA25" s="1117"/>
      <c r="AUB25" s="1117"/>
      <c r="AUC25" s="1117"/>
      <c r="AUD25" s="1117"/>
      <c r="AUE25" s="1117"/>
      <c r="AUF25" s="1117"/>
      <c r="AUG25" s="1117"/>
      <c r="AUH25" s="1117"/>
      <c r="AUI25" s="1117"/>
      <c r="AUJ25" s="1117"/>
      <c r="AUK25" s="1117"/>
      <c r="AUL25" s="1117"/>
      <c r="AUM25" s="1117"/>
      <c r="AUN25" s="1117"/>
      <c r="AUO25" s="1117"/>
      <c r="AUP25" s="1117"/>
      <c r="AUQ25" s="1117"/>
      <c r="AUR25" s="1117"/>
      <c r="AUS25" s="1117"/>
      <c r="AUT25" s="1117"/>
      <c r="AUU25" s="1117"/>
      <c r="AUV25" s="1117"/>
      <c r="AUW25" s="1117"/>
      <c r="AUX25" s="1117"/>
      <c r="AUY25" s="1117"/>
      <c r="AUZ25" s="1117"/>
      <c r="AVA25" s="1117"/>
      <c r="AVB25" s="1117"/>
      <c r="AVC25" s="1117"/>
      <c r="AVD25" s="1117"/>
      <c r="AVE25" s="1117"/>
      <c r="AVF25" s="1117"/>
      <c r="AVG25" s="1117"/>
      <c r="AVH25" s="1117"/>
      <c r="AVI25" s="1117"/>
      <c r="AVJ25" s="1117"/>
      <c r="AVK25" s="1117"/>
      <c r="AVL25" s="1117"/>
      <c r="AVM25" s="1117"/>
      <c r="AVN25" s="1117"/>
      <c r="AVO25" s="1117"/>
      <c r="AVP25" s="1117"/>
      <c r="AVQ25" s="1117"/>
      <c r="AVR25" s="1117"/>
      <c r="AVS25" s="1117"/>
      <c r="AVT25" s="1117"/>
      <c r="AVU25" s="1117"/>
      <c r="AVV25" s="1117"/>
      <c r="AVW25" s="1117"/>
      <c r="AVX25" s="1117"/>
      <c r="AVY25" s="1117"/>
      <c r="AVZ25" s="1117"/>
      <c r="AWA25" s="1117"/>
      <c r="AWB25" s="1117"/>
      <c r="AWC25" s="1117"/>
      <c r="AWD25" s="1117"/>
      <c r="AWE25" s="1117"/>
      <c r="AWF25" s="1117"/>
      <c r="AWG25" s="1117"/>
      <c r="AWH25" s="1117"/>
      <c r="AWI25" s="1117"/>
      <c r="AWJ25" s="1117"/>
      <c r="AWK25" s="1117"/>
      <c r="AWL25" s="1117"/>
      <c r="AWM25" s="1117"/>
      <c r="AWN25" s="1117"/>
      <c r="AWO25" s="1117"/>
      <c r="AWP25" s="1117"/>
      <c r="AWQ25" s="1117"/>
      <c r="AWR25" s="1117"/>
      <c r="AWS25" s="1117"/>
      <c r="AWT25" s="1117"/>
      <c r="AWU25" s="1117"/>
      <c r="AWV25" s="1117"/>
      <c r="AWW25" s="1117"/>
      <c r="AWX25" s="1117"/>
      <c r="AWY25" s="1117"/>
      <c r="AWZ25" s="1117"/>
      <c r="AXA25" s="1117"/>
      <c r="AXB25" s="1117"/>
      <c r="AXC25" s="1117"/>
      <c r="AXD25" s="1117"/>
      <c r="AXE25" s="1117"/>
      <c r="AXF25" s="1117"/>
      <c r="AXG25" s="1117"/>
      <c r="AXH25" s="1117"/>
      <c r="AXI25" s="1117"/>
      <c r="AXJ25" s="1117"/>
      <c r="AXK25" s="1117"/>
      <c r="AXL25" s="1117"/>
      <c r="AXM25" s="1117"/>
      <c r="AXN25" s="1117"/>
      <c r="AXO25" s="1117"/>
      <c r="AXP25" s="1117"/>
      <c r="AXQ25" s="1117"/>
      <c r="AXR25" s="1117"/>
      <c r="AXS25" s="1117"/>
      <c r="AXT25" s="1117"/>
      <c r="AXU25" s="1117"/>
      <c r="AXV25" s="1117"/>
      <c r="AXW25" s="1117"/>
      <c r="AXX25" s="1117"/>
      <c r="AXY25" s="1117"/>
      <c r="AXZ25" s="1117"/>
      <c r="AYA25" s="1117"/>
      <c r="AYB25" s="1117"/>
      <c r="AYC25" s="1117"/>
      <c r="AYD25" s="1117"/>
      <c r="AYE25" s="1117"/>
      <c r="AYF25" s="1117"/>
      <c r="AYG25" s="1117"/>
      <c r="AYH25" s="1117"/>
      <c r="AYI25" s="1117"/>
      <c r="AYJ25" s="1117"/>
      <c r="AYK25" s="1117"/>
      <c r="AYL25" s="1117"/>
      <c r="AYM25" s="1117"/>
      <c r="AYN25" s="1117"/>
      <c r="AYO25" s="1117"/>
      <c r="AYP25" s="1117"/>
      <c r="AYQ25" s="1117"/>
      <c r="AYR25" s="1117"/>
      <c r="AYS25" s="1117"/>
      <c r="AYT25" s="1117"/>
      <c r="AYU25" s="1117"/>
      <c r="AYV25" s="1117"/>
      <c r="AYW25" s="1117"/>
      <c r="AYX25" s="1117"/>
      <c r="AYY25" s="1117"/>
      <c r="AYZ25" s="1117"/>
      <c r="AZA25" s="1117"/>
      <c r="AZB25" s="1117"/>
      <c r="AZC25" s="1117"/>
      <c r="AZD25" s="1117"/>
      <c r="AZE25" s="1117"/>
      <c r="AZF25" s="1117"/>
      <c r="AZG25" s="1117"/>
      <c r="AZH25" s="1117"/>
      <c r="AZI25" s="1117"/>
      <c r="AZJ25" s="1117"/>
      <c r="AZK25" s="1117"/>
      <c r="AZL25" s="1117"/>
      <c r="AZM25" s="1117"/>
      <c r="AZN25" s="1117"/>
      <c r="AZO25" s="1117"/>
      <c r="AZP25" s="1117"/>
      <c r="AZQ25" s="1117"/>
      <c r="AZR25" s="1117"/>
      <c r="AZS25" s="1117"/>
      <c r="AZT25" s="1117"/>
      <c r="AZU25" s="1117"/>
      <c r="AZV25" s="1117"/>
      <c r="AZW25" s="1117"/>
      <c r="AZX25" s="1117"/>
      <c r="AZY25" s="1117"/>
      <c r="AZZ25" s="1117"/>
      <c r="BAA25" s="1117"/>
      <c r="BAB25" s="1117"/>
      <c r="BAC25" s="1117"/>
      <c r="BAD25" s="1117"/>
      <c r="BAE25" s="1117"/>
      <c r="BAF25" s="1117"/>
      <c r="BAG25" s="1117"/>
      <c r="BAH25" s="1117"/>
      <c r="BAI25" s="1117"/>
      <c r="BAJ25" s="1117"/>
      <c r="BAK25" s="1117"/>
      <c r="BAL25" s="1117"/>
      <c r="BAM25" s="1117"/>
      <c r="BAN25" s="1117"/>
      <c r="BAO25" s="1117"/>
      <c r="BAP25" s="1117"/>
      <c r="BAQ25" s="1117"/>
      <c r="BAR25" s="1117"/>
      <c r="BAS25" s="1117"/>
      <c r="BAT25" s="1117"/>
      <c r="BAU25" s="1117"/>
      <c r="BAV25" s="1117"/>
      <c r="BAW25" s="1117"/>
      <c r="BAX25" s="1117"/>
      <c r="BAY25" s="1117"/>
      <c r="BAZ25" s="1117"/>
      <c r="BBA25" s="1117"/>
      <c r="BBB25" s="1117"/>
      <c r="BBC25" s="1117"/>
      <c r="BBD25" s="1117"/>
      <c r="BBE25" s="1117"/>
      <c r="BBF25" s="1117"/>
      <c r="BBG25" s="1117"/>
      <c r="BBH25" s="1117"/>
      <c r="BBI25" s="1117"/>
      <c r="BBJ25" s="1117"/>
      <c r="BBK25" s="1117"/>
      <c r="BBL25" s="1117"/>
      <c r="BBM25" s="1117"/>
      <c r="BBN25" s="1117"/>
      <c r="BBO25" s="1117"/>
      <c r="BBP25" s="1117"/>
      <c r="BBQ25" s="1117"/>
      <c r="BBR25" s="1117"/>
      <c r="BBS25" s="1117"/>
      <c r="BBT25" s="1117"/>
      <c r="BBU25" s="1117"/>
      <c r="BBV25" s="1117"/>
      <c r="BBW25" s="1117"/>
      <c r="BBX25" s="1117"/>
      <c r="BBY25" s="1117"/>
      <c r="BBZ25" s="1117"/>
      <c r="BCA25" s="1117"/>
      <c r="BCB25" s="1117"/>
      <c r="BCC25" s="1117"/>
      <c r="BCD25" s="1117"/>
      <c r="BCE25" s="1117"/>
      <c r="BCF25" s="1117"/>
      <c r="BCG25" s="1117"/>
      <c r="BCH25" s="1117"/>
      <c r="BCI25" s="1117"/>
      <c r="BCJ25" s="1117"/>
      <c r="BCK25" s="1117"/>
      <c r="BCL25" s="1117"/>
      <c r="BCM25" s="1117"/>
      <c r="BCN25" s="1117"/>
      <c r="BCO25" s="1117"/>
      <c r="BCP25" s="1117"/>
      <c r="BCQ25" s="1117"/>
      <c r="BCR25" s="1117"/>
      <c r="BCS25" s="1117"/>
      <c r="BCT25" s="1117"/>
      <c r="BCU25" s="1117"/>
      <c r="BCV25" s="1117"/>
      <c r="BCW25" s="1117"/>
      <c r="BCX25" s="1117"/>
      <c r="BCY25" s="1117"/>
      <c r="BCZ25" s="1117"/>
      <c r="BDA25" s="1117"/>
      <c r="BDB25" s="1117"/>
      <c r="BDC25" s="1117"/>
      <c r="BDD25" s="1117"/>
      <c r="BDE25" s="1117"/>
      <c r="BDF25" s="1117"/>
      <c r="BDG25" s="1117"/>
      <c r="BDH25" s="1117"/>
      <c r="BDI25" s="1117"/>
      <c r="BDJ25" s="1117"/>
      <c r="BDK25" s="1117"/>
      <c r="BDL25" s="1117"/>
      <c r="BDM25" s="1117"/>
      <c r="BDN25" s="1117"/>
      <c r="BDO25" s="1117"/>
      <c r="BDP25" s="1117"/>
      <c r="BDQ25" s="1117"/>
      <c r="BDR25" s="1117"/>
      <c r="BDS25" s="1117"/>
      <c r="BDT25" s="1117"/>
      <c r="BDU25" s="1117"/>
      <c r="BDV25" s="1117"/>
      <c r="BDW25" s="1117"/>
      <c r="BDX25" s="1117"/>
      <c r="BDY25" s="1117"/>
      <c r="BDZ25" s="1117"/>
      <c r="BEA25" s="1117"/>
      <c r="BEB25" s="1117"/>
      <c r="BEC25" s="1117"/>
      <c r="BED25" s="1117"/>
      <c r="BEE25" s="1117"/>
      <c r="BEF25" s="1117"/>
      <c r="BEG25" s="1117"/>
      <c r="BEH25" s="1117"/>
      <c r="BEI25" s="1117"/>
      <c r="BEJ25" s="1117"/>
      <c r="BEK25" s="1117"/>
      <c r="BEL25" s="1117"/>
      <c r="BEM25" s="1117"/>
      <c r="BEN25" s="1117"/>
      <c r="BEO25" s="1117"/>
      <c r="BEP25" s="1117"/>
      <c r="BEQ25" s="1117"/>
      <c r="BER25" s="1117"/>
      <c r="BES25" s="1117"/>
      <c r="BET25" s="1117"/>
      <c r="BEU25" s="1117"/>
      <c r="BEV25" s="1117"/>
      <c r="BEW25" s="1117"/>
      <c r="BEX25" s="1117"/>
      <c r="BEY25" s="1117"/>
      <c r="BEZ25" s="1117"/>
      <c r="BFA25" s="1117"/>
      <c r="BFB25" s="1117"/>
      <c r="BFC25" s="1117"/>
      <c r="BFD25" s="1117"/>
      <c r="BFE25" s="1117"/>
      <c r="BFF25" s="1117"/>
      <c r="BFG25" s="1117"/>
      <c r="BFH25" s="1117"/>
      <c r="BFI25" s="1117"/>
      <c r="BFJ25" s="1117"/>
      <c r="BFK25" s="1117"/>
      <c r="BFL25" s="1117"/>
      <c r="BFM25" s="1117"/>
      <c r="BFN25" s="1117"/>
      <c r="BFO25" s="1117"/>
      <c r="BFP25" s="1117"/>
      <c r="BFQ25" s="1117"/>
      <c r="BFR25" s="1117"/>
      <c r="BFS25" s="1117"/>
      <c r="BFT25" s="1117"/>
      <c r="BFU25" s="1117"/>
      <c r="BFV25" s="1117"/>
      <c r="BFW25" s="1117"/>
      <c r="BFX25" s="1117"/>
      <c r="BFY25" s="1117"/>
      <c r="BFZ25" s="1117"/>
      <c r="BGA25" s="1117"/>
      <c r="BGB25" s="1117"/>
      <c r="BGC25" s="1117"/>
      <c r="BGD25" s="1117"/>
      <c r="BGE25" s="1117"/>
      <c r="BGF25" s="1117"/>
      <c r="BGG25" s="1117"/>
      <c r="BGH25" s="1117"/>
      <c r="BGI25" s="1117"/>
      <c r="BGJ25" s="1117"/>
      <c r="BGK25" s="1117"/>
      <c r="BGL25" s="1117"/>
      <c r="BGM25" s="1117"/>
      <c r="BGN25" s="1117"/>
      <c r="BGO25" s="1117"/>
      <c r="BGP25" s="1117"/>
      <c r="BGQ25" s="1117"/>
      <c r="BGR25" s="1117"/>
      <c r="BGS25" s="1117"/>
      <c r="BGT25" s="1117"/>
      <c r="BGU25" s="1117"/>
      <c r="BGV25" s="1117"/>
      <c r="BGW25" s="1117"/>
      <c r="BGX25" s="1117"/>
      <c r="BGY25" s="1117"/>
      <c r="BGZ25" s="1117"/>
      <c r="BHA25" s="1117"/>
      <c r="BHB25" s="1117"/>
      <c r="BHC25" s="1117"/>
      <c r="BHD25" s="1117"/>
      <c r="BHE25" s="1117"/>
      <c r="BHF25" s="1117"/>
      <c r="BHG25" s="1117"/>
      <c r="BHH25" s="1117"/>
      <c r="BHI25" s="1117"/>
      <c r="BHJ25" s="1117"/>
      <c r="BHK25" s="1117"/>
      <c r="BHL25" s="1117"/>
      <c r="BHM25" s="1117"/>
      <c r="BHN25" s="1117"/>
      <c r="BHO25" s="1117"/>
      <c r="BHP25" s="1117"/>
      <c r="BHQ25" s="1117"/>
      <c r="BHR25" s="1117"/>
      <c r="BHS25" s="1117"/>
      <c r="BHT25" s="1117"/>
      <c r="BHU25" s="1117"/>
      <c r="BHV25" s="1117"/>
      <c r="BHW25" s="1117"/>
      <c r="BHX25" s="1117"/>
      <c r="BHY25" s="1117"/>
      <c r="BHZ25" s="1117"/>
      <c r="BIA25" s="1117"/>
      <c r="BIB25" s="1117"/>
      <c r="BIC25" s="1117"/>
      <c r="BID25" s="1117"/>
      <c r="BIE25" s="1117"/>
      <c r="BIF25" s="1117"/>
      <c r="BIG25" s="1117"/>
      <c r="BIH25" s="1117"/>
      <c r="BII25" s="1117"/>
      <c r="BIJ25" s="1117"/>
      <c r="BIK25" s="1117"/>
      <c r="BIL25" s="1117"/>
      <c r="BIM25" s="1117"/>
      <c r="BIN25" s="1117"/>
      <c r="BIO25" s="1117"/>
      <c r="BIP25" s="1117"/>
      <c r="BIQ25" s="1117"/>
      <c r="BIR25" s="1117"/>
      <c r="BIS25" s="1117"/>
      <c r="BIT25" s="1117"/>
      <c r="BIU25" s="1117"/>
      <c r="BIV25" s="1117"/>
      <c r="BIW25" s="1117"/>
      <c r="BIX25" s="1117"/>
      <c r="BIY25" s="1117"/>
      <c r="BIZ25" s="1117"/>
      <c r="BJA25" s="1117"/>
      <c r="BJB25" s="1117"/>
      <c r="BJC25" s="1117"/>
      <c r="BJD25" s="1117"/>
      <c r="BJE25" s="1117"/>
      <c r="BJF25" s="1117"/>
      <c r="BJG25" s="1117"/>
      <c r="BJH25" s="1117"/>
      <c r="BJI25" s="1117"/>
      <c r="BJJ25" s="1117"/>
      <c r="BJK25" s="1117"/>
      <c r="BJL25" s="1117"/>
      <c r="BJM25" s="1117"/>
      <c r="BJN25" s="1117"/>
      <c r="BJO25" s="1117"/>
      <c r="BJP25" s="1117"/>
      <c r="BJQ25" s="1117"/>
      <c r="BJR25" s="1117"/>
      <c r="BJS25" s="1117"/>
      <c r="BJT25" s="1117"/>
      <c r="BJU25" s="1117"/>
      <c r="BJV25" s="1117"/>
      <c r="BJW25" s="1117"/>
      <c r="BJX25" s="1117"/>
      <c r="BJY25" s="1117"/>
      <c r="BJZ25" s="1117"/>
      <c r="BKA25" s="1117"/>
      <c r="BKB25" s="1117"/>
      <c r="BKC25" s="1117"/>
      <c r="BKD25" s="1117"/>
      <c r="BKE25" s="1117"/>
      <c r="BKF25" s="1117"/>
      <c r="BKG25" s="1117"/>
      <c r="BKH25" s="1117"/>
      <c r="BKI25" s="1117"/>
      <c r="BKJ25" s="1117"/>
      <c r="BKK25" s="1117"/>
      <c r="BKL25" s="1117"/>
      <c r="BKM25" s="1117"/>
      <c r="BKN25" s="1117"/>
      <c r="BKO25" s="1117"/>
      <c r="BKP25" s="1117"/>
      <c r="BKQ25" s="1117"/>
      <c r="BKR25" s="1117"/>
      <c r="BKS25" s="1117"/>
      <c r="BKT25" s="1117"/>
      <c r="BKU25" s="1117"/>
      <c r="BKV25" s="1117"/>
      <c r="BKW25" s="1117"/>
      <c r="BKX25" s="1117"/>
      <c r="BKY25" s="1117"/>
      <c r="BKZ25" s="1117"/>
      <c r="BLA25" s="1117"/>
      <c r="BLB25" s="1117"/>
      <c r="BLC25" s="1117"/>
      <c r="BLD25" s="1117"/>
      <c r="BLE25" s="1117"/>
      <c r="BLF25" s="1117"/>
      <c r="BLG25" s="1117"/>
      <c r="BLH25" s="1117"/>
      <c r="BLI25" s="1117"/>
      <c r="BLJ25" s="1117"/>
      <c r="BLK25" s="1117"/>
      <c r="BLL25" s="1117"/>
      <c r="BLM25" s="1117"/>
      <c r="BLN25" s="1117"/>
      <c r="BLO25" s="1117"/>
      <c r="BLP25" s="1117"/>
      <c r="BLQ25" s="1117"/>
      <c r="BLR25" s="1117"/>
      <c r="BLS25" s="1117"/>
      <c r="BLT25" s="1117"/>
      <c r="BLU25" s="1117"/>
      <c r="BLV25" s="1117"/>
      <c r="BLW25" s="1117"/>
      <c r="BLX25" s="1117"/>
      <c r="BLY25" s="1117"/>
      <c r="BLZ25" s="1117"/>
      <c r="BMA25" s="1117"/>
      <c r="BMB25" s="1117"/>
      <c r="BMC25" s="1117"/>
      <c r="BMD25" s="1117"/>
      <c r="BME25" s="1117"/>
      <c r="BMF25" s="1117"/>
      <c r="BMG25" s="1117"/>
      <c r="BMH25" s="1117"/>
      <c r="BMI25" s="1117"/>
      <c r="BMJ25" s="1117"/>
      <c r="BMK25" s="1117"/>
      <c r="BML25" s="1117"/>
      <c r="BMM25" s="1117"/>
      <c r="BMN25" s="1117"/>
      <c r="BMO25" s="1117"/>
      <c r="BMP25" s="1117"/>
      <c r="BMQ25" s="1117"/>
      <c r="BMR25" s="1117"/>
      <c r="BMS25" s="1117"/>
      <c r="BMT25" s="1117"/>
      <c r="BMU25" s="1117"/>
      <c r="BMV25" s="1117"/>
      <c r="BMW25" s="1117"/>
      <c r="BMX25" s="1117"/>
      <c r="BMY25" s="1117"/>
      <c r="BMZ25" s="1117"/>
      <c r="BNA25" s="1117"/>
      <c r="BNB25" s="1117"/>
      <c r="BNC25" s="1117"/>
      <c r="BND25" s="1117"/>
      <c r="BNE25" s="1117"/>
      <c r="BNF25" s="1117"/>
      <c r="BNG25" s="1117"/>
      <c r="BNH25" s="1117"/>
      <c r="BNI25" s="1117"/>
      <c r="BNJ25" s="1117"/>
      <c r="BNK25" s="1117"/>
      <c r="BNL25" s="1117"/>
      <c r="BNM25" s="1117"/>
      <c r="BNN25" s="1117"/>
      <c r="BNO25" s="1117"/>
      <c r="BNP25" s="1117"/>
      <c r="BNQ25" s="1117"/>
      <c r="BNR25" s="1117"/>
      <c r="BNS25" s="1117"/>
      <c r="BNT25" s="1117"/>
      <c r="BNU25" s="1117"/>
      <c r="BNV25" s="1117"/>
      <c r="BNW25" s="1117"/>
      <c r="BNX25" s="1117"/>
      <c r="BNY25" s="1117"/>
      <c r="BNZ25" s="1117"/>
      <c r="BOA25" s="1117"/>
      <c r="BOB25" s="1117"/>
      <c r="BOC25" s="1117"/>
      <c r="BOD25" s="1117"/>
      <c r="BOE25" s="1117"/>
      <c r="BOF25" s="1117"/>
      <c r="BOG25" s="1117"/>
      <c r="BOH25" s="1117"/>
      <c r="BOI25" s="1117"/>
      <c r="BOJ25" s="1117"/>
      <c r="BOK25" s="1117"/>
      <c r="BOL25" s="1117"/>
      <c r="BOM25" s="1117"/>
      <c r="BON25" s="1117"/>
      <c r="BOO25" s="1117"/>
      <c r="BOP25" s="1117"/>
      <c r="BOQ25" s="1117"/>
      <c r="BOR25" s="1117"/>
      <c r="BOS25" s="1117"/>
      <c r="BOT25" s="1117"/>
      <c r="BOU25" s="1117"/>
      <c r="BOV25" s="1117"/>
      <c r="BOW25" s="1117"/>
      <c r="BOX25" s="1117"/>
      <c r="BOY25" s="1117"/>
      <c r="BOZ25" s="1117"/>
      <c r="BPA25" s="1117"/>
      <c r="BPB25" s="1117"/>
      <c r="BPC25" s="1117"/>
      <c r="BPD25" s="1117"/>
      <c r="BPE25" s="1117"/>
      <c r="BPF25" s="1117"/>
      <c r="BPG25" s="1117"/>
      <c r="BPH25" s="1117"/>
      <c r="BPI25" s="1117"/>
      <c r="BPJ25" s="1117"/>
      <c r="BPK25" s="1117"/>
      <c r="BPL25" s="1117"/>
      <c r="BPM25" s="1117"/>
      <c r="BPN25" s="1117"/>
      <c r="BPO25" s="1117"/>
      <c r="BPP25" s="1117"/>
      <c r="BPQ25" s="1117"/>
      <c r="BPR25" s="1117"/>
      <c r="BPS25" s="1117"/>
      <c r="BPT25" s="1117"/>
      <c r="BPU25" s="1117"/>
      <c r="BPV25" s="1117"/>
      <c r="BPW25" s="1117"/>
      <c r="BPX25" s="1117"/>
      <c r="BPY25" s="1117"/>
      <c r="BPZ25" s="1117"/>
      <c r="BQA25" s="1117"/>
      <c r="BQB25" s="1117"/>
      <c r="BQC25" s="1117"/>
      <c r="BQD25" s="1117"/>
      <c r="BQE25" s="1117"/>
      <c r="BQF25" s="1117"/>
      <c r="BQG25" s="1117"/>
      <c r="BQH25" s="1117"/>
      <c r="BQI25" s="1117"/>
      <c r="BQJ25" s="1117"/>
      <c r="BQK25" s="1117"/>
      <c r="BQL25" s="1117"/>
      <c r="BQM25" s="1117"/>
      <c r="BQN25" s="1117"/>
      <c r="BQO25" s="1117"/>
      <c r="BQP25" s="1117"/>
      <c r="BQQ25" s="1117"/>
      <c r="BQR25" s="1117"/>
      <c r="BQS25" s="1117"/>
      <c r="BQT25" s="1117"/>
      <c r="BQU25" s="1117"/>
      <c r="BQV25" s="1117"/>
      <c r="BQW25" s="1117"/>
      <c r="BQX25" s="1117"/>
      <c r="BQY25" s="1117"/>
      <c r="BQZ25" s="1117"/>
      <c r="BRA25" s="1117"/>
      <c r="BRB25" s="1117"/>
      <c r="BRC25" s="1117"/>
      <c r="BRD25" s="1117"/>
      <c r="BRE25" s="1117"/>
      <c r="BRF25" s="1117"/>
      <c r="BRG25" s="1117"/>
      <c r="BRH25" s="1117"/>
      <c r="BRI25" s="1117"/>
      <c r="BRJ25" s="1117"/>
      <c r="BRK25" s="1117"/>
      <c r="BRL25" s="1117"/>
      <c r="BRM25" s="1117"/>
      <c r="BRN25" s="1117"/>
      <c r="BRO25" s="1117"/>
      <c r="BRP25" s="1117"/>
      <c r="BRQ25" s="1117"/>
      <c r="BRR25" s="1117"/>
      <c r="BRS25" s="1117"/>
      <c r="BRT25" s="1117"/>
      <c r="BRU25" s="1117"/>
      <c r="BRV25" s="1117"/>
      <c r="BRW25" s="1117"/>
      <c r="BRX25" s="1117"/>
      <c r="BRY25" s="1117"/>
      <c r="BRZ25" s="1117"/>
      <c r="BSA25" s="1117"/>
      <c r="BSB25" s="1117"/>
      <c r="BSC25" s="1117"/>
      <c r="BSD25" s="1117"/>
      <c r="BSE25" s="1117"/>
      <c r="BSF25" s="1117"/>
      <c r="BSG25" s="1117"/>
      <c r="BSH25" s="1117"/>
      <c r="BSI25" s="1117"/>
      <c r="BSJ25" s="1117"/>
      <c r="BSK25" s="1117"/>
      <c r="BSL25" s="1117"/>
      <c r="BSM25" s="1117"/>
      <c r="BSN25" s="1117"/>
      <c r="BSO25" s="1117"/>
      <c r="BSP25" s="1117"/>
      <c r="BSQ25" s="1117"/>
      <c r="BSR25" s="1117"/>
      <c r="BSS25" s="1117"/>
      <c r="BST25" s="1117"/>
      <c r="BSU25" s="1117"/>
      <c r="BSV25" s="1117"/>
      <c r="BSW25" s="1117"/>
      <c r="BSX25" s="1117"/>
      <c r="BSY25" s="1117"/>
      <c r="BSZ25" s="1117"/>
      <c r="BTA25" s="1117"/>
      <c r="BTB25" s="1117"/>
      <c r="BTC25" s="1117"/>
      <c r="BTD25" s="1117"/>
      <c r="BTE25" s="1117"/>
      <c r="BTF25" s="1117"/>
      <c r="BTG25" s="1117"/>
      <c r="BTH25" s="1117"/>
      <c r="BTI25" s="1117"/>
      <c r="BTJ25" s="1117"/>
      <c r="BTK25" s="1117"/>
      <c r="BTL25" s="1117"/>
      <c r="BTM25" s="1117"/>
      <c r="BTN25" s="1117"/>
      <c r="BTO25" s="1117"/>
      <c r="BTP25" s="1117"/>
      <c r="BTQ25" s="1117"/>
      <c r="BTR25" s="1117"/>
      <c r="BTS25" s="1117"/>
      <c r="BTT25" s="1117"/>
      <c r="BTU25" s="1117"/>
      <c r="BTV25" s="1117"/>
      <c r="BTW25" s="1117"/>
      <c r="BTX25" s="1117"/>
      <c r="BTY25" s="1117"/>
      <c r="BTZ25" s="1117"/>
      <c r="BUA25" s="1117"/>
      <c r="BUB25" s="1117"/>
      <c r="BUC25" s="1117"/>
      <c r="BUD25" s="1117"/>
      <c r="BUE25" s="1117"/>
      <c r="BUF25" s="1117"/>
      <c r="BUG25" s="1117"/>
      <c r="BUH25" s="1117"/>
      <c r="BUI25" s="1117"/>
      <c r="BUJ25" s="1117"/>
      <c r="BUK25" s="1117"/>
      <c r="BUL25" s="1117"/>
      <c r="BUM25" s="1117"/>
      <c r="BUN25" s="1117"/>
      <c r="BUO25" s="1117"/>
      <c r="BUP25" s="1117"/>
      <c r="BUQ25" s="1117"/>
      <c r="BUR25" s="1117"/>
      <c r="BUS25" s="1117"/>
      <c r="BUT25" s="1117"/>
      <c r="BUU25" s="1117"/>
      <c r="BUV25" s="1117"/>
      <c r="BUW25" s="1117"/>
      <c r="BUX25" s="1117"/>
      <c r="BUY25" s="1117"/>
      <c r="BUZ25" s="1117"/>
      <c r="BVA25" s="1117"/>
      <c r="BVB25" s="1117"/>
      <c r="BVC25" s="1117"/>
      <c r="BVD25" s="1117"/>
      <c r="BVE25" s="1117"/>
      <c r="BVF25" s="1117"/>
      <c r="BVG25" s="1117"/>
      <c r="BVH25" s="1117"/>
      <c r="BVI25" s="1117"/>
      <c r="BVJ25" s="1117"/>
      <c r="BVK25" s="1117"/>
      <c r="BVL25" s="1117"/>
      <c r="BVM25" s="1117"/>
      <c r="BVN25" s="1117"/>
      <c r="BVO25" s="1117"/>
      <c r="BVP25" s="1117"/>
      <c r="BVQ25" s="1117"/>
      <c r="BVR25" s="1117"/>
      <c r="BVS25" s="1117"/>
      <c r="BVT25" s="1117"/>
      <c r="BVU25" s="1117"/>
      <c r="BVV25" s="1117"/>
      <c r="BVW25" s="1117"/>
      <c r="BVX25" s="1117"/>
      <c r="BVY25" s="1117"/>
      <c r="BVZ25" s="1117"/>
      <c r="BWA25" s="1117"/>
      <c r="BWB25" s="1117"/>
      <c r="BWC25" s="1117"/>
      <c r="BWD25" s="1117"/>
      <c r="BWE25" s="1117"/>
      <c r="BWF25" s="1117"/>
      <c r="BWG25" s="1117"/>
      <c r="BWH25" s="1117"/>
      <c r="BWI25" s="1117"/>
      <c r="BWJ25" s="1117"/>
      <c r="BWK25" s="1117"/>
      <c r="BWL25" s="1117"/>
      <c r="BWM25" s="1117"/>
      <c r="BWN25" s="1117"/>
      <c r="BWO25" s="1117"/>
      <c r="BWP25" s="1117"/>
      <c r="BWQ25" s="1117"/>
      <c r="BWR25" s="1117"/>
      <c r="BWS25" s="1117"/>
      <c r="BWT25" s="1117"/>
      <c r="BWU25" s="1117"/>
      <c r="BWV25" s="1117"/>
      <c r="BWW25" s="1117"/>
      <c r="BWX25" s="1117"/>
      <c r="BWY25" s="1117"/>
      <c r="BWZ25" s="1117"/>
      <c r="BXA25" s="1117"/>
      <c r="BXB25" s="1117"/>
      <c r="BXC25" s="1117"/>
      <c r="BXD25" s="1117"/>
      <c r="BXE25" s="1117"/>
      <c r="BXF25" s="1117"/>
      <c r="BXG25" s="1117"/>
      <c r="BXH25" s="1117"/>
      <c r="BXI25" s="1117"/>
      <c r="BXJ25" s="1117"/>
      <c r="BXK25" s="1117"/>
      <c r="BXL25" s="1117"/>
      <c r="BXM25" s="1117"/>
      <c r="BXN25" s="1117"/>
      <c r="BXO25" s="1117"/>
      <c r="BXP25" s="1117"/>
      <c r="BXQ25" s="1117"/>
      <c r="BXR25" s="1117"/>
      <c r="BXS25" s="1117"/>
      <c r="BXT25" s="1117"/>
      <c r="BXU25" s="1117"/>
      <c r="BXV25" s="1117"/>
      <c r="BXW25" s="1117"/>
      <c r="BXX25" s="1117"/>
      <c r="BXY25" s="1117"/>
      <c r="BXZ25" s="1117"/>
      <c r="BYA25" s="1117"/>
      <c r="BYB25" s="1117"/>
      <c r="BYC25" s="1117"/>
      <c r="BYD25" s="1117"/>
      <c r="BYE25" s="1117"/>
      <c r="BYF25" s="1117"/>
      <c r="BYG25" s="1117"/>
      <c r="BYH25" s="1117"/>
      <c r="BYI25" s="1117"/>
      <c r="BYJ25" s="1117"/>
      <c r="BYK25" s="1117"/>
      <c r="BYL25" s="1117"/>
      <c r="BYM25" s="1117"/>
      <c r="BYN25" s="1117"/>
      <c r="BYO25" s="1117"/>
      <c r="BYP25" s="1117"/>
      <c r="BYQ25" s="1117"/>
      <c r="BYR25" s="1117"/>
      <c r="BYS25" s="1117"/>
      <c r="BYT25" s="1117"/>
      <c r="BYU25" s="1117"/>
      <c r="BYV25" s="1117"/>
      <c r="BYW25" s="1117"/>
      <c r="BYX25" s="1117"/>
      <c r="BYY25" s="1117"/>
      <c r="BYZ25" s="1117"/>
      <c r="BZA25" s="1117"/>
      <c r="BZB25" s="1117"/>
      <c r="BZC25" s="1117"/>
      <c r="BZD25" s="1117"/>
      <c r="BZE25" s="1117"/>
      <c r="BZF25" s="1117"/>
      <c r="BZG25" s="1117"/>
      <c r="BZH25" s="1117"/>
      <c r="BZI25" s="1117"/>
      <c r="BZJ25" s="1117"/>
      <c r="BZK25" s="1117"/>
      <c r="BZL25" s="1117"/>
      <c r="BZM25" s="1117"/>
      <c r="BZN25" s="1117"/>
      <c r="BZO25" s="1117"/>
      <c r="BZP25" s="1117"/>
      <c r="BZQ25" s="1117"/>
      <c r="BZR25" s="1117"/>
      <c r="BZS25" s="1117"/>
      <c r="BZT25" s="1117"/>
      <c r="BZU25" s="1117"/>
      <c r="BZV25" s="1117"/>
      <c r="BZW25" s="1117"/>
      <c r="BZX25" s="1117"/>
      <c r="BZY25" s="1117"/>
      <c r="BZZ25" s="1117"/>
      <c r="CAA25" s="1117"/>
      <c r="CAB25" s="1117"/>
      <c r="CAC25" s="1117"/>
      <c r="CAD25" s="1117"/>
      <c r="CAE25" s="1117"/>
      <c r="CAF25" s="1117"/>
      <c r="CAG25" s="1117"/>
      <c r="CAH25" s="1117"/>
      <c r="CAI25" s="1117"/>
      <c r="CAJ25" s="1117"/>
      <c r="CAK25" s="1117"/>
      <c r="CAL25" s="1117"/>
      <c r="CAM25" s="1117"/>
      <c r="CAN25" s="1117"/>
      <c r="CAO25" s="1117"/>
      <c r="CAP25" s="1117"/>
      <c r="CAQ25" s="1117"/>
      <c r="CAR25" s="1117"/>
      <c r="CAS25" s="1117"/>
      <c r="CAT25" s="1117"/>
      <c r="CAU25" s="1117"/>
      <c r="CAV25" s="1117"/>
      <c r="CAW25" s="1117"/>
      <c r="CAX25" s="1117"/>
      <c r="CAY25" s="1117"/>
      <c r="CAZ25" s="1117"/>
      <c r="CBA25" s="1117"/>
      <c r="CBB25" s="1117"/>
      <c r="CBC25" s="1117"/>
      <c r="CBD25" s="1117"/>
      <c r="CBE25" s="1117"/>
      <c r="CBF25" s="1117"/>
      <c r="CBG25" s="1117"/>
      <c r="CBH25" s="1117"/>
      <c r="CBI25" s="1117"/>
      <c r="CBJ25" s="1117"/>
      <c r="CBK25" s="1117"/>
      <c r="CBL25" s="1117"/>
      <c r="CBM25" s="1117"/>
      <c r="CBN25" s="1117"/>
      <c r="CBO25" s="1117"/>
      <c r="CBP25" s="1117"/>
      <c r="CBQ25" s="1117"/>
      <c r="CBR25" s="1117"/>
      <c r="CBS25" s="1117"/>
      <c r="CBT25" s="1117"/>
      <c r="CBU25" s="1117"/>
      <c r="CBV25" s="1117"/>
      <c r="CBW25" s="1117"/>
      <c r="CBX25" s="1117"/>
      <c r="CBY25" s="1117"/>
      <c r="CBZ25" s="1117"/>
      <c r="CCA25" s="1117"/>
      <c r="CCB25" s="1117"/>
      <c r="CCC25" s="1117"/>
      <c r="CCD25" s="1117"/>
      <c r="CCE25" s="1117"/>
      <c r="CCF25" s="1117"/>
      <c r="CCG25" s="1117"/>
      <c r="CCH25" s="1117"/>
      <c r="CCI25" s="1117"/>
      <c r="CCJ25" s="1117"/>
      <c r="CCK25" s="1117"/>
      <c r="CCL25" s="1117"/>
      <c r="CCM25" s="1117"/>
      <c r="CCN25" s="1117"/>
      <c r="CCO25" s="1117"/>
      <c r="CCP25" s="1117"/>
      <c r="CCQ25" s="1117"/>
      <c r="CCR25" s="1117"/>
      <c r="CCS25" s="1117"/>
      <c r="CCT25" s="1117"/>
      <c r="CCU25" s="1117"/>
      <c r="CCV25" s="1117"/>
      <c r="CCW25" s="1117"/>
      <c r="CCX25" s="1117"/>
      <c r="CCY25" s="1117"/>
      <c r="CCZ25" s="1117"/>
      <c r="CDA25" s="1117"/>
      <c r="CDB25" s="1117"/>
      <c r="CDC25" s="1117"/>
      <c r="CDD25" s="1117"/>
      <c r="CDE25" s="1117"/>
      <c r="CDF25" s="1117"/>
      <c r="CDG25" s="1117"/>
      <c r="CDH25" s="1117"/>
      <c r="CDI25" s="1117"/>
      <c r="CDJ25" s="1117"/>
      <c r="CDK25" s="1117"/>
      <c r="CDL25" s="1117"/>
      <c r="CDM25" s="1117"/>
      <c r="CDN25" s="1117"/>
      <c r="CDO25" s="1117"/>
      <c r="CDP25" s="1117"/>
      <c r="CDQ25" s="1117"/>
      <c r="CDR25" s="1117"/>
      <c r="CDS25" s="1117"/>
      <c r="CDT25" s="1117"/>
      <c r="CDU25" s="1117"/>
      <c r="CDV25" s="1117"/>
      <c r="CDW25" s="1117"/>
      <c r="CDX25" s="1117"/>
      <c r="CDY25" s="1117"/>
      <c r="CDZ25" s="1117"/>
      <c r="CEA25" s="1117"/>
      <c r="CEB25" s="1117"/>
      <c r="CEC25" s="1117"/>
      <c r="CED25" s="1117"/>
      <c r="CEE25" s="1117"/>
      <c r="CEF25" s="1117"/>
      <c r="CEG25" s="1117"/>
      <c r="CEH25" s="1117"/>
      <c r="CEI25" s="1117"/>
      <c r="CEJ25" s="1117"/>
      <c r="CEK25" s="1117"/>
      <c r="CEL25" s="1117"/>
      <c r="CEM25" s="1117"/>
      <c r="CEN25" s="1117"/>
      <c r="CEO25" s="1117"/>
      <c r="CEP25" s="1117"/>
      <c r="CEQ25" s="1117"/>
      <c r="CER25" s="1117"/>
      <c r="CES25" s="1117"/>
      <c r="CET25" s="1117"/>
      <c r="CEU25" s="1117"/>
      <c r="CEV25" s="1117"/>
      <c r="CEW25" s="1117"/>
      <c r="CEX25" s="1117"/>
      <c r="CEY25" s="1117"/>
      <c r="CEZ25" s="1117"/>
      <c r="CFA25" s="1117"/>
      <c r="CFB25" s="1117"/>
      <c r="CFC25" s="1117"/>
      <c r="CFD25" s="1117"/>
      <c r="CFE25" s="1117"/>
      <c r="CFF25" s="1117"/>
      <c r="CFG25" s="1117"/>
      <c r="CFH25" s="1117"/>
      <c r="CFI25" s="1117"/>
      <c r="CFJ25" s="1117"/>
      <c r="CFK25" s="1117"/>
      <c r="CFL25" s="1117"/>
      <c r="CFM25" s="1117"/>
      <c r="CFN25" s="1117"/>
      <c r="CFO25" s="1117"/>
      <c r="CFP25" s="1117"/>
      <c r="CFQ25" s="1117"/>
      <c r="CFR25" s="1117"/>
      <c r="CFS25" s="1117"/>
      <c r="CFT25" s="1117"/>
      <c r="CFU25" s="1117"/>
      <c r="CFV25" s="1117"/>
      <c r="CFW25" s="1117"/>
      <c r="CFX25" s="1117"/>
      <c r="CFY25" s="1117"/>
      <c r="CFZ25" s="1117"/>
      <c r="CGA25" s="1117"/>
      <c r="CGB25" s="1117"/>
      <c r="CGC25" s="1117"/>
      <c r="CGD25" s="1117"/>
      <c r="CGE25" s="1117"/>
      <c r="CGF25" s="1117"/>
      <c r="CGG25" s="1117"/>
      <c r="CGH25" s="1117"/>
      <c r="CGI25" s="1117"/>
      <c r="CGJ25" s="1117"/>
      <c r="CGK25" s="1117"/>
      <c r="CGL25" s="1117"/>
      <c r="CGM25" s="1117"/>
      <c r="CGN25" s="1117"/>
      <c r="CGO25" s="1117"/>
      <c r="CGP25" s="1117"/>
      <c r="CGQ25" s="1117"/>
      <c r="CGR25" s="1117"/>
      <c r="CGS25" s="1117"/>
      <c r="CGT25" s="1117"/>
      <c r="CGU25" s="1117"/>
      <c r="CGV25" s="1117"/>
      <c r="CGW25" s="1117"/>
      <c r="CGX25" s="1117"/>
      <c r="CGY25" s="1117"/>
      <c r="CGZ25" s="1117"/>
      <c r="CHA25" s="1117"/>
      <c r="CHB25" s="1117"/>
      <c r="CHC25" s="1117"/>
      <c r="CHD25" s="1117"/>
      <c r="CHE25" s="1117"/>
      <c r="CHF25" s="1117"/>
      <c r="CHG25" s="1117"/>
      <c r="CHH25" s="1117"/>
      <c r="CHI25" s="1117"/>
      <c r="CHJ25" s="1117"/>
      <c r="CHK25" s="1117"/>
      <c r="CHL25" s="1117"/>
      <c r="CHM25" s="1117"/>
      <c r="CHN25" s="1117"/>
      <c r="CHO25" s="1117"/>
      <c r="CHP25" s="1117"/>
      <c r="CHQ25" s="1117"/>
      <c r="CHR25" s="1117"/>
      <c r="CHS25" s="1117"/>
      <c r="CHT25" s="1117"/>
      <c r="CHU25" s="1117"/>
      <c r="CHV25" s="1117"/>
      <c r="CHW25" s="1117"/>
      <c r="CHX25" s="1117"/>
      <c r="CHY25" s="1117"/>
      <c r="CHZ25" s="1117"/>
      <c r="CIA25" s="1117"/>
      <c r="CIB25" s="1117"/>
      <c r="CIC25" s="1117"/>
      <c r="CID25" s="1117"/>
      <c r="CIE25" s="1117"/>
      <c r="CIF25" s="1117"/>
      <c r="CIG25" s="1117"/>
      <c r="CIH25" s="1117"/>
      <c r="CII25" s="1117"/>
      <c r="CIJ25" s="1117"/>
      <c r="CIK25" s="1117"/>
      <c r="CIL25" s="1117"/>
      <c r="CIM25" s="1117"/>
      <c r="CIN25" s="1117"/>
      <c r="CIO25" s="1117"/>
      <c r="CIP25" s="1117"/>
      <c r="CIQ25" s="1117"/>
      <c r="CIR25" s="1117"/>
      <c r="CIS25" s="1117"/>
      <c r="CIT25" s="1117"/>
      <c r="CIU25" s="1117"/>
      <c r="CIV25" s="1117"/>
      <c r="CIW25" s="1117"/>
      <c r="CIX25" s="1117"/>
      <c r="CIY25" s="1117"/>
      <c r="CIZ25" s="1117"/>
      <c r="CJA25" s="1117"/>
      <c r="CJB25" s="1117"/>
      <c r="CJC25" s="1117"/>
      <c r="CJD25" s="1117"/>
      <c r="CJE25" s="1117"/>
      <c r="CJF25" s="1117"/>
      <c r="CJG25" s="1117"/>
      <c r="CJH25" s="1117"/>
      <c r="CJI25" s="1117"/>
      <c r="CJJ25" s="1117"/>
      <c r="CJK25" s="1117"/>
      <c r="CJL25" s="1117"/>
      <c r="CJM25" s="1117"/>
      <c r="CJN25" s="1117"/>
      <c r="CJO25" s="1117"/>
      <c r="CJP25" s="1117"/>
      <c r="CJQ25" s="1117"/>
      <c r="CJR25" s="1117"/>
      <c r="CJS25" s="1117"/>
      <c r="CJT25" s="1117"/>
      <c r="CJU25" s="1117"/>
      <c r="CJV25" s="1117"/>
      <c r="CJW25" s="1117"/>
      <c r="CJX25" s="1117"/>
      <c r="CJY25" s="1117"/>
      <c r="CJZ25" s="1117"/>
      <c r="CKA25" s="1117"/>
      <c r="CKB25" s="1117"/>
      <c r="CKC25" s="1117"/>
      <c r="CKD25" s="1117"/>
      <c r="CKE25" s="1117"/>
      <c r="CKF25" s="1117"/>
      <c r="CKG25" s="1117"/>
      <c r="CKH25" s="1117"/>
      <c r="CKI25" s="1117"/>
      <c r="CKJ25" s="1117"/>
      <c r="CKK25" s="1117"/>
      <c r="CKL25" s="1117"/>
      <c r="CKM25" s="1117"/>
      <c r="CKN25" s="1117"/>
      <c r="CKO25" s="1117"/>
      <c r="CKP25" s="1117"/>
      <c r="CKQ25" s="1117"/>
      <c r="CKR25" s="1117"/>
      <c r="CKS25" s="1117"/>
      <c r="CKT25" s="1117"/>
      <c r="CKU25" s="1117"/>
      <c r="CKV25" s="1117"/>
      <c r="CKW25" s="1117"/>
      <c r="CKX25" s="1117"/>
      <c r="CKY25" s="1117"/>
      <c r="CKZ25" s="1117"/>
      <c r="CLA25" s="1117"/>
      <c r="CLB25" s="1117"/>
      <c r="CLC25" s="1117"/>
      <c r="CLD25" s="1117"/>
      <c r="CLE25" s="1117"/>
      <c r="CLF25" s="1117"/>
      <c r="CLG25" s="1117"/>
      <c r="CLH25" s="1117"/>
      <c r="CLI25" s="1117"/>
      <c r="CLJ25" s="1117"/>
      <c r="CLK25" s="1117"/>
      <c r="CLL25" s="1117"/>
      <c r="CLM25" s="1117"/>
      <c r="CLN25" s="1117"/>
      <c r="CLO25" s="1117"/>
      <c r="CLP25" s="1117"/>
      <c r="CLQ25" s="1117"/>
      <c r="CLR25" s="1117"/>
      <c r="CLS25" s="1117"/>
      <c r="CLT25" s="1117"/>
      <c r="CLU25" s="1117"/>
      <c r="CLV25" s="1117"/>
      <c r="CLW25" s="1117"/>
      <c r="CLX25" s="1117"/>
      <c r="CLY25" s="1117"/>
      <c r="CLZ25" s="1117"/>
      <c r="CMA25" s="1117"/>
      <c r="CMB25" s="1117"/>
      <c r="CMC25" s="1117"/>
      <c r="CMD25" s="1117"/>
      <c r="CME25" s="1117"/>
      <c r="CMF25" s="1117"/>
      <c r="CMG25" s="1117"/>
      <c r="CMH25" s="1117"/>
      <c r="CMI25" s="1117"/>
      <c r="CMJ25" s="1117"/>
      <c r="CMK25" s="1117"/>
      <c r="CML25" s="1117"/>
      <c r="CMM25" s="1117"/>
      <c r="CMN25" s="1117"/>
      <c r="CMO25" s="1117"/>
      <c r="CMP25" s="1117"/>
      <c r="CMQ25" s="1117"/>
      <c r="CMR25" s="1117"/>
      <c r="CMS25" s="1117"/>
      <c r="CMT25" s="1117"/>
      <c r="CMU25" s="1117"/>
      <c r="CMV25" s="1117"/>
      <c r="CMW25" s="1117"/>
      <c r="CMX25" s="1117"/>
      <c r="CMY25" s="1117"/>
      <c r="CMZ25" s="1117"/>
      <c r="CNA25" s="1117"/>
      <c r="CNB25" s="1117"/>
      <c r="CNC25" s="1117"/>
      <c r="CND25" s="1117"/>
      <c r="CNE25" s="1117"/>
      <c r="CNF25" s="1117"/>
      <c r="CNG25" s="1117"/>
      <c r="CNH25" s="1117"/>
      <c r="CNI25" s="1117"/>
      <c r="CNJ25" s="1117"/>
      <c r="CNK25" s="1117"/>
      <c r="CNL25" s="1117"/>
      <c r="CNM25" s="1117"/>
      <c r="CNN25" s="1117"/>
      <c r="CNO25" s="1117"/>
      <c r="CNP25" s="1117"/>
      <c r="CNQ25" s="1117"/>
      <c r="CNR25" s="1117"/>
      <c r="CNS25" s="1117"/>
      <c r="CNT25" s="1117"/>
      <c r="CNU25" s="1117"/>
      <c r="CNV25" s="1117"/>
      <c r="CNW25" s="1117"/>
      <c r="CNX25" s="1117"/>
      <c r="CNY25" s="1117"/>
      <c r="CNZ25" s="1117"/>
      <c r="COA25" s="1117"/>
      <c r="COB25" s="1117"/>
      <c r="COC25" s="1117"/>
      <c r="COD25" s="1117"/>
      <c r="COE25" s="1117"/>
      <c r="COF25" s="1117"/>
      <c r="COG25" s="1117"/>
      <c r="COH25" s="1117"/>
      <c r="COI25" s="1117"/>
      <c r="COJ25" s="1117"/>
      <c r="COK25" s="1117"/>
      <c r="COL25" s="1117"/>
      <c r="COM25" s="1117"/>
      <c r="CON25" s="1117"/>
      <c r="COO25" s="1117"/>
      <c r="COP25" s="1117"/>
      <c r="COQ25" s="1117"/>
      <c r="COR25" s="1117"/>
      <c r="COS25" s="1117"/>
      <c r="COT25" s="1117"/>
      <c r="COU25" s="1117"/>
      <c r="COV25" s="1117"/>
      <c r="COW25" s="1117"/>
      <c r="COX25" s="1117"/>
      <c r="COY25" s="1117"/>
      <c r="COZ25" s="1117"/>
      <c r="CPA25" s="1117"/>
      <c r="CPB25" s="1117"/>
      <c r="CPC25" s="1117"/>
      <c r="CPD25" s="1117"/>
      <c r="CPE25" s="1117"/>
      <c r="CPF25" s="1117"/>
      <c r="CPG25" s="1117"/>
      <c r="CPH25" s="1117"/>
      <c r="CPI25" s="1117"/>
      <c r="CPJ25" s="1117"/>
      <c r="CPK25" s="1117"/>
      <c r="CPL25" s="1117"/>
      <c r="CPM25" s="1117"/>
      <c r="CPN25" s="1117"/>
      <c r="CPO25" s="1117"/>
      <c r="CPP25" s="1117"/>
      <c r="CPQ25" s="1117"/>
      <c r="CPR25" s="1117"/>
      <c r="CPS25" s="1117"/>
      <c r="CPT25" s="1117"/>
      <c r="CPU25" s="1117"/>
      <c r="CPV25" s="1117"/>
      <c r="CPW25" s="1117"/>
      <c r="CPX25" s="1117"/>
      <c r="CPY25" s="1117"/>
      <c r="CPZ25" s="1117"/>
      <c r="CQA25" s="1117"/>
      <c r="CQB25" s="1117"/>
      <c r="CQC25" s="1117"/>
      <c r="CQD25" s="1117"/>
      <c r="CQE25" s="1117"/>
      <c r="CQF25" s="1117"/>
      <c r="CQG25" s="1117"/>
      <c r="CQH25" s="1117"/>
      <c r="CQI25" s="1117"/>
      <c r="CQJ25" s="1117"/>
      <c r="CQK25" s="1117"/>
      <c r="CQL25" s="1117"/>
      <c r="CQM25" s="1117"/>
      <c r="CQN25" s="1117"/>
      <c r="CQO25" s="1117"/>
      <c r="CQP25" s="1117"/>
      <c r="CQQ25" s="1117"/>
      <c r="CQR25" s="1117"/>
      <c r="CQS25" s="1117"/>
      <c r="CQT25" s="1117"/>
      <c r="CQU25" s="1117"/>
      <c r="CQV25" s="1117"/>
      <c r="CQW25" s="1117"/>
      <c r="CQX25" s="1117"/>
      <c r="CQY25" s="1117"/>
      <c r="CQZ25" s="1117"/>
      <c r="CRA25" s="1117"/>
      <c r="CRB25" s="1117"/>
      <c r="CRC25" s="1117"/>
      <c r="CRD25" s="1117"/>
      <c r="CRE25" s="1117"/>
      <c r="CRF25" s="1117"/>
      <c r="CRG25" s="1117"/>
      <c r="CRH25" s="1117"/>
      <c r="CRI25" s="1117"/>
      <c r="CRJ25" s="1117"/>
      <c r="CRK25" s="1117"/>
      <c r="CRL25" s="1117"/>
      <c r="CRM25" s="1117"/>
      <c r="CRN25" s="1117"/>
      <c r="CRO25" s="1117"/>
      <c r="CRP25" s="1117"/>
      <c r="CRQ25" s="1117"/>
      <c r="CRR25" s="1117"/>
      <c r="CRS25" s="1117"/>
      <c r="CRT25" s="1117"/>
      <c r="CRU25" s="1117"/>
      <c r="CRV25" s="1117"/>
      <c r="CRW25" s="1117"/>
      <c r="CRX25" s="1117"/>
      <c r="CRY25" s="1117"/>
      <c r="CRZ25" s="1117"/>
      <c r="CSA25" s="1117"/>
      <c r="CSB25" s="1117"/>
      <c r="CSC25" s="1117"/>
      <c r="CSD25" s="1117"/>
      <c r="CSE25" s="1117"/>
      <c r="CSF25" s="1117"/>
      <c r="CSG25" s="1117"/>
      <c r="CSH25" s="1117"/>
      <c r="CSI25" s="1117"/>
      <c r="CSJ25" s="1117"/>
      <c r="CSK25" s="1117"/>
      <c r="CSL25" s="1117"/>
      <c r="CSM25" s="1117"/>
      <c r="CSN25" s="1117"/>
      <c r="CSO25" s="1117"/>
      <c r="CSP25" s="1117"/>
      <c r="CSQ25" s="1117"/>
      <c r="CSR25" s="1117"/>
      <c r="CSS25" s="1117"/>
      <c r="CST25" s="1117"/>
      <c r="CSU25" s="1117"/>
      <c r="CSV25" s="1117"/>
      <c r="CSW25" s="1117"/>
      <c r="CSX25" s="1117"/>
      <c r="CSY25" s="1117"/>
      <c r="CSZ25" s="1117"/>
      <c r="CTA25" s="1117"/>
      <c r="CTB25" s="1117"/>
      <c r="CTC25" s="1117"/>
      <c r="CTD25" s="1117"/>
      <c r="CTE25" s="1117"/>
      <c r="CTF25" s="1117"/>
      <c r="CTG25" s="1117"/>
      <c r="CTH25" s="1117"/>
      <c r="CTI25" s="1117"/>
      <c r="CTJ25" s="1117"/>
      <c r="CTK25" s="1117"/>
      <c r="CTL25" s="1117"/>
      <c r="CTM25" s="1117"/>
      <c r="CTN25" s="1117"/>
      <c r="CTO25" s="1117"/>
      <c r="CTP25" s="1117"/>
      <c r="CTQ25" s="1117"/>
      <c r="CTR25" s="1117"/>
      <c r="CTS25" s="1117"/>
      <c r="CTT25" s="1117"/>
      <c r="CTU25" s="1117"/>
      <c r="CTV25" s="1117"/>
      <c r="CTW25" s="1117"/>
      <c r="CTX25" s="1117"/>
      <c r="CTY25" s="1117"/>
      <c r="CTZ25" s="1117"/>
      <c r="CUA25" s="1117"/>
      <c r="CUB25" s="1117"/>
      <c r="CUC25" s="1117"/>
      <c r="CUD25" s="1117"/>
      <c r="CUE25" s="1117"/>
      <c r="CUF25" s="1117"/>
      <c r="CUG25" s="1117"/>
      <c r="CUH25" s="1117"/>
      <c r="CUI25" s="1117"/>
      <c r="CUJ25" s="1117"/>
      <c r="CUK25" s="1117"/>
      <c r="CUL25" s="1117"/>
      <c r="CUM25" s="1117"/>
      <c r="CUN25" s="1117"/>
      <c r="CUO25" s="1117"/>
      <c r="CUP25" s="1117"/>
      <c r="CUQ25" s="1117"/>
      <c r="CUR25" s="1117"/>
      <c r="CUS25" s="1117"/>
      <c r="CUT25" s="1117"/>
      <c r="CUU25" s="1117"/>
      <c r="CUV25" s="1117"/>
      <c r="CUW25" s="1117"/>
      <c r="CUX25" s="1117"/>
      <c r="CUY25" s="1117"/>
      <c r="CUZ25" s="1117"/>
      <c r="CVA25" s="1117"/>
      <c r="CVB25" s="1117"/>
      <c r="CVC25" s="1117"/>
      <c r="CVD25" s="1117"/>
      <c r="CVE25" s="1117"/>
      <c r="CVF25" s="1117"/>
      <c r="CVG25" s="1117"/>
      <c r="CVH25" s="1117"/>
      <c r="CVI25" s="1117"/>
      <c r="CVJ25" s="1117"/>
      <c r="CVK25" s="1117"/>
      <c r="CVL25" s="1117"/>
      <c r="CVM25" s="1117"/>
      <c r="CVN25" s="1117"/>
      <c r="CVO25" s="1117"/>
      <c r="CVP25" s="1117"/>
      <c r="CVQ25" s="1117"/>
      <c r="CVR25" s="1117"/>
      <c r="CVS25" s="1117"/>
      <c r="CVT25" s="1117"/>
      <c r="CVU25" s="1117"/>
      <c r="CVV25" s="1117"/>
      <c r="CVW25" s="1117"/>
      <c r="CVX25" s="1117"/>
      <c r="CVY25" s="1117"/>
      <c r="CVZ25" s="1117"/>
      <c r="CWA25" s="1117"/>
      <c r="CWB25" s="1117"/>
      <c r="CWC25" s="1117"/>
      <c r="CWD25" s="1117"/>
      <c r="CWE25" s="1117"/>
      <c r="CWF25" s="1117"/>
      <c r="CWG25" s="1117"/>
      <c r="CWH25" s="1117"/>
      <c r="CWI25" s="1117"/>
      <c r="CWJ25" s="1117"/>
      <c r="CWK25" s="1117"/>
      <c r="CWL25" s="1117"/>
      <c r="CWM25" s="1117"/>
      <c r="CWN25" s="1117"/>
      <c r="CWO25" s="1117"/>
      <c r="CWP25" s="1117"/>
      <c r="CWQ25" s="1117"/>
      <c r="CWR25" s="1117"/>
      <c r="CWS25" s="1117"/>
      <c r="CWT25" s="1117"/>
      <c r="CWU25" s="1117"/>
      <c r="CWV25" s="1117"/>
      <c r="CWW25" s="1117"/>
      <c r="CWX25" s="1117"/>
      <c r="CWY25" s="1117"/>
      <c r="CWZ25" s="1117"/>
      <c r="CXA25" s="1117"/>
      <c r="CXB25" s="1117"/>
      <c r="CXC25" s="1117"/>
      <c r="CXD25" s="1117"/>
      <c r="CXE25" s="1117"/>
      <c r="CXF25" s="1117"/>
      <c r="CXG25" s="1117"/>
      <c r="CXH25" s="1117"/>
      <c r="CXI25" s="1117"/>
      <c r="CXJ25" s="1117"/>
      <c r="CXK25" s="1117"/>
      <c r="CXL25" s="1117"/>
      <c r="CXM25" s="1117"/>
      <c r="CXN25" s="1117"/>
      <c r="CXO25" s="1117"/>
      <c r="CXP25" s="1117"/>
      <c r="CXQ25" s="1117"/>
      <c r="CXR25" s="1117"/>
      <c r="CXS25" s="1117"/>
      <c r="CXT25" s="1117"/>
      <c r="CXU25" s="1117"/>
      <c r="CXV25" s="1117"/>
      <c r="CXW25" s="1117"/>
      <c r="CXX25" s="1117"/>
      <c r="CXY25" s="1117"/>
      <c r="CXZ25" s="1117"/>
      <c r="CYA25" s="1117"/>
      <c r="CYB25" s="1117"/>
      <c r="CYC25" s="1117"/>
      <c r="CYD25" s="1117"/>
      <c r="CYE25" s="1117"/>
      <c r="CYF25" s="1117"/>
      <c r="CYG25" s="1117"/>
      <c r="CYH25" s="1117"/>
      <c r="CYI25" s="1117"/>
      <c r="CYJ25" s="1117"/>
      <c r="CYK25" s="1117"/>
      <c r="CYL25" s="1117"/>
      <c r="CYM25" s="1117"/>
      <c r="CYN25" s="1117"/>
      <c r="CYO25" s="1117"/>
      <c r="CYP25" s="1117"/>
      <c r="CYQ25" s="1117"/>
      <c r="CYR25" s="1117"/>
      <c r="CYS25" s="1117"/>
      <c r="CYT25" s="1117"/>
      <c r="CYU25" s="1117"/>
      <c r="CYV25" s="1117"/>
      <c r="CYW25" s="1117"/>
      <c r="CYX25" s="1117"/>
      <c r="CYY25" s="1117"/>
      <c r="CYZ25" s="1117"/>
      <c r="CZA25" s="1117"/>
      <c r="CZB25" s="1117"/>
      <c r="CZC25" s="1117"/>
      <c r="CZD25" s="1117"/>
      <c r="CZE25" s="1117"/>
      <c r="CZF25" s="1117"/>
      <c r="CZG25" s="1117"/>
      <c r="CZH25" s="1117"/>
      <c r="CZI25" s="1117"/>
      <c r="CZJ25" s="1117"/>
      <c r="CZK25" s="1117"/>
      <c r="CZL25" s="1117"/>
      <c r="CZM25" s="1117"/>
      <c r="CZN25" s="1117"/>
      <c r="CZO25" s="1117"/>
      <c r="CZP25" s="1117"/>
      <c r="CZQ25" s="1117"/>
      <c r="CZR25" s="1117"/>
      <c r="CZS25" s="1117"/>
      <c r="CZT25" s="1117"/>
      <c r="CZU25" s="1117"/>
      <c r="CZV25" s="1117"/>
      <c r="CZW25" s="1117"/>
      <c r="CZX25" s="1117"/>
      <c r="CZY25" s="1117"/>
      <c r="CZZ25" s="1117"/>
      <c r="DAA25" s="1117"/>
      <c r="DAB25" s="1117"/>
      <c r="DAC25" s="1117"/>
      <c r="DAD25" s="1117"/>
      <c r="DAE25" s="1117"/>
      <c r="DAF25" s="1117"/>
      <c r="DAG25" s="1117"/>
      <c r="DAH25" s="1117"/>
      <c r="DAI25" s="1117"/>
      <c r="DAJ25" s="1117"/>
      <c r="DAK25" s="1117"/>
      <c r="DAL25" s="1117"/>
      <c r="DAM25" s="1117"/>
      <c r="DAN25" s="1117"/>
      <c r="DAO25" s="1117"/>
      <c r="DAP25" s="1117"/>
      <c r="DAQ25" s="1117"/>
      <c r="DAR25" s="1117"/>
      <c r="DAS25" s="1117"/>
      <c r="DAT25" s="1117"/>
      <c r="DAU25" s="1117"/>
      <c r="DAV25" s="1117"/>
      <c r="DAW25" s="1117"/>
      <c r="DAX25" s="1117"/>
      <c r="DAY25" s="1117"/>
      <c r="DAZ25" s="1117"/>
      <c r="DBA25" s="1117"/>
      <c r="DBB25" s="1117"/>
      <c r="DBC25" s="1117"/>
      <c r="DBD25" s="1117"/>
      <c r="DBE25" s="1117"/>
      <c r="DBF25" s="1117"/>
      <c r="DBG25" s="1117"/>
      <c r="DBH25" s="1117"/>
      <c r="DBI25" s="1117"/>
      <c r="DBJ25" s="1117"/>
      <c r="DBK25" s="1117"/>
      <c r="DBL25" s="1117"/>
      <c r="DBM25" s="1117"/>
      <c r="DBN25" s="1117"/>
      <c r="DBO25" s="1117"/>
      <c r="DBP25" s="1117"/>
      <c r="DBQ25" s="1117"/>
      <c r="DBR25" s="1117"/>
      <c r="DBS25" s="1117"/>
      <c r="DBT25" s="1117"/>
      <c r="DBU25" s="1117"/>
      <c r="DBV25" s="1117"/>
      <c r="DBW25" s="1117"/>
      <c r="DBX25" s="1117"/>
      <c r="DBY25" s="1117"/>
      <c r="DBZ25" s="1117"/>
      <c r="DCA25" s="1117"/>
      <c r="DCB25" s="1117"/>
      <c r="DCC25" s="1117"/>
      <c r="DCD25" s="1117"/>
      <c r="DCE25" s="1117"/>
      <c r="DCF25" s="1117"/>
      <c r="DCG25" s="1117"/>
      <c r="DCH25" s="1117"/>
      <c r="DCI25" s="1117"/>
      <c r="DCJ25" s="1117"/>
      <c r="DCK25" s="1117"/>
      <c r="DCL25" s="1117"/>
      <c r="DCM25" s="1117"/>
      <c r="DCN25" s="1117"/>
      <c r="DCO25" s="1117"/>
      <c r="DCP25" s="1117"/>
      <c r="DCQ25" s="1117"/>
      <c r="DCR25" s="1117"/>
      <c r="DCS25" s="1117"/>
      <c r="DCT25" s="1117"/>
      <c r="DCU25" s="1117"/>
      <c r="DCV25" s="1117"/>
      <c r="DCW25" s="1117"/>
      <c r="DCX25" s="1117"/>
      <c r="DCY25" s="1117"/>
      <c r="DCZ25" s="1117"/>
      <c r="DDA25" s="1117"/>
      <c r="DDB25" s="1117"/>
      <c r="DDC25" s="1117"/>
      <c r="DDD25" s="1117"/>
      <c r="DDE25" s="1117"/>
      <c r="DDF25" s="1117"/>
      <c r="DDG25" s="1117"/>
      <c r="DDH25" s="1117"/>
      <c r="DDI25" s="1117"/>
      <c r="DDJ25" s="1117"/>
      <c r="DDK25" s="1117"/>
      <c r="DDL25" s="1117"/>
      <c r="DDM25" s="1117"/>
      <c r="DDN25" s="1117"/>
      <c r="DDO25" s="1117"/>
      <c r="DDP25" s="1117"/>
      <c r="DDQ25" s="1117"/>
      <c r="DDR25" s="1117"/>
      <c r="DDS25" s="1117"/>
      <c r="DDT25" s="1117"/>
      <c r="DDU25" s="1117"/>
      <c r="DDV25" s="1117"/>
      <c r="DDW25" s="1117"/>
      <c r="DDX25" s="1117"/>
      <c r="DDY25" s="1117"/>
      <c r="DDZ25" s="1117"/>
      <c r="DEA25" s="1117"/>
      <c r="DEB25" s="1117"/>
      <c r="DEC25" s="1117"/>
      <c r="DED25" s="1117"/>
      <c r="DEE25" s="1117"/>
      <c r="DEF25" s="1117"/>
      <c r="DEG25" s="1117"/>
      <c r="DEH25" s="1117"/>
      <c r="DEI25" s="1117"/>
      <c r="DEJ25" s="1117"/>
      <c r="DEK25" s="1117"/>
      <c r="DEL25" s="1117"/>
      <c r="DEM25" s="1117"/>
      <c r="DEN25" s="1117"/>
      <c r="DEO25" s="1117"/>
      <c r="DEP25" s="1117"/>
      <c r="DEQ25" s="1117"/>
      <c r="DER25" s="1117"/>
      <c r="DES25" s="1117"/>
      <c r="DET25" s="1117"/>
      <c r="DEU25" s="1117"/>
      <c r="DEV25" s="1117"/>
      <c r="DEW25" s="1117"/>
      <c r="DEX25" s="1117"/>
      <c r="DEY25" s="1117"/>
      <c r="DEZ25" s="1117"/>
      <c r="DFA25" s="1117"/>
      <c r="DFB25" s="1117"/>
      <c r="DFC25" s="1117"/>
      <c r="DFD25" s="1117"/>
      <c r="DFE25" s="1117"/>
      <c r="DFF25" s="1117"/>
      <c r="DFG25" s="1117"/>
      <c r="DFH25" s="1117"/>
      <c r="DFI25" s="1117"/>
      <c r="DFJ25" s="1117"/>
      <c r="DFK25" s="1117"/>
      <c r="DFL25" s="1117"/>
      <c r="DFM25" s="1117"/>
      <c r="DFN25" s="1117"/>
      <c r="DFO25" s="1117"/>
      <c r="DFP25" s="1117"/>
      <c r="DFQ25" s="1117"/>
      <c r="DFR25" s="1117"/>
      <c r="DFS25" s="1117"/>
      <c r="DFT25" s="1117"/>
      <c r="DFU25" s="1117"/>
      <c r="DFV25" s="1117"/>
      <c r="DFW25" s="1117"/>
      <c r="DFX25" s="1117"/>
      <c r="DFY25" s="1117"/>
      <c r="DFZ25" s="1117"/>
      <c r="DGA25" s="1117"/>
      <c r="DGB25" s="1117"/>
      <c r="DGC25" s="1117"/>
      <c r="DGD25" s="1117"/>
      <c r="DGE25" s="1117"/>
      <c r="DGF25" s="1117"/>
      <c r="DGG25" s="1117"/>
      <c r="DGH25" s="1117"/>
      <c r="DGI25" s="1117"/>
      <c r="DGJ25" s="1117"/>
      <c r="DGK25" s="1117"/>
      <c r="DGL25" s="1117"/>
      <c r="DGM25" s="1117"/>
      <c r="DGN25" s="1117"/>
      <c r="DGO25" s="1117"/>
      <c r="DGP25" s="1117"/>
      <c r="DGQ25" s="1117"/>
      <c r="DGR25" s="1117"/>
      <c r="DGS25" s="1117"/>
      <c r="DGT25" s="1117"/>
      <c r="DGU25" s="1117"/>
      <c r="DGV25" s="1117"/>
      <c r="DGW25" s="1117"/>
      <c r="DGX25" s="1117"/>
      <c r="DGY25" s="1117"/>
      <c r="DGZ25" s="1117"/>
      <c r="DHA25" s="1117"/>
      <c r="DHB25" s="1117"/>
      <c r="DHC25" s="1117"/>
      <c r="DHD25" s="1117"/>
      <c r="DHE25" s="1117"/>
      <c r="DHF25" s="1117"/>
      <c r="DHG25" s="1117"/>
      <c r="DHH25" s="1117"/>
      <c r="DHI25" s="1117"/>
      <c r="DHJ25" s="1117"/>
      <c r="DHK25" s="1117"/>
      <c r="DHL25" s="1117"/>
      <c r="DHM25" s="1117"/>
      <c r="DHN25" s="1117"/>
      <c r="DHO25" s="1117"/>
      <c r="DHP25" s="1117"/>
      <c r="DHQ25" s="1117"/>
      <c r="DHR25" s="1117"/>
      <c r="DHS25" s="1117"/>
      <c r="DHT25" s="1117"/>
      <c r="DHU25" s="1117"/>
      <c r="DHV25" s="1117"/>
      <c r="DHW25" s="1117"/>
      <c r="DHX25" s="1117"/>
      <c r="DHY25" s="1117"/>
      <c r="DHZ25" s="1117"/>
      <c r="DIA25" s="1117"/>
      <c r="DIB25" s="1117"/>
      <c r="DIC25" s="1117"/>
      <c r="DID25" s="1117"/>
      <c r="DIE25" s="1117"/>
      <c r="DIF25" s="1117"/>
      <c r="DIG25" s="1117"/>
      <c r="DIH25" s="1117"/>
      <c r="DII25" s="1117"/>
      <c r="DIJ25" s="1117"/>
      <c r="DIK25" s="1117"/>
      <c r="DIL25" s="1117"/>
      <c r="DIM25" s="1117"/>
      <c r="DIN25" s="1117"/>
      <c r="DIO25" s="1117"/>
      <c r="DIP25" s="1117"/>
      <c r="DIQ25" s="1117"/>
      <c r="DIR25" s="1117"/>
      <c r="DIS25" s="1117"/>
      <c r="DIT25" s="1117"/>
      <c r="DIU25" s="1117"/>
      <c r="DIV25" s="1117"/>
      <c r="DIW25" s="1117"/>
      <c r="DIX25" s="1117"/>
      <c r="DIY25" s="1117"/>
      <c r="DIZ25" s="1117"/>
      <c r="DJA25" s="1117"/>
      <c r="DJB25" s="1117"/>
      <c r="DJC25" s="1117"/>
      <c r="DJD25" s="1117"/>
      <c r="DJE25" s="1117"/>
      <c r="DJF25" s="1117"/>
      <c r="DJG25" s="1117"/>
      <c r="DJH25" s="1117"/>
      <c r="DJI25" s="1117"/>
      <c r="DJJ25" s="1117"/>
      <c r="DJK25" s="1117"/>
      <c r="DJL25" s="1117"/>
      <c r="DJM25" s="1117"/>
      <c r="DJN25" s="1117"/>
      <c r="DJO25" s="1117"/>
      <c r="DJP25" s="1117"/>
      <c r="DJQ25" s="1117"/>
      <c r="DJR25" s="1117"/>
      <c r="DJS25" s="1117"/>
      <c r="DJT25" s="1117"/>
      <c r="DJU25" s="1117"/>
      <c r="DJV25" s="1117"/>
      <c r="DJW25" s="1117"/>
      <c r="DJX25" s="1117"/>
      <c r="DJY25" s="1117"/>
      <c r="DJZ25" s="1117"/>
      <c r="DKA25" s="1117"/>
      <c r="DKB25" s="1117"/>
      <c r="DKC25" s="1117"/>
      <c r="DKD25" s="1117"/>
      <c r="DKE25" s="1117"/>
      <c r="DKF25" s="1117"/>
      <c r="DKG25" s="1117"/>
      <c r="DKH25" s="1117"/>
      <c r="DKI25" s="1117"/>
      <c r="DKJ25" s="1117"/>
      <c r="DKK25" s="1117"/>
      <c r="DKL25" s="1117"/>
      <c r="DKM25" s="1117"/>
      <c r="DKN25" s="1117"/>
      <c r="DKO25" s="1117"/>
      <c r="DKP25" s="1117"/>
      <c r="DKQ25" s="1117"/>
      <c r="DKR25" s="1117"/>
      <c r="DKS25" s="1117"/>
      <c r="DKT25" s="1117"/>
      <c r="DKU25" s="1117"/>
      <c r="DKV25" s="1117"/>
      <c r="DKW25" s="1117"/>
      <c r="DKX25" s="1117"/>
      <c r="DKY25" s="1117"/>
      <c r="DKZ25" s="1117"/>
      <c r="DLA25" s="1117"/>
      <c r="DLB25" s="1117"/>
      <c r="DLC25" s="1117"/>
      <c r="DLD25" s="1117"/>
      <c r="DLE25" s="1117"/>
      <c r="DLF25" s="1117"/>
      <c r="DLG25" s="1117"/>
      <c r="DLH25" s="1117"/>
      <c r="DLI25" s="1117"/>
      <c r="DLJ25" s="1117"/>
      <c r="DLK25" s="1117"/>
      <c r="DLL25" s="1117"/>
      <c r="DLM25" s="1117"/>
      <c r="DLN25" s="1117"/>
      <c r="DLO25" s="1117"/>
      <c r="DLP25" s="1117"/>
      <c r="DLQ25" s="1117"/>
      <c r="DLR25" s="1117"/>
      <c r="DLS25" s="1117"/>
      <c r="DLT25" s="1117"/>
      <c r="DLU25" s="1117"/>
      <c r="DLV25" s="1117"/>
      <c r="DLW25" s="1117"/>
      <c r="DLX25" s="1117"/>
      <c r="DLY25" s="1117"/>
      <c r="DLZ25" s="1117"/>
      <c r="DMA25" s="1117"/>
      <c r="DMB25" s="1117"/>
      <c r="DMC25" s="1117"/>
      <c r="DMD25" s="1117"/>
      <c r="DME25" s="1117"/>
      <c r="DMF25" s="1117"/>
      <c r="DMG25" s="1117"/>
      <c r="DMH25" s="1117"/>
      <c r="DMI25" s="1117"/>
      <c r="DMJ25" s="1117"/>
      <c r="DMK25" s="1117"/>
      <c r="DML25" s="1117"/>
      <c r="DMM25" s="1117"/>
      <c r="DMN25" s="1117"/>
      <c r="DMO25" s="1117"/>
      <c r="DMP25" s="1117"/>
      <c r="DMQ25" s="1117"/>
      <c r="DMR25" s="1117"/>
      <c r="DMS25" s="1117"/>
      <c r="DMT25" s="1117"/>
      <c r="DMU25" s="1117"/>
      <c r="DMV25" s="1117"/>
      <c r="DMW25" s="1117"/>
      <c r="DMX25" s="1117"/>
      <c r="DMY25" s="1117"/>
      <c r="DMZ25" s="1117"/>
      <c r="DNA25" s="1117"/>
      <c r="DNB25" s="1117"/>
      <c r="DNC25" s="1117"/>
      <c r="DND25" s="1117"/>
      <c r="DNE25" s="1117"/>
      <c r="DNF25" s="1117"/>
      <c r="DNG25" s="1117"/>
      <c r="DNH25" s="1117"/>
      <c r="DNI25" s="1117"/>
      <c r="DNJ25" s="1117"/>
      <c r="DNK25" s="1117"/>
      <c r="DNL25" s="1117"/>
      <c r="DNM25" s="1117"/>
      <c r="DNN25" s="1117"/>
      <c r="DNO25" s="1117"/>
      <c r="DNP25" s="1117"/>
      <c r="DNQ25" s="1117"/>
      <c r="DNR25" s="1117"/>
      <c r="DNS25" s="1117"/>
      <c r="DNT25" s="1117"/>
      <c r="DNU25" s="1117"/>
      <c r="DNV25" s="1117"/>
      <c r="DNW25" s="1117"/>
      <c r="DNX25" s="1117"/>
      <c r="DNY25" s="1117"/>
      <c r="DNZ25" s="1117"/>
      <c r="DOA25" s="1117"/>
      <c r="DOB25" s="1117"/>
      <c r="DOC25" s="1117"/>
      <c r="DOD25" s="1117"/>
      <c r="DOE25" s="1117"/>
      <c r="DOF25" s="1117"/>
      <c r="DOG25" s="1117"/>
      <c r="DOH25" s="1117"/>
      <c r="DOI25" s="1117"/>
      <c r="DOJ25" s="1117"/>
      <c r="DOK25" s="1117"/>
      <c r="DOL25" s="1117"/>
      <c r="DOM25" s="1117"/>
      <c r="DON25" s="1117"/>
      <c r="DOO25" s="1117"/>
      <c r="DOP25" s="1117"/>
      <c r="DOQ25" s="1117"/>
      <c r="DOR25" s="1117"/>
      <c r="DOS25" s="1117"/>
      <c r="DOT25" s="1117"/>
      <c r="DOU25" s="1117"/>
      <c r="DOV25" s="1117"/>
      <c r="DOW25" s="1117"/>
      <c r="DOX25" s="1117"/>
      <c r="DOY25" s="1117"/>
      <c r="DOZ25" s="1117"/>
      <c r="DPA25" s="1117"/>
      <c r="DPB25" s="1117"/>
      <c r="DPC25" s="1117"/>
      <c r="DPD25" s="1117"/>
      <c r="DPE25" s="1117"/>
      <c r="DPF25" s="1117"/>
      <c r="DPG25" s="1117"/>
      <c r="DPH25" s="1117"/>
      <c r="DPI25" s="1117"/>
      <c r="DPJ25" s="1117"/>
      <c r="DPK25" s="1117"/>
      <c r="DPL25" s="1117"/>
      <c r="DPM25" s="1117"/>
      <c r="DPN25" s="1117"/>
      <c r="DPO25" s="1117"/>
      <c r="DPP25" s="1117"/>
      <c r="DPQ25" s="1117"/>
      <c r="DPR25" s="1117"/>
      <c r="DPS25" s="1117"/>
      <c r="DPT25" s="1117"/>
      <c r="DPU25" s="1117"/>
      <c r="DPV25" s="1117"/>
      <c r="DPW25" s="1117"/>
      <c r="DPX25" s="1117"/>
      <c r="DPY25" s="1117"/>
      <c r="DPZ25" s="1117"/>
      <c r="DQA25" s="1117"/>
      <c r="DQB25" s="1117"/>
      <c r="DQC25" s="1117"/>
      <c r="DQD25" s="1117"/>
      <c r="DQE25" s="1117"/>
      <c r="DQF25" s="1117"/>
      <c r="DQG25" s="1117"/>
      <c r="DQH25" s="1117"/>
      <c r="DQI25" s="1117"/>
      <c r="DQJ25" s="1117"/>
      <c r="DQK25" s="1117"/>
      <c r="DQL25" s="1117"/>
      <c r="DQM25" s="1117"/>
      <c r="DQN25" s="1117"/>
      <c r="DQO25" s="1117"/>
      <c r="DQP25" s="1117"/>
      <c r="DQQ25" s="1117"/>
      <c r="DQR25" s="1117"/>
      <c r="DQS25" s="1117"/>
      <c r="DQT25" s="1117"/>
      <c r="DQU25" s="1117"/>
      <c r="DQV25" s="1117"/>
      <c r="DQW25" s="1117"/>
      <c r="DQX25" s="1117"/>
      <c r="DQY25" s="1117"/>
      <c r="DQZ25" s="1117"/>
      <c r="DRA25" s="1117"/>
      <c r="DRB25" s="1117"/>
      <c r="DRC25" s="1117"/>
      <c r="DRD25" s="1117"/>
      <c r="DRE25" s="1117"/>
      <c r="DRF25" s="1117"/>
      <c r="DRG25" s="1117"/>
      <c r="DRH25" s="1117"/>
      <c r="DRI25" s="1117"/>
      <c r="DRJ25" s="1117"/>
      <c r="DRK25" s="1117"/>
      <c r="DRL25" s="1117"/>
      <c r="DRM25" s="1117"/>
      <c r="DRN25" s="1117"/>
      <c r="DRO25" s="1117"/>
      <c r="DRP25" s="1117"/>
      <c r="DRQ25" s="1117"/>
      <c r="DRR25" s="1117"/>
      <c r="DRS25" s="1117"/>
      <c r="DRT25" s="1117"/>
      <c r="DRU25" s="1117"/>
      <c r="DRV25" s="1117"/>
      <c r="DRW25" s="1117"/>
      <c r="DRX25" s="1117"/>
      <c r="DRY25" s="1117"/>
      <c r="DRZ25" s="1117"/>
      <c r="DSA25" s="1117"/>
      <c r="DSB25" s="1117"/>
      <c r="DSC25" s="1117"/>
      <c r="DSD25" s="1117"/>
      <c r="DSE25" s="1117"/>
      <c r="DSF25" s="1117"/>
      <c r="DSG25" s="1117"/>
      <c r="DSH25" s="1117"/>
      <c r="DSI25" s="1117"/>
      <c r="DSJ25" s="1117"/>
      <c r="DSK25" s="1117"/>
      <c r="DSL25" s="1117"/>
      <c r="DSM25" s="1117"/>
      <c r="DSN25" s="1117"/>
      <c r="DSO25" s="1117"/>
      <c r="DSP25" s="1117"/>
      <c r="DSQ25" s="1117"/>
      <c r="DSR25" s="1117"/>
      <c r="DSS25" s="1117"/>
      <c r="DST25" s="1117"/>
      <c r="DSU25" s="1117"/>
      <c r="DSV25" s="1117"/>
      <c r="DSW25" s="1117"/>
      <c r="DSX25" s="1117"/>
      <c r="DSY25" s="1117"/>
      <c r="DSZ25" s="1117"/>
      <c r="DTA25" s="1117"/>
      <c r="DTB25" s="1117"/>
      <c r="DTC25" s="1117"/>
      <c r="DTD25" s="1117"/>
      <c r="DTE25" s="1117"/>
      <c r="DTF25" s="1117"/>
      <c r="DTG25" s="1117"/>
      <c r="DTH25" s="1117"/>
      <c r="DTI25" s="1117"/>
      <c r="DTJ25" s="1117"/>
      <c r="DTK25" s="1117"/>
      <c r="DTL25" s="1117"/>
      <c r="DTM25" s="1117"/>
      <c r="DTN25" s="1117"/>
      <c r="DTO25" s="1117"/>
      <c r="DTP25" s="1117"/>
      <c r="DTQ25" s="1117"/>
      <c r="DTR25" s="1117"/>
      <c r="DTS25" s="1117"/>
      <c r="DTT25" s="1117"/>
      <c r="DTU25" s="1117"/>
      <c r="DTV25" s="1117"/>
      <c r="DTW25" s="1117"/>
      <c r="DTX25" s="1117"/>
      <c r="DTY25" s="1117"/>
      <c r="DTZ25" s="1117"/>
      <c r="DUA25" s="1117"/>
      <c r="DUB25" s="1117"/>
      <c r="DUC25" s="1117"/>
      <c r="DUD25" s="1117"/>
      <c r="DUE25" s="1117"/>
      <c r="DUF25" s="1117"/>
      <c r="DUG25" s="1117"/>
      <c r="DUH25" s="1117"/>
      <c r="DUI25" s="1117"/>
      <c r="DUJ25" s="1117"/>
      <c r="DUK25" s="1117"/>
      <c r="DUL25" s="1117"/>
      <c r="DUM25" s="1117"/>
      <c r="DUN25" s="1117"/>
      <c r="DUO25" s="1117"/>
      <c r="DUP25" s="1117"/>
      <c r="DUQ25" s="1117"/>
      <c r="DUR25" s="1117"/>
      <c r="DUS25" s="1117"/>
      <c r="DUT25" s="1117"/>
      <c r="DUU25" s="1117"/>
      <c r="DUV25" s="1117"/>
      <c r="DUW25" s="1117"/>
      <c r="DUX25" s="1117"/>
      <c r="DUY25" s="1117"/>
      <c r="DUZ25" s="1117"/>
      <c r="DVA25" s="1117"/>
      <c r="DVB25" s="1117"/>
      <c r="DVC25" s="1117"/>
      <c r="DVD25" s="1117"/>
      <c r="DVE25" s="1117"/>
      <c r="DVF25" s="1117"/>
      <c r="DVG25" s="1117"/>
      <c r="DVH25" s="1117"/>
      <c r="DVI25" s="1117"/>
      <c r="DVJ25" s="1117"/>
      <c r="DVK25" s="1117"/>
      <c r="DVL25" s="1117"/>
      <c r="DVM25" s="1117"/>
      <c r="DVN25" s="1117"/>
      <c r="DVO25" s="1117"/>
      <c r="DVP25" s="1117"/>
      <c r="DVQ25" s="1117"/>
      <c r="DVR25" s="1117"/>
      <c r="DVS25" s="1117"/>
      <c r="DVT25" s="1117"/>
      <c r="DVU25" s="1117"/>
      <c r="DVV25" s="1117"/>
      <c r="DVW25" s="1117"/>
      <c r="DVX25" s="1117"/>
      <c r="DVY25" s="1117"/>
      <c r="DVZ25" s="1117"/>
      <c r="DWA25" s="1117"/>
      <c r="DWB25" s="1117"/>
      <c r="DWC25" s="1117"/>
      <c r="DWD25" s="1117"/>
      <c r="DWE25" s="1117"/>
      <c r="DWF25" s="1117"/>
      <c r="DWG25" s="1117"/>
      <c r="DWH25" s="1117"/>
      <c r="DWI25" s="1117"/>
      <c r="DWJ25" s="1117"/>
      <c r="DWK25" s="1117"/>
      <c r="DWL25" s="1117"/>
      <c r="DWM25" s="1117"/>
      <c r="DWN25" s="1117"/>
      <c r="DWO25" s="1117"/>
      <c r="DWP25" s="1117"/>
      <c r="DWQ25" s="1117"/>
      <c r="DWR25" s="1117"/>
      <c r="DWS25" s="1117"/>
      <c r="DWT25" s="1117"/>
      <c r="DWU25" s="1117"/>
      <c r="DWV25" s="1117"/>
      <c r="DWW25" s="1117"/>
      <c r="DWX25" s="1117"/>
      <c r="DWY25" s="1117"/>
      <c r="DWZ25" s="1117"/>
      <c r="DXA25" s="1117"/>
      <c r="DXB25" s="1117"/>
      <c r="DXC25" s="1117"/>
      <c r="DXD25" s="1117"/>
      <c r="DXE25" s="1117"/>
      <c r="DXF25" s="1117"/>
      <c r="DXG25" s="1117"/>
      <c r="DXH25" s="1117"/>
      <c r="DXI25" s="1117"/>
      <c r="DXJ25" s="1117"/>
      <c r="DXK25" s="1117"/>
      <c r="DXL25" s="1117"/>
      <c r="DXM25" s="1117"/>
      <c r="DXN25" s="1117"/>
      <c r="DXO25" s="1117"/>
      <c r="DXP25" s="1117"/>
      <c r="DXQ25" s="1117"/>
      <c r="DXR25" s="1117"/>
      <c r="DXS25" s="1117"/>
      <c r="DXT25" s="1117"/>
      <c r="DXU25" s="1117"/>
      <c r="DXV25" s="1117"/>
      <c r="DXW25" s="1117"/>
      <c r="DXX25" s="1117"/>
      <c r="DXY25" s="1117"/>
      <c r="DXZ25" s="1117"/>
      <c r="DYA25" s="1117"/>
      <c r="DYB25" s="1117"/>
      <c r="DYC25" s="1117"/>
      <c r="DYD25" s="1117"/>
      <c r="DYE25" s="1117"/>
      <c r="DYF25" s="1117"/>
      <c r="DYG25" s="1117"/>
      <c r="DYH25" s="1117"/>
      <c r="DYI25" s="1117"/>
      <c r="DYJ25" s="1117"/>
      <c r="DYK25" s="1117"/>
      <c r="DYL25" s="1117"/>
      <c r="DYM25" s="1117"/>
      <c r="DYN25" s="1117"/>
      <c r="DYO25" s="1117"/>
      <c r="DYP25" s="1117"/>
      <c r="DYQ25" s="1117"/>
      <c r="DYR25" s="1117"/>
      <c r="DYS25" s="1117"/>
      <c r="DYT25" s="1117"/>
      <c r="DYU25" s="1117"/>
      <c r="DYV25" s="1117"/>
      <c r="DYW25" s="1117"/>
      <c r="DYX25" s="1117"/>
      <c r="DYY25" s="1117"/>
      <c r="DYZ25" s="1117"/>
      <c r="DZA25" s="1117"/>
      <c r="DZB25" s="1117"/>
      <c r="DZC25" s="1117"/>
      <c r="DZD25" s="1117"/>
      <c r="DZE25" s="1117"/>
      <c r="DZF25" s="1117"/>
      <c r="DZG25" s="1117"/>
      <c r="DZH25" s="1117"/>
      <c r="DZI25" s="1117"/>
      <c r="DZJ25" s="1117"/>
      <c r="DZK25" s="1117"/>
      <c r="DZL25" s="1117"/>
      <c r="DZM25" s="1117"/>
      <c r="DZN25" s="1117"/>
      <c r="DZO25" s="1117"/>
      <c r="DZP25" s="1117"/>
      <c r="DZQ25" s="1117"/>
      <c r="DZR25" s="1117"/>
      <c r="DZS25" s="1117"/>
      <c r="DZT25" s="1117"/>
      <c r="DZU25" s="1117"/>
      <c r="DZV25" s="1117"/>
      <c r="DZW25" s="1117"/>
      <c r="DZX25" s="1117"/>
      <c r="DZY25" s="1117"/>
      <c r="DZZ25" s="1117"/>
      <c r="EAA25" s="1117"/>
      <c r="EAB25" s="1117"/>
      <c r="EAC25" s="1117"/>
      <c r="EAD25" s="1117"/>
      <c r="EAE25" s="1117"/>
      <c r="EAF25" s="1117"/>
      <c r="EAG25" s="1117"/>
      <c r="EAH25" s="1117"/>
      <c r="EAI25" s="1117"/>
      <c r="EAJ25" s="1117"/>
      <c r="EAK25" s="1117"/>
      <c r="EAL25" s="1117"/>
      <c r="EAM25" s="1117"/>
      <c r="EAN25" s="1117"/>
      <c r="EAO25" s="1117"/>
      <c r="EAP25" s="1117"/>
      <c r="EAQ25" s="1117"/>
      <c r="EAR25" s="1117"/>
      <c r="EAS25" s="1117"/>
      <c r="EAT25" s="1117"/>
      <c r="EAU25" s="1117"/>
      <c r="EAV25" s="1117"/>
      <c r="EAW25" s="1117"/>
      <c r="EAX25" s="1117"/>
      <c r="EAY25" s="1117"/>
      <c r="EAZ25" s="1117"/>
      <c r="EBA25" s="1117"/>
      <c r="EBB25" s="1117"/>
      <c r="EBC25" s="1117"/>
      <c r="EBD25" s="1117"/>
      <c r="EBE25" s="1117"/>
      <c r="EBF25" s="1117"/>
      <c r="EBG25" s="1117"/>
      <c r="EBH25" s="1117"/>
      <c r="EBI25" s="1117"/>
      <c r="EBJ25" s="1117"/>
      <c r="EBK25" s="1117"/>
      <c r="EBL25" s="1117"/>
      <c r="EBM25" s="1117"/>
      <c r="EBN25" s="1117"/>
      <c r="EBO25" s="1117"/>
      <c r="EBP25" s="1117"/>
      <c r="EBQ25" s="1117"/>
      <c r="EBR25" s="1117"/>
      <c r="EBS25" s="1117"/>
      <c r="EBT25" s="1117"/>
      <c r="EBU25" s="1117"/>
      <c r="EBV25" s="1117"/>
      <c r="EBW25" s="1117"/>
      <c r="EBX25" s="1117"/>
      <c r="EBY25" s="1117"/>
      <c r="EBZ25" s="1117"/>
      <c r="ECA25" s="1117"/>
      <c r="ECB25" s="1117"/>
      <c r="ECC25" s="1117"/>
      <c r="ECD25" s="1117"/>
      <c r="ECE25" s="1117"/>
      <c r="ECF25" s="1117"/>
      <c r="ECG25" s="1117"/>
      <c r="ECH25" s="1117"/>
      <c r="ECI25" s="1117"/>
      <c r="ECJ25" s="1117"/>
      <c r="ECK25" s="1117"/>
      <c r="ECL25" s="1117"/>
      <c r="ECM25" s="1117"/>
      <c r="ECN25" s="1117"/>
      <c r="ECO25" s="1117"/>
      <c r="ECP25" s="1117"/>
      <c r="ECQ25" s="1117"/>
      <c r="ECR25" s="1117"/>
      <c r="ECS25" s="1117"/>
      <c r="ECT25" s="1117"/>
      <c r="ECU25" s="1117"/>
      <c r="ECV25" s="1117"/>
      <c r="ECW25" s="1117"/>
      <c r="ECX25" s="1117"/>
      <c r="ECY25" s="1117"/>
      <c r="ECZ25" s="1117"/>
      <c r="EDA25" s="1117"/>
      <c r="EDB25" s="1117"/>
      <c r="EDC25" s="1117"/>
      <c r="EDD25" s="1117"/>
      <c r="EDE25" s="1117"/>
      <c r="EDF25" s="1117"/>
      <c r="EDG25" s="1117"/>
      <c r="EDH25" s="1117"/>
      <c r="EDI25" s="1117"/>
      <c r="EDJ25" s="1117"/>
      <c r="EDK25" s="1117"/>
      <c r="EDL25" s="1117"/>
      <c r="EDM25" s="1117"/>
      <c r="EDN25" s="1117"/>
      <c r="EDO25" s="1117"/>
      <c r="EDP25" s="1117"/>
      <c r="EDQ25" s="1117"/>
      <c r="EDR25" s="1117"/>
      <c r="EDS25" s="1117"/>
      <c r="EDT25" s="1117"/>
      <c r="EDU25" s="1117"/>
      <c r="EDV25" s="1117"/>
      <c r="EDW25" s="1117"/>
      <c r="EDX25" s="1117"/>
      <c r="EDY25" s="1117"/>
      <c r="EDZ25" s="1117"/>
      <c r="EEA25" s="1117"/>
      <c r="EEB25" s="1117"/>
      <c r="EEC25" s="1117"/>
      <c r="EED25" s="1117"/>
      <c r="EEE25" s="1117"/>
      <c r="EEF25" s="1117"/>
      <c r="EEG25" s="1117"/>
      <c r="EEH25" s="1117"/>
      <c r="EEI25" s="1117"/>
      <c r="EEJ25" s="1117"/>
      <c r="EEK25" s="1117"/>
      <c r="EEL25" s="1117"/>
      <c r="EEM25" s="1117"/>
      <c r="EEN25" s="1117"/>
      <c r="EEO25" s="1117"/>
      <c r="EEP25" s="1117"/>
      <c r="EEQ25" s="1117"/>
      <c r="EER25" s="1117"/>
      <c r="EES25" s="1117"/>
      <c r="EET25" s="1117"/>
      <c r="EEU25" s="1117"/>
      <c r="EEV25" s="1117"/>
      <c r="EEW25" s="1117"/>
      <c r="EEX25" s="1117"/>
      <c r="EEY25" s="1117"/>
      <c r="EEZ25" s="1117"/>
      <c r="EFA25" s="1117"/>
      <c r="EFB25" s="1117"/>
      <c r="EFC25" s="1117"/>
      <c r="EFD25" s="1117"/>
      <c r="EFE25" s="1117"/>
      <c r="EFF25" s="1117"/>
      <c r="EFG25" s="1117"/>
      <c r="EFH25" s="1117"/>
      <c r="EFI25" s="1117"/>
      <c r="EFJ25" s="1117"/>
      <c r="EFK25" s="1117"/>
      <c r="EFL25" s="1117"/>
      <c r="EFM25" s="1117"/>
      <c r="EFN25" s="1117"/>
      <c r="EFO25" s="1117"/>
      <c r="EFP25" s="1117"/>
      <c r="EFQ25" s="1117"/>
      <c r="EFR25" s="1117"/>
      <c r="EFS25" s="1117"/>
      <c r="EFT25" s="1117"/>
      <c r="EFU25" s="1117"/>
      <c r="EFV25" s="1117"/>
      <c r="EFW25" s="1117"/>
      <c r="EFX25" s="1117"/>
      <c r="EFY25" s="1117"/>
      <c r="EFZ25" s="1117"/>
      <c r="EGA25" s="1117"/>
      <c r="EGB25" s="1117"/>
      <c r="EGC25" s="1117"/>
      <c r="EGD25" s="1117"/>
      <c r="EGE25" s="1117"/>
      <c r="EGF25" s="1117"/>
      <c r="EGG25" s="1117"/>
      <c r="EGH25" s="1117"/>
      <c r="EGI25" s="1117"/>
      <c r="EGJ25" s="1117"/>
      <c r="EGK25" s="1117"/>
      <c r="EGL25" s="1117"/>
      <c r="EGM25" s="1117"/>
      <c r="EGN25" s="1117"/>
      <c r="EGO25" s="1117"/>
      <c r="EGP25" s="1117"/>
      <c r="EGQ25" s="1117"/>
      <c r="EGR25" s="1117"/>
      <c r="EGS25" s="1117"/>
      <c r="EGT25" s="1117"/>
      <c r="EGU25" s="1117"/>
      <c r="EGV25" s="1117"/>
      <c r="EGW25" s="1117"/>
      <c r="EGX25" s="1117"/>
      <c r="EGY25" s="1117"/>
      <c r="EGZ25" s="1117"/>
      <c r="EHA25" s="1117"/>
      <c r="EHB25" s="1117"/>
      <c r="EHC25" s="1117"/>
      <c r="EHD25" s="1117"/>
      <c r="EHE25" s="1117"/>
      <c r="EHF25" s="1117"/>
      <c r="EHG25" s="1117"/>
      <c r="EHH25" s="1117"/>
      <c r="EHI25" s="1117"/>
      <c r="EHJ25" s="1117"/>
      <c r="EHK25" s="1117"/>
      <c r="EHL25" s="1117"/>
      <c r="EHM25" s="1117"/>
      <c r="EHN25" s="1117"/>
      <c r="EHO25" s="1117"/>
      <c r="EHP25" s="1117"/>
      <c r="EHQ25" s="1117"/>
      <c r="EHR25" s="1117"/>
      <c r="EHS25" s="1117"/>
      <c r="EHT25" s="1117"/>
      <c r="EHU25" s="1117"/>
      <c r="EHV25" s="1117"/>
      <c r="EHW25" s="1117"/>
      <c r="EHX25" s="1117"/>
      <c r="EHY25" s="1117"/>
      <c r="EHZ25" s="1117"/>
      <c r="EIA25" s="1117"/>
      <c r="EIB25" s="1117"/>
      <c r="EIC25" s="1117"/>
      <c r="EID25" s="1117"/>
      <c r="EIE25" s="1117"/>
      <c r="EIF25" s="1117"/>
      <c r="EIG25" s="1117"/>
      <c r="EIH25" s="1117"/>
      <c r="EII25" s="1117"/>
      <c r="EIJ25" s="1117"/>
      <c r="EIK25" s="1117"/>
      <c r="EIL25" s="1117"/>
      <c r="EIM25" s="1117"/>
      <c r="EIN25" s="1117"/>
      <c r="EIO25" s="1117"/>
      <c r="EIP25" s="1117"/>
      <c r="EIQ25" s="1117"/>
      <c r="EIR25" s="1117"/>
      <c r="EIS25" s="1117"/>
      <c r="EIT25" s="1117"/>
      <c r="EIU25" s="1117"/>
      <c r="EIV25" s="1117"/>
      <c r="EIW25" s="1117"/>
      <c r="EIX25" s="1117"/>
      <c r="EIY25" s="1117"/>
      <c r="EIZ25" s="1117"/>
      <c r="EJA25" s="1117"/>
      <c r="EJB25" s="1117"/>
      <c r="EJC25" s="1117"/>
      <c r="EJD25" s="1117"/>
      <c r="EJE25" s="1117"/>
      <c r="EJF25" s="1117"/>
      <c r="EJG25" s="1117"/>
      <c r="EJH25" s="1117"/>
      <c r="EJI25" s="1117"/>
      <c r="EJJ25" s="1117"/>
      <c r="EJK25" s="1117"/>
      <c r="EJL25" s="1117"/>
      <c r="EJM25" s="1117"/>
      <c r="EJN25" s="1117"/>
      <c r="EJO25" s="1117"/>
      <c r="EJP25" s="1117"/>
      <c r="EJQ25" s="1117"/>
      <c r="EJR25" s="1117"/>
      <c r="EJS25" s="1117"/>
      <c r="EJT25" s="1117"/>
      <c r="EJU25" s="1117"/>
      <c r="EJV25" s="1117"/>
      <c r="EJW25" s="1117"/>
      <c r="EJX25" s="1117"/>
      <c r="EJY25" s="1117"/>
      <c r="EJZ25" s="1117"/>
      <c r="EKA25" s="1117"/>
      <c r="EKB25" s="1117"/>
      <c r="EKC25" s="1117"/>
      <c r="EKD25" s="1117"/>
      <c r="EKE25" s="1117"/>
      <c r="EKF25" s="1117"/>
      <c r="EKG25" s="1117"/>
      <c r="EKH25" s="1117"/>
      <c r="EKI25" s="1117"/>
      <c r="EKJ25" s="1117"/>
      <c r="EKK25" s="1117"/>
      <c r="EKL25" s="1117"/>
      <c r="EKM25" s="1117"/>
      <c r="EKN25" s="1117"/>
      <c r="EKO25" s="1117"/>
      <c r="EKP25" s="1117"/>
      <c r="EKQ25" s="1117"/>
      <c r="EKR25" s="1117"/>
      <c r="EKS25" s="1117"/>
      <c r="EKT25" s="1117"/>
      <c r="EKU25" s="1117"/>
      <c r="EKV25" s="1117"/>
      <c r="EKW25" s="1117"/>
      <c r="EKX25" s="1117"/>
      <c r="EKY25" s="1117"/>
      <c r="EKZ25" s="1117"/>
      <c r="ELA25" s="1117"/>
      <c r="ELB25" s="1117"/>
      <c r="ELC25" s="1117"/>
      <c r="ELD25" s="1117"/>
      <c r="ELE25" s="1117"/>
      <c r="ELF25" s="1117"/>
      <c r="ELG25" s="1117"/>
      <c r="ELH25" s="1117"/>
      <c r="ELI25" s="1117"/>
      <c r="ELJ25" s="1117"/>
      <c r="ELK25" s="1117"/>
      <c r="ELL25" s="1117"/>
      <c r="ELM25" s="1117"/>
      <c r="ELN25" s="1117"/>
      <c r="ELO25" s="1117"/>
      <c r="ELP25" s="1117"/>
      <c r="ELQ25" s="1117"/>
      <c r="ELR25" s="1117"/>
      <c r="ELS25" s="1117"/>
      <c r="ELT25" s="1117"/>
      <c r="ELU25" s="1117"/>
      <c r="ELV25" s="1117"/>
      <c r="ELW25" s="1117"/>
      <c r="ELX25" s="1117"/>
      <c r="ELY25" s="1117"/>
      <c r="ELZ25" s="1117"/>
      <c r="EMA25" s="1117"/>
      <c r="EMB25" s="1117"/>
      <c r="EMC25" s="1117"/>
      <c r="EMD25" s="1117"/>
      <c r="EME25" s="1117"/>
      <c r="EMF25" s="1117"/>
      <c r="EMG25" s="1117"/>
      <c r="EMH25" s="1117"/>
      <c r="EMI25" s="1117"/>
      <c r="EMJ25" s="1117"/>
      <c r="EMK25" s="1117"/>
      <c r="EML25" s="1117"/>
      <c r="EMM25" s="1117"/>
      <c r="EMN25" s="1117"/>
      <c r="EMO25" s="1117"/>
      <c r="EMP25" s="1117"/>
      <c r="EMQ25" s="1117"/>
      <c r="EMR25" s="1117"/>
      <c r="EMS25" s="1117"/>
      <c r="EMT25" s="1117"/>
      <c r="EMU25" s="1117"/>
      <c r="EMV25" s="1117"/>
      <c r="EMW25" s="1117"/>
      <c r="EMX25" s="1117"/>
      <c r="EMY25" s="1117"/>
      <c r="EMZ25" s="1117"/>
      <c r="ENA25" s="1117"/>
      <c r="ENB25" s="1117"/>
      <c r="ENC25" s="1117"/>
      <c r="END25" s="1117"/>
      <c r="ENE25" s="1117"/>
      <c r="ENF25" s="1117"/>
      <c r="ENG25" s="1117"/>
      <c r="ENH25" s="1117"/>
      <c r="ENI25" s="1117"/>
      <c r="ENJ25" s="1117"/>
      <c r="ENK25" s="1117"/>
      <c r="ENL25" s="1117"/>
      <c r="ENM25" s="1117"/>
      <c r="ENN25" s="1117"/>
      <c r="ENO25" s="1117"/>
      <c r="ENP25" s="1117"/>
      <c r="ENQ25" s="1117"/>
      <c r="ENR25" s="1117"/>
      <c r="ENS25" s="1117"/>
      <c r="ENT25" s="1117"/>
      <c r="ENU25" s="1117"/>
      <c r="ENV25" s="1117"/>
      <c r="ENW25" s="1117"/>
      <c r="ENX25" s="1117"/>
      <c r="ENY25" s="1117"/>
      <c r="ENZ25" s="1117"/>
      <c r="EOA25" s="1117"/>
      <c r="EOB25" s="1117"/>
      <c r="EOC25" s="1117"/>
      <c r="EOD25" s="1117"/>
      <c r="EOE25" s="1117"/>
      <c r="EOF25" s="1117"/>
      <c r="EOG25" s="1117"/>
      <c r="EOH25" s="1117"/>
      <c r="EOI25" s="1117"/>
      <c r="EOJ25" s="1117"/>
      <c r="EOK25" s="1117"/>
      <c r="EOL25" s="1117"/>
      <c r="EOM25" s="1117"/>
      <c r="EON25" s="1117"/>
      <c r="EOO25" s="1117"/>
      <c r="EOP25" s="1117"/>
      <c r="EOQ25" s="1117"/>
      <c r="EOR25" s="1117"/>
      <c r="EOS25" s="1117"/>
      <c r="EOT25" s="1117"/>
      <c r="EOU25" s="1117"/>
      <c r="EOV25" s="1117"/>
      <c r="EOW25" s="1117"/>
      <c r="EOX25" s="1117"/>
      <c r="EOY25" s="1117"/>
      <c r="EOZ25" s="1117"/>
      <c r="EPA25" s="1117"/>
      <c r="EPB25" s="1117"/>
      <c r="EPC25" s="1117"/>
      <c r="EPD25" s="1117"/>
      <c r="EPE25" s="1117"/>
      <c r="EPF25" s="1117"/>
      <c r="EPG25" s="1117"/>
      <c r="EPH25" s="1117"/>
      <c r="EPI25" s="1117"/>
      <c r="EPJ25" s="1117"/>
      <c r="EPK25" s="1117"/>
      <c r="EPL25" s="1117"/>
      <c r="EPM25" s="1117"/>
      <c r="EPN25" s="1117"/>
      <c r="EPO25" s="1117"/>
      <c r="EPP25" s="1117"/>
      <c r="EPQ25" s="1117"/>
      <c r="EPR25" s="1117"/>
      <c r="EPS25" s="1117"/>
      <c r="EPT25" s="1117"/>
      <c r="EPU25" s="1117"/>
      <c r="EPV25" s="1117"/>
      <c r="EPW25" s="1117"/>
      <c r="EPX25" s="1117"/>
      <c r="EPY25" s="1117"/>
      <c r="EPZ25" s="1117"/>
      <c r="EQA25" s="1117"/>
      <c r="EQB25" s="1117"/>
      <c r="EQC25" s="1117"/>
      <c r="EQD25" s="1117"/>
      <c r="EQE25" s="1117"/>
      <c r="EQF25" s="1117"/>
      <c r="EQG25" s="1117"/>
      <c r="EQH25" s="1117"/>
      <c r="EQI25" s="1117"/>
      <c r="EQJ25" s="1117"/>
      <c r="EQK25" s="1117"/>
      <c r="EQL25" s="1117"/>
      <c r="EQM25" s="1117"/>
      <c r="EQN25" s="1117"/>
      <c r="EQO25" s="1117"/>
      <c r="EQP25" s="1117"/>
      <c r="EQQ25" s="1117"/>
      <c r="EQR25" s="1117"/>
      <c r="EQS25" s="1117"/>
      <c r="EQT25" s="1117"/>
      <c r="EQU25" s="1117"/>
      <c r="EQV25" s="1117"/>
      <c r="EQW25" s="1117"/>
      <c r="EQX25" s="1117"/>
      <c r="EQY25" s="1117"/>
      <c r="EQZ25" s="1117"/>
      <c r="ERA25" s="1117"/>
      <c r="ERB25" s="1117"/>
      <c r="ERC25" s="1117"/>
      <c r="ERD25" s="1117"/>
      <c r="ERE25" s="1117"/>
      <c r="ERF25" s="1117"/>
      <c r="ERG25" s="1117"/>
      <c r="ERH25" s="1117"/>
      <c r="ERI25" s="1117"/>
      <c r="ERJ25" s="1117"/>
      <c r="ERK25" s="1117"/>
      <c r="ERL25" s="1117"/>
      <c r="ERM25" s="1117"/>
      <c r="ERN25" s="1117"/>
      <c r="ERO25" s="1117"/>
      <c r="ERP25" s="1117"/>
      <c r="ERQ25" s="1117"/>
      <c r="ERR25" s="1117"/>
      <c r="ERS25" s="1117"/>
      <c r="ERT25" s="1117"/>
      <c r="ERU25" s="1117"/>
      <c r="ERV25" s="1117"/>
      <c r="ERW25" s="1117"/>
      <c r="ERX25" s="1117"/>
      <c r="ERY25" s="1117"/>
      <c r="ERZ25" s="1117"/>
      <c r="ESA25" s="1117"/>
      <c r="ESB25" s="1117"/>
      <c r="ESC25" s="1117"/>
      <c r="ESD25" s="1117"/>
      <c r="ESE25" s="1117"/>
      <c r="ESF25" s="1117"/>
      <c r="ESG25" s="1117"/>
      <c r="ESH25" s="1117"/>
      <c r="ESI25" s="1117"/>
      <c r="ESJ25" s="1117"/>
      <c r="ESK25" s="1117"/>
      <c r="ESL25" s="1117"/>
      <c r="ESM25" s="1117"/>
      <c r="ESN25" s="1117"/>
      <c r="ESO25" s="1117"/>
      <c r="ESP25" s="1117"/>
      <c r="ESQ25" s="1117"/>
      <c r="ESR25" s="1117"/>
      <c r="ESS25" s="1117"/>
      <c r="EST25" s="1117"/>
      <c r="ESU25" s="1117"/>
      <c r="ESV25" s="1117"/>
      <c r="ESW25" s="1117"/>
      <c r="ESX25" s="1117"/>
      <c r="ESY25" s="1117"/>
      <c r="ESZ25" s="1117"/>
      <c r="ETA25" s="1117"/>
      <c r="ETB25" s="1117"/>
      <c r="ETC25" s="1117"/>
      <c r="ETD25" s="1117"/>
      <c r="ETE25" s="1117"/>
      <c r="ETF25" s="1117"/>
      <c r="ETG25" s="1117"/>
      <c r="ETH25" s="1117"/>
      <c r="ETI25" s="1117"/>
      <c r="ETJ25" s="1117"/>
      <c r="ETK25" s="1117"/>
      <c r="ETL25" s="1117"/>
      <c r="ETM25" s="1117"/>
      <c r="ETN25" s="1117"/>
      <c r="ETO25" s="1117"/>
      <c r="ETP25" s="1117"/>
      <c r="ETQ25" s="1117"/>
      <c r="ETR25" s="1117"/>
      <c r="ETS25" s="1117"/>
      <c r="ETT25" s="1117"/>
      <c r="ETU25" s="1117"/>
      <c r="ETV25" s="1117"/>
      <c r="ETW25" s="1117"/>
      <c r="ETX25" s="1117"/>
      <c r="ETY25" s="1117"/>
      <c r="ETZ25" s="1117"/>
      <c r="EUA25" s="1117"/>
      <c r="EUB25" s="1117"/>
      <c r="EUC25" s="1117"/>
      <c r="EUD25" s="1117"/>
      <c r="EUE25" s="1117"/>
      <c r="EUF25" s="1117"/>
      <c r="EUG25" s="1117"/>
      <c r="EUH25" s="1117"/>
      <c r="EUI25" s="1117"/>
      <c r="EUJ25" s="1117"/>
      <c r="EUK25" s="1117"/>
      <c r="EUL25" s="1117"/>
      <c r="EUM25" s="1117"/>
      <c r="EUN25" s="1117"/>
      <c r="EUO25" s="1117"/>
      <c r="EUP25" s="1117"/>
      <c r="EUQ25" s="1117"/>
      <c r="EUR25" s="1117"/>
      <c r="EUS25" s="1117"/>
      <c r="EUT25" s="1117"/>
      <c r="EUU25" s="1117"/>
      <c r="EUV25" s="1117"/>
      <c r="EUW25" s="1117"/>
      <c r="EUX25" s="1117"/>
      <c r="EUY25" s="1117"/>
      <c r="EUZ25" s="1117"/>
      <c r="EVA25" s="1117"/>
      <c r="EVB25" s="1117"/>
      <c r="EVC25" s="1117"/>
      <c r="EVD25" s="1117"/>
      <c r="EVE25" s="1117"/>
      <c r="EVF25" s="1117"/>
      <c r="EVG25" s="1117"/>
      <c r="EVH25" s="1117"/>
      <c r="EVI25" s="1117"/>
      <c r="EVJ25" s="1117"/>
      <c r="EVK25" s="1117"/>
      <c r="EVL25" s="1117"/>
      <c r="EVM25" s="1117"/>
      <c r="EVN25" s="1117"/>
      <c r="EVO25" s="1117"/>
      <c r="EVP25" s="1117"/>
      <c r="EVQ25" s="1117"/>
      <c r="EVR25" s="1117"/>
      <c r="EVS25" s="1117"/>
      <c r="EVT25" s="1117"/>
      <c r="EVU25" s="1117"/>
      <c r="EVV25" s="1117"/>
      <c r="EVW25" s="1117"/>
      <c r="EVX25" s="1117"/>
      <c r="EVY25" s="1117"/>
      <c r="EVZ25" s="1117"/>
      <c r="EWA25" s="1117"/>
      <c r="EWB25" s="1117"/>
      <c r="EWC25" s="1117"/>
      <c r="EWD25" s="1117"/>
      <c r="EWE25" s="1117"/>
      <c r="EWF25" s="1117"/>
      <c r="EWG25" s="1117"/>
      <c r="EWH25" s="1117"/>
      <c r="EWI25" s="1117"/>
      <c r="EWJ25" s="1117"/>
      <c r="EWK25" s="1117"/>
      <c r="EWL25" s="1117"/>
      <c r="EWM25" s="1117"/>
      <c r="EWN25" s="1117"/>
      <c r="EWO25" s="1117"/>
      <c r="EWP25" s="1117"/>
      <c r="EWQ25" s="1117"/>
      <c r="EWR25" s="1117"/>
      <c r="EWS25" s="1117"/>
      <c r="EWT25" s="1117"/>
      <c r="EWU25" s="1117"/>
      <c r="EWV25" s="1117"/>
      <c r="EWW25" s="1117"/>
      <c r="EWX25" s="1117"/>
      <c r="EWY25" s="1117"/>
      <c r="EWZ25" s="1117"/>
      <c r="EXA25" s="1117"/>
      <c r="EXB25" s="1117"/>
      <c r="EXC25" s="1117"/>
      <c r="EXD25" s="1117"/>
      <c r="EXE25" s="1117"/>
      <c r="EXF25" s="1117"/>
      <c r="EXG25" s="1117"/>
      <c r="EXH25" s="1117"/>
      <c r="EXI25" s="1117"/>
      <c r="EXJ25" s="1117"/>
      <c r="EXK25" s="1117"/>
      <c r="EXL25" s="1117"/>
      <c r="EXM25" s="1117"/>
      <c r="EXN25" s="1117"/>
      <c r="EXO25" s="1117"/>
      <c r="EXP25" s="1117"/>
      <c r="EXQ25" s="1117"/>
      <c r="EXR25" s="1117"/>
      <c r="EXS25" s="1117"/>
      <c r="EXT25" s="1117"/>
      <c r="EXU25" s="1117"/>
      <c r="EXV25" s="1117"/>
      <c r="EXW25" s="1117"/>
      <c r="EXX25" s="1117"/>
      <c r="EXY25" s="1117"/>
      <c r="EXZ25" s="1117"/>
      <c r="EYA25" s="1117"/>
      <c r="EYB25" s="1117"/>
      <c r="EYC25" s="1117"/>
      <c r="EYD25" s="1117"/>
      <c r="EYE25" s="1117"/>
      <c r="EYF25" s="1117"/>
      <c r="EYG25" s="1117"/>
      <c r="EYH25" s="1117"/>
      <c r="EYI25" s="1117"/>
      <c r="EYJ25" s="1117"/>
      <c r="EYK25" s="1117"/>
      <c r="EYL25" s="1117"/>
      <c r="EYM25" s="1117"/>
      <c r="EYN25" s="1117"/>
      <c r="EYO25" s="1117"/>
      <c r="EYP25" s="1117"/>
      <c r="EYQ25" s="1117"/>
      <c r="EYR25" s="1117"/>
      <c r="EYS25" s="1117"/>
      <c r="EYT25" s="1117"/>
      <c r="EYU25" s="1117"/>
      <c r="EYV25" s="1117"/>
      <c r="EYW25" s="1117"/>
      <c r="EYX25" s="1117"/>
      <c r="EYY25" s="1117"/>
      <c r="EYZ25" s="1117"/>
      <c r="EZA25" s="1117"/>
      <c r="EZB25" s="1117"/>
      <c r="EZC25" s="1117"/>
      <c r="EZD25" s="1117"/>
      <c r="EZE25" s="1117"/>
      <c r="EZF25" s="1117"/>
      <c r="EZG25" s="1117"/>
      <c r="EZH25" s="1117"/>
      <c r="EZI25" s="1117"/>
      <c r="EZJ25" s="1117"/>
      <c r="EZK25" s="1117"/>
      <c r="EZL25" s="1117"/>
      <c r="EZM25" s="1117"/>
      <c r="EZN25" s="1117"/>
      <c r="EZO25" s="1117"/>
      <c r="EZP25" s="1117"/>
      <c r="EZQ25" s="1117"/>
      <c r="EZR25" s="1117"/>
      <c r="EZS25" s="1117"/>
      <c r="EZT25" s="1117"/>
      <c r="EZU25" s="1117"/>
      <c r="EZV25" s="1117"/>
      <c r="EZW25" s="1117"/>
      <c r="EZX25" s="1117"/>
      <c r="EZY25" s="1117"/>
      <c r="EZZ25" s="1117"/>
      <c r="FAA25" s="1117"/>
      <c r="FAB25" s="1117"/>
      <c r="FAC25" s="1117"/>
      <c r="FAD25" s="1117"/>
      <c r="FAE25" s="1117"/>
      <c r="FAF25" s="1117"/>
      <c r="FAG25" s="1117"/>
      <c r="FAH25" s="1117"/>
      <c r="FAI25" s="1117"/>
      <c r="FAJ25" s="1117"/>
      <c r="FAK25" s="1117"/>
      <c r="FAL25" s="1117"/>
      <c r="FAM25" s="1117"/>
      <c r="FAN25" s="1117"/>
      <c r="FAO25" s="1117"/>
      <c r="FAP25" s="1117"/>
      <c r="FAQ25" s="1117"/>
      <c r="FAR25" s="1117"/>
      <c r="FAS25" s="1117"/>
      <c r="FAT25" s="1117"/>
      <c r="FAU25" s="1117"/>
      <c r="FAV25" s="1117"/>
      <c r="FAW25" s="1117"/>
      <c r="FAX25" s="1117"/>
      <c r="FAY25" s="1117"/>
      <c r="FAZ25" s="1117"/>
      <c r="FBA25" s="1117"/>
      <c r="FBB25" s="1117"/>
      <c r="FBC25" s="1117"/>
      <c r="FBD25" s="1117"/>
      <c r="FBE25" s="1117"/>
      <c r="FBF25" s="1117"/>
      <c r="FBG25" s="1117"/>
      <c r="FBH25" s="1117"/>
      <c r="FBI25" s="1117"/>
      <c r="FBJ25" s="1117"/>
      <c r="FBK25" s="1117"/>
      <c r="FBL25" s="1117"/>
      <c r="FBM25" s="1117"/>
      <c r="FBN25" s="1117"/>
      <c r="FBO25" s="1117"/>
      <c r="FBP25" s="1117"/>
      <c r="FBQ25" s="1117"/>
      <c r="FBR25" s="1117"/>
      <c r="FBS25" s="1117"/>
      <c r="FBT25" s="1117"/>
      <c r="FBU25" s="1117"/>
      <c r="FBV25" s="1117"/>
      <c r="FBW25" s="1117"/>
      <c r="FBX25" s="1117"/>
      <c r="FBY25" s="1117"/>
      <c r="FBZ25" s="1117"/>
      <c r="FCA25" s="1117"/>
      <c r="FCB25" s="1117"/>
      <c r="FCC25" s="1117"/>
      <c r="FCD25" s="1117"/>
      <c r="FCE25" s="1117"/>
      <c r="FCF25" s="1117"/>
      <c r="FCG25" s="1117"/>
      <c r="FCH25" s="1117"/>
      <c r="FCI25" s="1117"/>
      <c r="FCJ25" s="1117"/>
      <c r="FCK25" s="1117"/>
      <c r="FCL25" s="1117"/>
      <c r="FCM25" s="1117"/>
      <c r="FCN25" s="1117"/>
      <c r="FCO25" s="1117"/>
      <c r="FCP25" s="1117"/>
      <c r="FCQ25" s="1117"/>
      <c r="FCR25" s="1117"/>
      <c r="FCS25" s="1117"/>
      <c r="FCT25" s="1117"/>
      <c r="FCU25" s="1117"/>
      <c r="FCV25" s="1117"/>
      <c r="FCW25" s="1117"/>
      <c r="FCX25" s="1117"/>
      <c r="FCY25" s="1117"/>
      <c r="FCZ25" s="1117"/>
      <c r="FDA25" s="1117"/>
      <c r="FDB25" s="1117"/>
      <c r="FDC25" s="1117"/>
      <c r="FDD25" s="1117"/>
      <c r="FDE25" s="1117"/>
      <c r="FDF25" s="1117"/>
      <c r="FDG25" s="1117"/>
      <c r="FDH25" s="1117"/>
      <c r="FDI25" s="1117"/>
      <c r="FDJ25" s="1117"/>
      <c r="FDK25" s="1117"/>
      <c r="FDL25" s="1117"/>
      <c r="FDM25" s="1117"/>
      <c r="FDN25" s="1117"/>
      <c r="FDO25" s="1117"/>
      <c r="FDP25" s="1117"/>
      <c r="FDQ25" s="1117"/>
      <c r="FDR25" s="1117"/>
      <c r="FDS25" s="1117"/>
      <c r="FDT25" s="1117"/>
      <c r="FDU25" s="1117"/>
      <c r="FDV25" s="1117"/>
      <c r="FDW25" s="1117"/>
      <c r="FDX25" s="1117"/>
      <c r="FDY25" s="1117"/>
      <c r="FDZ25" s="1117"/>
      <c r="FEA25" s="1117"/>
      <c r="FEB25" s="1117"/>
      <c r="FEC25" s="1117"/>
      <c r="FED25" s="1117"/>
      <c r="FEE25" s="1117"/>
      <c r="FEF25" s="1117"/>
      <c r="FEG25" s="1117"/>
      <c r="FEH25" s="1117"/>
      <c r="FEI25" s="1117"/>
      <c r="FEJ25" s="1117"/>
      <c r="FEK25" s="1117"/>
      <c r="FEL25" s="1117"/>
      <c r="FEM25" s="1117"/>
      <c r="FEN25" s="1117"/>
      <c r="FEO25" s="1117"/>
      <c r="FEP25" s="1117"/>
      <c r="FEQ25" s="1117"/>
      <c r="FER25" s="1117"/>
      <c r="FES25" s="1117"/>
      <c r="FET25" s="1117"/>
      <c r="FEU25" s="1117"/>
      <c r="FEV25" s="1117"/>
      <c r="FEW25" s="1117"/>
      <c r="FEX25" s="1117"/>
      <c r="FEY25" s="1117"/>
      <c r="FEZ25" s="1117"/>
      <c r="FFA25" s="1117"/>
      <c r="FFB25" s="1117"/>
      <c r="FFC25" s="1117"/>
      <c r="FFD25" s="1117"/>
      <c r="FFE25" s="1117"/>
      <c r="FFF25" s="1117"/>
      <c r="FFG25" s="1117"/>
      <c r="FFH25" s="1117"/>
      <c r="FFI25" s="1117"/>
      <c r="FFJ25" s="1117"/>
      <c r="FFK25" s="1117"/>
      <c r="FFL25" s="1117"/>
      <c r="FFM25" s="1117"/>
      <c r="FFN25" s="1117"/>
      <c r="FFO25" s="1117"/>
      <c r="FFP25" s="1117"/>
      <c r="FFQ25" s="1117"/>
      <c r="FFR25" s="1117"/>
      <c r="FFS25" s="1117"/>
      <c r="FFT25" s="1117"/>
      <c r="FFU25" s="1117"/>
      <c r="FFV25" s="1117"/>
      <c r="FFW25" s="1117"/>
      <c r="FFX25" s="1117"/>
      <c r="FFY25" s="1117"/>
      <c r="FFZ25" s="1117"/>
      <c r="FGA25" s="1117"/>
      <c r="FGB25" s="1117"/>
      <c r="FGC25" s="1117"/>
      <c r="FGD25" s="1117"/>
      <c r="FGE25" s="1117"/>
      <c r="FGF25" s="1117"/>
      <c r="FGG25" s="1117"/>
      <c r="FGH25" s="1117"/>
      <c r="FGI25" s="1117"/>
      <c r="FGJ25" s="1117"/>
      <c r="FGK25" s="1117"/>
      <c r="FGL25" s="1117"/>
      <c r="FGM25" s="1117"/>
      <c r="FGN25" s="1117"/>
      <c r="FGO25" s="1117"/>
      <c r="FGP25" s="1117"/>
      <c r="FGQ25" s="1117"/>
      <c r="FGR25" s="1117"/>
      <c r="FGS25" s="1117"/>
      <c r="FGT25" s="1117"/>
      <c r="FGU25" s="1117"/>
      <c r="FGV25" s="1117"/>
      <c r="FGW25" s="1117"/>
      <c r="FGX25" s="1117"/>
      <c r="FGY25" s="1117"/>
      <c r="FGZ25" s="1117"/>
      <c r="FHA25" s="1117"/>
      <c r="FHB25" s="1117"/>
      <c r="FHC25" s="1117"/>
      <c r="FHD25" s="1117"/>
      <c r="FHE25" s="1117"/>
      <c r="FHF25" s="1117"/>
      <c r="FHG25" s="1117"/>
      <c r="FHH25" s="1117"/>
      <c r="FHI25" s="1117"/>
      <c r="FHJ25" s="1117"/>
      <c r="FHK25" s="1117"/>
      <c r="FHL25" s="1117"/>
      <c r="FHM25" s="1117"/>
      <c r="FHN25" s="1117"/>
      <c r="FHO25" s="1117"/>
      <c r="FHP25" s="1117"/>
      <c r="FHQ25" s="1117"/>
      <c r="FHR25" s="1117"/>
      <c r="FHS25" s="1117"/>
      <c r="FHT25" s="1117"/>
      <c r="FHU25" s="1117"/>
      <c r="FHV25" s="1117"/>
      <c r="FHW25" s="1117"/>
      <c r="FHX25" s="1117"/>
      <c r="FHY25" s="1117"/>
      <c r="FHZ25" s="1117"/>
      <c r="FIA25" s="1117"/>
      <c r="FIB25" s="1117"/>
      <c r="FIC25" s="1117"/>
      <c r="FID25" s="1117"/>
      <c r="FIE25" s="1117"/>
      <c r="FIF25" s="1117"/>
      <c r="FIG25" s="1117"/>
      <c r="FIH25" s="1117"/>
      <c r="FII25" s="1117"/>
      <c r="FIJ25" s="1117"/>
      <c r="FIK25" s="1117"/>
      <c r="FIL25" s="1117"/>
      <c r="FIM25" s="1117"/>
      <c r="FIN25" s="1117"/>
      <c r="FIO25" s="1117"/>
      <c r="FIP25" s="1117"/>
      <c r="FIQ25" s="1117"/>
      <c r="FIR25" s="1117"/>
      <c r="FIS25" s="1117"/>
      <c r="FIT25" s="1117"/>
      <c r="FIU25" s="1117"/>
      <c r="FIV25" s="1117"/>
      <c r="FIW25" s="1117"/>
      <c r="FIX25" s="1117"/>
      <c r="FIY25" s="1117"/>
      <c r="FIZ25" s="1117"/>
      <c r="FJA25" s="1117"/>
      <c r="FJB25" s="1117"/>
      <c r="FJC25" s="1117"/>
      <c r="FJD25" s="1117"/>
      <c r="FJE25" s="1117"/>
      <c r="FJF25" s="1117"/>
      <c r="FJG25" s="1117"/>
      <c r="FJH25" s="1117"/>
      <c r="FJI25" s="1117"/>
      <c r="FJJ25" s="1117"/>
      <c r="FJK25" s="1117"/>
      <c r="FJL25" s="1117"/>
      <c r="FJM25" s="1117"/>
      <c r="FJN25" s="1117"/>
      <c r="FJO25" s="1117"/>
      <c r="FJP25" s="1117"/>
      <c r="FJQ25" s="1117"/>
      <c r="FJR25" s="1117"/>
      <c r="FJS25" s="1117"/>
      <c r="FJT25" s="1117"/>
      <c r="FJU25" s="1117"/>
      <c r="FJV25" s="1117"/>
      <c r="FJW25" s="1117"/>
      <c r="FJX25" s="1117"/>
      <c r="FJY25" s="1117"/>
      <c r="FJZ25" s="1117"/>
      <c r="FKA25" s="1117"/>
      <c r="FKB25" s="1117"/>
      <c r="FKC25" s="1117"/>
      <c r="FKD25" s="1117"/>
      <c r="FKE25" s="1117"/>
      <c r="FKF25" s="1117"/>
      <c r="FKG25" s="1117"/>
      <c r="FKH25" s="1117"/>
      <c r="FKI25" s="1117"/>
      <c r="FKJ25" s="1117"/>
      <c r="FKK25" s="1117"/>
      <c r="FKL25" s="1117"/>
      <c r="FKM25" s="1117"/>
      <c r="FKN25" s="1117"/>
      <c r="FKO25" s="1117"/>
      <c r="FKP25" s="1117"/>
      <c r="FKQ25" s="1117"/>
      <c r="FKR25" s="1117"/>
      <c r="FKS25" s="1117"/>
      <c r="FKT25" s="1117"/>
      <c r="FKU25" s="1117"/>
      <c r="FKV25" s="1117"/>
      <c r="FKW25" s="1117"/>
      <c r="FKX25" s="1117"/>
      <c r="FKY25" s="1117"/>
      <c r="FKZ25" s="1117"/>
      <c r="FLA25" s="1117"/>
      <c r="FLB25" s="1117"/>
      <c r="FLC25" s="1117"/>
      <c r="FLD25" s="1117"/>
      <c r="FLE25" s="1117"/>
      <c r="FLF25" s="1117"/>
      <c r="FLG25" s="1117"/>
      <c r="FLH25" s="1117"/>
      <c r="FLI25" s="1117"/>
      <c r="FLJ25" s="1117"/>
      <c r="FLK25" s="1117"/>
      <c r="FLL25" s="1117"/>
      <c r="FLM25" s="1117"/>
      <c r="FLN25" s="1117"/>
      <c r="FLO25" s="1117"/>
      <c r="FLP25" s="1117"/>
      <c r="FLQ25" s="1117"/>
      <c r="FLR25" s="1117"/>
      <c r="FLS25" s="1117"/>
      <c r="FLT25" s="1117"/>
      <c r="FLU25" s="1117"/>
      <c r="FLV25" s="1117"/>
      <c r="FLW25" s="1117"/>
      <c r="FLX25" s="1117"/>
      <c r="FLY25" s="1117"/>
      <c r="FLZ25" s="1117"/>
      <c r="FMA25" s="1117"/>
      <c r="FMB25" s="1117"/>
      <c r="FMC25" s="1117"/>
      <c r="FMD25" s="1117"/>
      <c r="FME25" s="1117"/>
      <c r="FMF25" s="1117"/>
      <c r="FMG25" s="1117"/>
      <c r="FMH25" s="1117"/>
      <c r="FMI25" s="1117"/>
      <c r="FMJ25" s="1117"/>
      <c r="FMK25" s="1117"/>
      <c r="FML25" s="1117"/>
      <c r="FMM25" s="1117"/>
      <c r="FMN25" s="1117"/>
      <c r="FMO25" s="1117"/>
      <c r="FMP25" s="1117"/>
      <c r="FMQ25" s="1117"/>
      <c r="FMR25" s="1117"/>
      <c r="FMS25" s="1117"/>
      <c r="FMT25" s="1117"/>
      <c r="FMU25" s="1117"/>
      <c r="FMV25" s="1117"/>
      <c r="FMW25" s="1117"/>
      <c r="FMX25" s="1117"/>
      <c r="FMY25" s="1117"/>
      <c r="FMZ25" s="1117"/>
      <c r="FNA25" s="1117"/>
      <c r="FNB25" s="1117"/>
      <c r="FNC25" s="1117"/>
      <c r="FND25" s="1117"/>
      <c r="FNE25" s="1117"/>
      <c r="FNF25" s="1117"/>
      <c r="FNG25" s="1117"/>
      <c r="FNH25" s="1117"/>
      <c r="FNI25" s="1117"/>
      <c r="FNJ25" s="1117"/>
      <c r="FNK25" s="1117"/>
      <c r="FNL25" s="1117"/>
      <c r="FNM25" s="1117"/>
      <c r="FNN25" s="1117"/>
      <c r="FNO25" s="1117"/>
      <c r="FNP25" s="1117"/>
      <c r="FNQ25" s="1117"/>
      <c r="FNR25" s="1117"/>
      <c r="FNS25" s="1117"/>
      <c r="FNT25" s="1117"/>
      <c r="FNU25" s="1117"/>
      <c r="FNV25" s="1117"/>
      <c r="FNW25" s="1117"/>
      <c r="FNX25" s="1117"/>
      <c r="FNY25" s="1117"/>
      <c r="FNZ25" s="1117"/>
      <c r="FOA25" s="1117"/>
      <c r="FOB25" s="1117"/>
      <c r="FOC25" s="1117"/>
      <c r="FOD25" s="1117"/>
      <c r="FOE25" s="1117"/>
      <c r="FOF25" s="1117"/>
      <c r="FOG25" s="1117"/>
      <c r="FOH25" s="1117"/>
      <c r="FOI25" s="1117"/>
      <c r="FOJ25" s="1117"/>
      <c r="FOK25" s="1117"/>
      <c r="FOL25" s="1117"/>
      <c r="FOM25" s="1117"/>
      <c r="FON25" s="1117"/>
      <c r="FOO25" s="1117"/>
      <c r="FOP25" s="1117"/>
      <c r="FOQ25" s="1117"/>
      <c r="FOR25" s="1117"/>
      <c r="FOS25" s="1117"/>
      <c r="FOT25" s="1117"/>
      <c r="FOU25" s="1117"/>
      <c r="FOV25" s="1117"/>
      <c r="FOW25" s="1117"/>
      <c r="FOX25" s="1117"/>
      <c r="FOY25" s="1117"/>
      <c r="FOZ25" s="1117"/>
      <c r="FPA25" s="1117"/>
      <c r="FPB25" s="1117"/>
      <c r="FPC25" s="1117"/>
      <c r="FPD25" s="1117"/>
      <c r="FPE25" s="1117"/>
      <c r="FPF25" s="1117"/>
      <c r="FPG25" s="1117"/>
      <c r="FPH25" s="1117"/>
      <c r="FPI25" s="1117"/>
      <c r="FPJ25" s="1117"/>
      <c r="FPK25" s="1117"/>
      <c r="FPL25" s="1117"/>
      <c r="FPM25" s="1117"/>
      <c r="FPN25" s="1117"/>
      <c r="FPO25" s="1117"/>
      <c r="FPP25" s="1117"/>
      <c r="FPQ25" s="1117"/>
      <c r="FPR25" s="1117"/>
      <c r="FPS25" s="1117"/>
      <c r="FPT25" s="1117"/>
      <c r="FPU25" s="1117"/>
      <c r="FPV25" s="1117"/>
      <c r="FPW25" s="1117"/>
      <c r="FPX25" s="1117"/>
      <c r="FPY25" s="1117"/>
      <c r="FPZ25" s="1117"/>
      <c r="FQA25" s="1117"/>
      <c r="FQB25" s="1117"/>
      <c r="FQC25" s="1117"/>
      <c r="FQD25" s="1117"/>
      <c r="FQE25" s="1117"/>
      <c r="FQF25" s="1117"/>
      <c r="FQG25" s="1117"/>
      <c r="FQH25" s="1117"/>
      <c r="FQI25" s="1117"/>
      <c r="FQJ25" s="1117"/>
      <c r="FQK25" s="1117"/>
      <c r="FQL25" s="1117"/>
      <c r="FQM25" s="1117"/>
      <c r="FQN25" s="1117"/>
      <c r="FQO25" s="1117"/>
      <c r="FQP25" s="1117"/>
      <c r="FQQ25" s="1117"/>
      <c r="FQR25" s="1117"/>
      <c r="FQS25" s="1117"/>
      <c r="FQT25" s="1117"/>
      <c r="FQU25" s="1117"/>
      <c r="FQV25" s="1117"/>
      <c r="FQW25" s="1117"/>
      <c r="FQX25" s="1117"/>
      <c r="FQY25" s="1117"/>
      <c r="FQZ25" s="1117"/>
      <c r="FRA25" s="1117"/>
      <c r="FRB25" s="1117"/>
      <c r="FRC25" s="1117"/>
      <c r="FRD25" s="1117"/>
      <c r="FRE25" s="1117"/>
      <c r="FRF25" s="1117"/>
      <c r="FRG25" s="1117"/>
      <c r="FRH25" s="1117"/>
      <c r="FRI25" s="1117"/>
      <c r="FRJ25" s="1117"/>
      <c r="FRK25" s="1117"/>
      <c r="FRL25" s="1117"/>
      <c r="FRM25" s="1117"/>
      <c r="FRN25" s="1117"/>
      <c r="FRO25" s="1117"/>
      <c r="FRP25" s="1117"/>
      <c r="FRQ25" s="1117"/>
      <c r="FRR25" s="1117"/>
      <c r="FRS25" s="1117"/>
      <c r="FRT25" s="1117"/>
      <c r="FRU25" s="1117"/>
      <c r="FRV25" s="1117"/>
      <c r="FRW25" s="1117"/>
      <c r="FRX25" s="1117"/>
      <c r="FRY25" s="1117"/>
      <c r="FRZ25" s="1117"/>
      <c r="FSA25" s="1117"/>
      <c r="FSB25" s="1117"/>
      <c r="FSC25" s="1117"/>
      <c r="FSD25" s="1117"/>
      <c r="FSE25" s="1117"/>
      <c r="FSF25" s="1117"/>
      <c r="FSG25" s="1117"/>
      <c r="FSH25" s="1117"/>
      <c r="FSI25" s="1117"/>
      <c r="FSJ25" s="1117"/>
      <c r="FSK25" s="1117"/>
      <c r="FSL25" s="1117"/>
      <c r="FSM25" s="1117"/>
      <c r="FSN25" s="1117"/>
      <c r="FSO25" s="1117"/>
      <c r="FSP25" s="1117"/>
      <c r="FSQ25" s="1117"/>
      <c r="FSR25" s="1117"/>
      <c r="FSS25" s="1117"/>
      <c r="FST25" s="1117"/>
      <c r="FSU25" s="1117"/>
      <c r="FSV25" s="1117"/>
      <c r="FSW25" s="1117"/>
      <c r="FSX25" s="1117"/>
      <c r="FSY25" s="1117"/>
      <c r="FSZ25" s="1117"/>
      <c r="FTA25" s="1117"/>
      <c r="FTB25" s="1117"/>
      <c r="FTC25" s="1117"/>
      <c r="FTD25" s="1117"/>
      <c r="FTE25" s="1117"/>
      <c r="FTF25" s="1117"/>
      <c r="FTG25" s="1117"/>
      <c r="FTH25" s="1117"/>
      <c r="FTI25" s="1117"/>
      <c r="FTJ25" s="1117"/>
      <c r="FTK25" s="1117"/>
      <c r="FTL25" s="1117"/>
      <c r="FTM25" s="1117"/>
      <c r="FTN25" s="1117"/>
      <c r="FTO25" s="1117"/>
      <c r="FTP25" s="1117"/>
      <c r="FTQ25" s="1117"/>
      <c r="FTR25" s="1117"/>
      <c r="FTS25" s="1117"/>
      <c r="FTT25" s="1117"/>
      <c r="FTU25" s="1117"/>
      <c r="FTV25" s="1117"/>
      <c r="FTW25" s="1117"/>
      <c r="FTX25" s="1117"/>
      <c r="FTY25" s="1117"/>
      <c r="FTZ25" s="1117"/>
      <c r="FUA25" s="1117"/>
      <c r="FUB25" s="1117"/>
      <c r="FUC25" s="1117"/>
      <c r="FUD25" s="1117"/>
      <c r="FUE25" s="1117"/>
      <c r="FUF25" s="1117"/>
      <c r="FUG25" s="1117"/>
      <c r="FUH25" s="1117"/>
      <c r="FUI25" s="1117"/>
      <c r="FUJ25" s="1117"/>
      <c r="FUK25" s="1117"/>
      <c r="FUL25" s="1117"/>
      <c r="FUM25" s="1117"/>
      <c r="FUN25" s="1117"/>
      <c r="FUO25" s="1117"/>
      <c r="FUP25" s="1117"/>
      <c r="FUQ25" s="1117"/>
      <c r="FUR25" s="1117"/>
      <c r="FUS25" s="1117"/>
      <c r="FUT25" s="1117"/>
      <c r="FUU25" s="1117"/>
      <c r="FUV25" s="1117"/>
      <c r="FUW25" s="1117"/>
      <c r="FUX25" s="1117"/>
      <c r="FUY25" s="1117"/>
      <c r="FUZ25" s="1117"/>
      <c r="FVA25" s="1117"/>
      <c r="FVB25" s="1117"/>
      <c r="FVC25" s="1117"/>
      <c r="FVD25" s="1117"/>
      <c r="FVE25" s="1117"/>
      <c r="FVF25" s="1117"/>
      <c r="FVG25" s="1117"/>
      <c r="FVH25" s="1117"/>
      <c r="FVI25" s="1117"/>
      <c r="FVJ25" s="1117"/>
      <c r="FVK25" s="1117"/>
      <c r="FVL25" s="1117"/>
      <c r="FVM25" s="1117"/>
      <c r="FVN25" s="1117"/>
      <c r="FVO25" s="1117"/>
      <c r="FVP25" s="1117"/>
      <c r="FVQ25" s="1117"/>
      <c r="FVR25" s="1117"/>
      <c r="FVS25" s="1117"/>
      <c r="FVT25" s="1117"/>
      <c r="FVU25" s="1117"/>
      <c r="FVV25" s="1117"/>
      <c r="FVW25" s="1117"/>
      <c r="FVX25" s="1117"/>
      <c r="FVY25" s="1117"/>
      <c r="FVZ25" s="1117"/>
      <c r="FWA25" s="1117"/>
      <c r="FWB25" s="1117"/>
      <c r="FWC25" s="1117"/>
      <c r="FWD25" s="1117"/>
      <c r="FWE25" s="1117"/>
      <c r="FWF25" s="1117"/>
      <c r="FWG25" s="1117"/>
      <c r="FWH25" s="1117"/>
      <c r="FWI25" s="1117"/>
      <c r="FWJ25" s="1117"/>
      <c r="FWK25" s="1117"/>
      <c r="FWL25" s="1117"/>
      <c r="FWM25" s="1117"/>
      <c r="FWN25" s="1117"/>
      <c r="FWO25" s="1117"/>
      <c r="FWP25" s="1117"/>
      <c r="FWQ25" s="1117"/>
      <c r="FWR25" s="1117"/>
      <c r="FWS25" s="1117"/>
      <c r="FWT25" s="1117"/>
      <c r="FWU25" s="1117"/>
      <c r="FWV25" s="1117"/>
      <c r="FWW25" s="1117"/>
      <c r="FWX25" s="1117"/>
      <c r="FWY25" s="1117"/>
      <c r="FWZ25" s="1117"/>
      <c r="FXA25" s="1117"/>
      <c r="FXB25" s="1117"/>
      <c r="FXC25" s="1117"/>
      <c r="FXD25" s="1117"/>
      <c r="FXE25" s="1117"/>
      <c r="FXF25" s="1117"/>
      <c r="FXG25" s="1117"/>
      <c r="FXH25" s="1117"/>
      <c r="FXI25" s="1117"/>
      <c r="FXJ25" s="1117"/>
      <c r="FXK25" s="1117"/>
      <c r="FXL25" s="1117"/>
      <c r="FXM25" s="1117"/>
      <c r="FXN25" s="1117"/>
      <c r="FXO25" s="1117"/>
      <c r="FXP25" s="1117"/>
      <c r="FXQ25" s="1117"/>
      <c r="FXR25" s="1117"/>
      <c r="FXS25" s="1117"/>
      <c r="FXT25" s="1117"/>
      <c r="FXU25" s="1117"/>
      <c r="FXV25" s="1117"/>
      <c r="FXW25" s="1117"/>
      <c r="FXX25" s="1117"/>
      <c r="FXY25" s="1117"/>
      <c r="FXZ25" s="1117"/>
      <c r="FYA25" s="1117"/>
      <c r="FYB25" s="1117"/>
      <c r="FYC25" s="1117"/>
      <c r="FYD25" s="1117"/>
      <c r="FYE25" s="1117"/>
      <c r="FYF25" s="1117"/>
      <c r="FYG25" s="1117"/>
      <c r="FYH25" s="1117"/>
      <c r="FYI25" s="1117"/>
      <c r="FYJ25" s="1117"/>
      <c r="FYK25" s="1117"/>
      <c r="FYL25" s="1117"/>
      <c r="FYM25" s="1117"/>
      <c r="FYN25" s="1117"/>
      <c r="FYO25" s="1117"/>
      <c r="FYP25" s="1117"/>
      <c r="FYQ25" s="1117"/>
      <c r="FYR25" s="1117"/>
      <c r="FYS25" s="1117"/>
      <c r="FYT25" s="1117"/>
      <c r="FYU25" s="1117"/>
      <c r="FYV25" s="1117"/>
      <c r="FYW25" s="1117"/>
      <c r="FYX25" s="1117"/>
      <c r="FYY25" s="1117"/>
      <c r="FYZ25" s="1117"/>
      <c r="FZA25" s="1117"/>
      <c r="FZB25" s="1117"/>
      <c r="FZC25" s="1117"/>
      <c r="FZD25" s="1117"/>
      <c r="FZE25" s="1117"/>
      <c r="FZF25" s="1117"/>
      <c r="FZG25" s="1117"/>
      <c r="FZH25" s="1117"/>
      <c r="FZI25" s="1117"/>
      <c r="FZJ25" s="1117"/>
      <c r="FZK25" s="1117"/>
      <c r="FZL25" s="1117"/>
      <c r="FZM25" s="1117"/>
      <c r="FZN25" s="1117"/>
      <c r="FZO25" s="1117"/>
      <c r="FZP25" s="1117"/>
      <c r="FZQ25" s="1117"/>
      <c r="FZR25" s="1117"/>
      <c r="FZS25" s="1117"/>
      <c r="FZT25" s="1117"/>
      <c r="FZU25" s="1117"/>
      <c r="FZV25" s="1117"/>
      <c r="FZW25" s="1117"/>
      <c r="FZX25" s="1117"/>
      <c r="FZY25" s="1117"/>
      <c r="FZZ25" s="1117"/>
      <c r="GAA25" s="1117"/>
      <c r="GAB25" s="1117"/>
      <c r="GAC25" s="1117"/>
      <c r="GAD25" s="1117"/>
      <c r="GAE25" s="1117"/>
      <c r="GAF25" s="1117"/>
      <c r="GAG25" s="1117"/>
      <c r="GAH25" s="1117"/>
      <c r="GAI25" s="1117"/>
      <c r="GAJ25" s="1117"/>
      <c r="GAK25" s="1117"/>
      <c r="GAL25" s="1117"/>
      <c r="GAM25" s="1117"/>
      <c r="GAN25" s="1117"/>
      <c r="GAO25" s="1117"/>
      <c r="GAP25" s="1117"/>
      <c r="GAQ25" s="1117"/>
      <c r="GAR25" s="1117"/>
      <c r="GAS25" s="1117"/>
      <c r="GAT25" s="1117"/>
      <c r="GAU25" s="1117"/>
      <c r="GAV25" s="1117"/>
      <c r="GAW25" s="1117"/>
      <c r="GAX25" s="1117"/>
      <c r="GAY25" s="1117"/>
      <c r="GAZ25" s="1117"/>
      <c r="GBA25" s="1117"/>
      <c r="GBB25" s="1117"/>
      <c r="GBC25" s="1117"/>
      <c r="GBD25" s="1117"/>
      <c r="GBE25" s="1117"/>
      <c r="GBF25" s="1117"/>
      <c r="GBG25" s="1117"/>
      <c r="GBH25" s="1117"/>
      <c r="GBI25" s="1117"/>
      <c r="GBJ25" s="1117"/>
      <c r="GBK25" s="1117"/>
      <c r="GBL25" s="1117"/>
      <c r="GBM25" s="1117"/>
      <c r="GBN25" s="1117"/>
      <c r="GBO25" s="1117"/>
      <c r="GBP25" s="1117"/>
      <c r="GBQ25" s="1117"/>
      <c r="GBR25" s="1117"/>
      <c r="GBS25" s="1117"/>
      <c r="GBT25" s="1117"/>
      <c r="GBU25" s="1117"/>
      <c r="GBV25" s="1117"/>
      <c r="GBW25" s="1117"/>
      <c r="GBX25" s="1117"/>
      <c r="GBY25" s="1117"/>
      <c r="GBZ25" s="1117"/>
      <c r="GCA25" s="1117"/>
      <c r="GCB25" s="1117"/>
      <c r="GCC25" s="1117"/>
      <c r="GCD25" s="1117"/>
      <c r="GCE25" s="1117"/>
      <c r="GCF25" s="1117"/>
      <c r="GCG25" s="1117"/>
      <c r="GCH25" s="1117"/>
      <c r="GCI25" s="1117"/>
      <c r="GCJ25" s="1117"/>
      <c r="GCK25" s="1117"/>
      <c r="GCL25" s="1117"/>
      <c r="GCM25" s="1117"/>
      <c r="GCN25" s="1117"/>
      <c r="GCO25" s="1117"/>
      <c r="GCP25" s="1117"/>
      <c r="GCQ25" s="1117"/>
      <c r="GCR25" s="1117"/>
      <c r="GCS25" s="1117"/>
      <c r="GCT25" s="1117"/>
      <c r="GCU25" s="1117"/>
      <c r="GCV25" s="1117"/>
      <c r="GCW25" s="1117"/>
      <c r="GCX25" s="1117"/>
      <c r="GCY25" s="1117"/>
      <c r="GCZ25" s="1117"/>
      <c r="GDA25" s="1117"/>
      <c r="GDB25" s="1117"/>
      <c r="GDC25" s="1117"/>
      <c r="GDD25" s="1117"/>
      <c r="GDE25" s="1117"/>
      <c r="GDF25" s="1117"/>
      <c r="GDG25" s="1117"/>
      <c r="GDH25" s="1117"/>
      <c r="GDI25" s="1117"/>
      <c r="GDJ25" s="1117"/>
      <c r="GDK25" s="1117"/>
      <c r="GDL25" s="1117"/>
      <c r="GDM25" s="1117"/>
      <c r="GDN25" s="1117"/>
      <c r="GDO25" s="1117"/>
      <c r="GDP25" s="1117"/>
      <c r="GDQ25" s="1117"/>
      <c r="GDR25" s="1117"/>
      <c r="GDS25" s="1117"/>
      <c r="GDT25" s="1117"/>
      <c r="GDU25" s="1117"/>
      <c r="GDV25" s="1117"/>
      <c r="GDW25" s="1117"/>
      <c r="GDX25" s="1117"/>
      <c r="GDY25" s="1117"/>
      <c r="GDZ25" s="1117"/>
      <c r="GEA25" s="1117"/>
      <c r="GEB25" s="1117"/>
      <c r="GEC25" s="1117"/>
      <c r="GED25" s="1117"/>
      <c r="GEE25" s="1117"/>
      <c r="GEF25" s="1117"/>
      <c r="GEG25" s="1117"/>
      <c r="GEH25" s="1117"/>
      <c r="GEI25" s="1117"/>
      <c r="GEJ25" s="1117"/>
      <c r="GEK25" s="1117"/>
      <c r="GEL25" s="1117"/>
      <c r="GEM25" s="1117"/>
      <c r="GEN25" s="1117"/>
      <c r="GEO25" s="1117"/>
      <c r="GEP25" s="1117"/>
      <c r="GEQ25" s="1117"/>
      <c r="GER25" s="1117"/>
      <c r="GES25" s="1117"/>
      <c r="GET25" s="1117"/>
      <c r="GEU25" s="1117"/>
      <c r="GEV25" s="1117"/>
      <c r="GEW25" s="1117"/>
      <c r="GEX25" s="1117"/>
      <c r="GEY25" s="1117"/>
      <c r="GEZ25" s="1117"/>
      <c r="GFA25" s="1117"/>
      <c r="GFB25" s="1117"/>
      <c r="GFC25" s="1117"/>
      <c r="GFD25" s="1117"/>
      <c r="GFE25" s="1117"/>
      <c r="GFF25" s="1117"/>
      <c r="GFG25" s="1117"/>
      <c r="GFH25" s="1117"/>
      <c r="GFI25" s="1117"/>
      <c r="GFJ25" s="1117"/>
      <c r="GFK25" s="1117"/>
      <c r="GFL25" s="1117"/>
      <c r="GFM25" s="1117"/>
      <c r="GFN25" s="1117"/>
      <c r="GFO25" s="1117"/>
      <c r="GFP25" s="1117"/>
      <c r="GFQ25" s="1117"/>
      <c r="GFR25" s="1117"/>
      <c r="GFS25" s="1117"/>
      <c r="GFT25" s="1117"/>
      <c r="GFU25" s="1117"/>
      <c r="GFV25" s="1117"/>
      <c r="GFW25" s="1117"/>
      <c r="GFX25" s="1117"/>
      <c r="GFY25" s="1117"/>
      <c r="GFZ25" s="1117"/>
      <c r="GGA25" s="1117"/>
      <c r="GGB25" s="1117"/>
      <c r="GGC25" s="1117"/>
      <c r="GGD25" s="1117"/>
      <c r="GGE25" s="1117"/>
      <c r="GGF25" s="1117"/>
      <c r="GGG25" s="1117"/>
      <c r="GGH25" s="1117"/>
      <c r="GGI25" s="1117"/>
      <c r="GGJ25" s="1117"/>
      <c r="GGK25" s="1117"/>
      <c r="GGL25" s="1117"/>
      <c r="GGM25" s="1117"/>
      <c r="GGN25" s="1117"/>
      <c r="GGO25" s="1117"/>
      <c r="GGP25" s="1117"/>
      <c r="GGQ25" s="1117"/>
      <c r="GGR25" s="1117"/>
      <c r="GGS25" s="1117"/>
      <c r="GGT25" s="1117"/>
      <c r="GGU25" s="1117"/>
      <c r="GGV25" s="1117"/>
      <c r="GGW25" s="1117"/>
      <c r="GGX25" s="1117"/>
      <c r="GGY25" s="1117"/>
      <c r="GGZ25" s="1117"/>
      <c r="GHA25" s="1117"/>
      <c r="GHB25" s="1117"/>
      <c r="GHC25" s="1117"/>
      <c r="GHD25" s="1117"/>
      <c r="GHE25" s="1117"/>
      <c r="GHF25" s="1117"/>
      <c r="GHG25" s="1117"/>
      <c r="GHH25" s="1117"/>
      <c r="GHI25" s="1117"/>
      <c r="GHJ25" s="1117"/>
      <c r="GHK25" s="1117"/>
      <c r="GHL25" s="1117"/>
      <c r="GHM25" s="1117"/>
      <c r="GHN25" s="1117"/>
      <c r="GHO25" s="1117"/>
      <c r="GHP25" s="1117"/>
      <c r="GHQ25" s="1117"/>
      <c r="GHR25" s="1117"/>
      <c r="GHS25" s="1117"/>
      <c r="GHT25" s="1117"/>
      <c r="GHU25" s="1117"/>
      <c r="GHV25" s="1117"/>
      <c r="GHW25" s="1117"/>
      <c r="GHX25" s="1117"/>
      <c r="GHY25" s="1117"/>
      <c r="GHZ25" s="1117"/>
      <c r="GIA25" s="1117"/>
      <c r="GIB25" s="1117"/>
      <c r="GIC25" s="1117"/>
      <c r="GID25" s="1117"/>
      <c r="GIE25" s="1117"/>
      <c r="GIF25" s="1117"/>
      <c r="GIG25" s="1117"/>
      <c r="GIH25" s="1117"/>
      <c r="GII25" s="1117"/>
      <c r="GIJ25" s="1117"/>
      <c r="GIK25" s="1117"/>
      <c r="GIL25" s="1117"/>
      <c r="GIM25" s="1117"/>
      <c r="GIN25" s="1117"/>
      <c r="GIO25" s="1117"/>
      <c r="GIP25" s="1117"/>
      <c r="GIQ25" s="1117"/>
      <c r="GIR25" s="1117"/>
      <c r="GIS25" s="1117"/>
      <c r="GIT25" s="1117"/>
      <c r="GIU25" s="1117"/>
      <c r="GIV25" s="1117"/>
      <c r="GIW25" s="1117"/>
      <c r="GIX25" s="1117"/>
      <c r="GIY25" s="1117"/>
      <c r="GIZ25" s="1117"/>
      <c r="GJA25" s="1117"/>
      <c r="GJB25" s="1117"/>
      <c r="GJC25" s="1117"/>
      <c r="GJD25" s="1117"/>
      <c r="GJE25" s="1117"/>
      <c r="GJF25" s="1117"/>
      <c r="GJG25" s="1117"/>
      <c r="GJH25" s="1117"/>
      <c r="GJI25" s="1117"/>
      <c r="GJJ25" s="1117"/>
      <c r="GJK25" s="1117"/>
      <c r="GJL25" s="1117"/>
      <c r="GJM25" s="1117"/>
      <c r="GJN25" s="1117"/>
      <c r="GJO25" s="1117"/>
      <c r="GJP25" s="1117"/>
      <c r="GJQ25" s="1117"/>
      <c r="GJR25" s="1117"/>
      <c r="GJS25" s="1117"/>
      <c r="GJT25" s="1117"/>
      <c r="GJU25" s="1117"/>
      <c r="GJV25" s="1117"/>
      <c r="GJW25" s="1117"/>
      <c r="GJX25" s="1117"/>
      <c r="GJY25" s="1117"/>
      <c r="GJZ25" s="1117"/>
      <c r="GKA25" s="1117"/>
      <c r="GKB25" s="1117"/>
      <c r="GKC25" s="1117"/>
      <c r="GKD25" s="1117"/>
      <c r="GKE25" s="1117"/>
      <c r="GKF25" s="1117"/>
      <c r="GKG25" s="1117"/>
      <c r="GKH25" s="1117"/>
      <c r="GKI25" s="1117"/>
      <c r="GKJ25" s="1117"/>
      <c r="GKK25" s="1117"/>
      <c r="GKL25" s="1117"/>
      <c r="GKM25" s="1117"/>
      <c r="GKN25" s="1117"/>
      <c r="GKO25" s="1117"/>
      <c r="GKP25" s="1117"/>
      <c r="GKQ25" s="1117"/>
      <c r="GKR25" s="1117"/>
      <c r="GKS25" s="1117"/>
      <c r="GKT25" s="1117"/>
      <c r="GKU25" s="1117"/>
      <c r="GKV25" s="1117"/>
      <c r="GKW25" s="1117"/>
      <c r="GKX25" s="1117"/>
      <c r="GKY25" s="1117"/>
      <c r="GKZ25" s="1117"/>
      <c r="GLA25" s="1117"/>
      <c r="GLB25" s="1117"/>
      <c r="GLC25" s="1117"/>
      <c r="GLD25" s="1117"/>
      <c r="GLE25" s="1117"/>
      <c r="GLF25" s="1117"/>
      <c r="GLG25" s="1117"/>
      <c r="GLH25" s="1117"/>
      <c r="GLI25" s="1117"/>
      <c r="GLJ25" s="1117"/>
      <c r="GLK25" s="1117"/>
      <c r="GLL25" s="1117"/>
      <c r="GLM25" s="1117"/>
      <c r="GLN25" s="1117"/>
      <c r="GLO25" s="1117"/>
      <c r="GLP25" s="1117"/>
      <c r="GLQ25" s="1117"/>
      <c r="GLR25" s="1117"/>
      <c r="GLS25" s="1117"/>
      <c r="GLT25" s="1117"/>
      <c r="GLU25" s="1117"/>
      <c r="GLV25" s="1117"/>
      <c r="GLW25" s="1117"/>
      <c r="GLX25" s="1117"/>
      <c r="GLY25" s="1117"/>
      <c r="GLZ25" s="1117"/>
      <c r="GMA25" s="1117"/>
      <c r="GMB25" s="1117"/>
      <c r="GMC25" s="1117"/>
      <c r="GMD25" s="1117"/>
      <c r="GME25" s="1117"/>
      <c r="GMF25" s="1117"/>
      <c r="GMG25" s="1117"/>
      <c r="GMH25" s="1117"/>
      <c r="GMI25" s="1117"/>
      <c r="GMJ25" s="1117"/>
      <c r="GMK25" s="1117"/>
      <c r="GML25" s="1117"/>
      <c r="GMM25" s="1117"/>
      <c r="GMN25" s="1117"/>
      <c r="GMO25" s="1117"/>
      <c r="GMP25" s="1117"/>
      <c r="GMQ25" s="1117"/>
      <c r="GMR25" s="1117"/>
      <c r="GMS25" s="1117"/>
      <c r="GMT25" s="1117"/>
      <c r="GMU25" s="1117"/>
      <c r="GMV25" s="1117"/>
      <c r="GMW25" s="1117"/>
      <c r="GMX25" s="1117"/>
      <c r="GMY25" s="1117"/>
      <c r="GMZ25" s="1117"/>
      <c r="GNA25" s="1117"/>
      <c r="GNB25" s="1117"/>
      <c r="GNC25" s="1117"/>
      <c r="GND25" s="1117"/>
      <c r="GNE25" s="1117"/>
      <c r="GNF25" s="1117"/>
      <c r="GNG25" s="1117"/>
      <c r="GNH25" s="1117"/>
      <c r="GNI25" s="1117"/>
      <c r="GNJ25" s="1117"/>
      <c r="GNK25" s="1117"/>
      <c r="GNL25" s="1117"/>
      <c r="GNM25" s="1117"/>
      <c r="GNN25" s="1117"/>
      <c r="GNO25" s="1117"/>
      <c r="GNP25" s="1117"/>
      <c r="GNQ25" s="1117"/>
      <c r="GNR25" s="1117"/>
      <c r="GNS25" s="1117"/>
      <c r="GNT25" s="1117"/>
      <c r="GNU25" s="1117"/>
      <c r="GNV25" s="1117"/>
      <c r="GNW25" s="1117"/>
      <c r="GNX25" s="1117"/>
      <c r="GNY25" s="1117"/>
      <c r="GNZ25" s="1117"/>
      <c r="GOA25" s="1117"/>
      <c r="GOB25" s="1117"/>
      <c r="GOC25" s="1117"/>
      <c r="GOD25" s="1117"/>
      <c r="GOE25" s="1117"/>
      <c r="GOF25" s="1117"/>
      <c r="GOG25" s="1117"/>
      <c r="GOH25" s="1117"/>
      <c r="GOI25" s="1117"/>
      <c r="GOJ25" s="1117"/>
      <c r="GOK25" s="1117"/>
      <c r="GOL25" s="1117"/>
      <c r="GOM25" s="1117"/>
      <c r="GON25" s="1117"/>
      <c r="GOO25" s="1117"/>
      <c r="GOP25" s="1117"/>
      <c r="GOQ25" s="1117"/>
      <c r="GOR25" s="1117"/>
      <c r="GOS25" s="1117"/>
      <c r="GOT25" s="1117"/>
      <c r="GOU25" s="1117"/>
      <c r="GOV25" s="1117"/>
      <c r="GOW25" s="1117"/>
      <c r="GOX25" s="1117"/>
      <c r="GOY25" s="1117"/>
      <c r="GOZ25" s="1117"/>
      <c r="GPA25" s="1117"/>
      <c r="GPB25" s="1117"/>
      <c r="GPC25" s="1117"/>
      <c r="GPD25" s="1117"/>
      <c r="GPE25" s="1117"/>
      <c r="GPF25" s="1117"/>
      <c r="GPG25" s="1117"/>
      <c r="GPH25" s="1117"/>
      <c r="GPI25" s="1117"/>
      <c r="GPJ25" s="1117"/>
      <c r="GPK25" s="1117"/>
      <c r="GPL25" s="1117"/>
      <c r="GPM25" s="1117"/>
      <c r="GPN25" s="1117"/>
      <c r="GPO25" s="1117"/>
      <c r="GPP25" s="1117"/>
      <c r="GPQ25" s="1117"/>
      <c r="GPR25" s="1117"/>
      <c r="GPS25" s="1117"/>
      <c r="GPT25" s="1117"/>
      <c r="GPU25" s="1117"/>
      <c r="GPV25" s="1117"/>
      <c r="GPW25" s="1117"/>
      <c r="GPX25" s="1117"/>
      <c r="GPY25" s="1117"/>
      <c r="GPZ25" s="1117"/>
      <c r="GQA25" s="1117"/>
      <c r="GQB25" s="1117"/>
      <c r="GQC25" s="1117"/>
      <c r="GQD25" s="1117"/>
      <c r="GQE25" s="1117"/>
      <c r="GQF25" s="1117"/>
      <c r="GQG25" s="1117"/>
      <c r="GQH25" s="1117"/>
      <c r="GQI25" s="1117"/>
      <c r="GQJ25" s="1117"/>
      <c r="GQK25" s="1117"/>
      <c r="GQL25" s="1117"/>
      <c r="GQM25" s="1117"/>
      <c r="GQN25" s="1117"/>
      <c r="GQO25" s="1117"/>
      <c r="GQP25" s="1117"/>
      <c r="GQQ25" s="1117"/>
      <c r="GQR25" s="1117"/>
      <c r="GQS25" s="1117"/>
      <c r="GQT25" s="1117"/>
      <c r="GQU25" s="1117"/>
      <c r="GQV25" s="1117"/>
      <c r="GQW25" s="1117"/>
      <c r="GQX25" s="1117"/>
      <c r="GQY25" s="1117"/>
      <c r="GQZ25" s="1117"/>
      <c r="GRA25" s="1117"/>
      <c r="GRB25" s="1117"/>
      <c r="GRC25" s="1117"/>
      <c r="GRD25" s="1117"/>
      <c r="GRE25" s="1117"/>
      <c r="GRF25" s="1117"/>
      <c r="GRG25" s="1117"/>
      <c r="GRH25" s="1117"/>
      <c r="GRI25" s="1117"/>
      <c r="GRJ25" s="1117"/>
      <c r="GRK25" s="1117"/>
      <c r="GRL25" s="1117"/>
      <c r="GRM25" s="1117"/>
      <c r="GRN25" s="1117"/>
      <c r="GRO25" s="1117"/>
      <c r="GRP25" s="1117"/>
      <c r="GRQ25" s="1117"/>
      <c r="GRR25" s="1117"/>
      <c r="GRS25" s="1117"/>
      <c r="GRT25" s="1117"/>
      <c r="GRU25" s="1117"/>
      <c r="GRV25" s="1117"/>
      <c r="GRW25" s="1117"/>
      <c r="GRX25" s="1117"/>
      <c r="GRY25" s="1117"/>
      <c r="GRZ25" s="1117"/>
      <c r="GSA25" s="1117"/>
      <c r="GSB25" s="1117"/>
      <c r="GSC25" s="1117"/>
      <c r="GSD25" s="1117"/>
      <c r="GSE25" s="1117"/>
      <c r="GSF25" s="1117"/>
      <c r="GSG25" s="1117"/>
      <c r="GSH25" s="1117"/>
      <c r="GSI25" s="1117"/>
      <c r="GSJ25" s="1117"/>
      <c r="GSK25" s="1117"/>
      <c r="GSL25" s="1117"/>
      <c r="GSM25" s="1117"/>
      <c r="GSN25" s="1117"/>
      <c r="GSO25" s="1117"/>
      <c r="GSP25" s="1117"/>
      <c r="GSQ25" s="1117"/>
      <c r="GSR25" s="1117"/>
      <c r="GSS25" s="1117"/>
      <c r="GST25" s="1117"/>
      <c r="GSU25" s="1117"/>
      <c r="GSV25" s="1117"/>
      <c r="GSW25" s="1117"/>
      <c r="GSX25" s="1117"/>
      <c r="GSY25" s="1117"/>
      <c r="GSZ25" s="1117"/>
      <c r="GTA25" s="1117"/>
      <c r="GTB25" s="1117"/>
      <c r="GTC25" s="1117"/>
      <c r="GTD25" s="1117"/>
      <c r="GTE25" s="1117"/>
      <c r="GTF25" s="1117"/>
      <c r="GTG25" s="1117"/>
      <c r="GTH25" s="1117"/>
      <c r="GTI25" s="1117"/>
      <c r="GTJ25" s="1117"/>
      <c r="GTK25" s="1117"/>
      <c r="GTL25" s="1117"/>
      <c r="GTM25" s="1117"/>
      <c r="GTN25" s="1117"/>
      <c r="GTO25" s="1117"/>
      <c r="GTP25" s="1117"/>
      <c r="GTQ25" s="1117"/>
      <c r="GTR25" s="1117"/>
      <c r="GTS25" s="1117"/>
      <c r="GTT25" s="1117"/>
      <c r="GTU25" s="1117"/>
      <c r="GTV25" s="1117"/>
      <c r="GTW25" s="1117"/>
      <c r="GTX25" s="1117"/>
      <c r="GTY25" s="1117"/>
      <c r="GTZ25" s="1117"/>
      <c r="GUA25" s="1117"/>
      <c r="GUB25" s="1117"/>
      <c r="GUC25" s="1117"/>
      <c r="GUD25" s="1117"/>
      <c r="GUE25" s="1117"/>
      <c r="GUF25" s="1117"/>
      <c r="GUG25" s="1117"/>
      <c r="GUH25" s="1117"/>
      <c r="GUI25" s="1117"/>
      <c r="GUJ25" s="1117"/>
      <c r="GUK25" s="1117"/>
      <c r="GUL25" s="1117"/>
      <c r="GUM25" s="1117"/>
      <c r="GUN25" s="1117"/>
      <c r="GUO25" s="1117"/>
      <c r="GUP25" s="1117"/>
      <c r="GUQ25" s="1117"/>
      <c r="GUR25" s="1117"/>
      <c r="GUS25" s="1117"/>
      <c r="GUT25" s="1117"/>
      <c r="GUU25" s="1117"/>
      <c r="GUV25" s="1117"/>
      <c r="GUW25" s="1117"/>
      <c r="GUX25" s="1117"/>
      <c r="GUY25" s="1117"/>
      <c r="GUZ25" s="1117"/>
      <c r="GVA25" s="1117"/>
      <c r="GVB25" s="1117"/>
      <c r="GVC25" s="1117"/>
      <c r="GVD25" s="1117"/>
      <c r="GVE25" s="1117"/>
      <c r="GVF25" s="1117"/>
      <c r="GVG25" s="1117"/>
      <c r="GVH25" s="1117"/>
      <c r="GVI25" s="1117"/>
      <c r="GVJ25" s="1117"/>
      <c r="GVK25" s="1117"/>
      <c r="GVL25" s="1117"/>
      <c r="GVM25" s="1117"/>
      <c r="GVN25" s="1117"/>
      <c r="GVO25" s="1117"/>
      <c r="GVP25" s="1117"/>
      <c r="GVQ25" s="1117"/>
      <c r="GVR25" s="1117"/>
      <c r="GVS25" s="1117"/>
      <c r="GVT25" s="1117"/>
      <c r="GVU25" s="1117"/>
      <c r="GVV25" s="1117"/>
      <c r="GVW25" s="1117"/>
      <c r="GVX25" s="1117"/>
      <c r="GVY25" s="1117"/>
      <c r="GVZ25" s="1117"/>
      <c r="GWA25" s="1117"/>
      <c r="GWB25" s="1117"/>
      <c r="GWC25" s="1117"/>
      <c r="GWD25" s="1117"/>
      <c r="GWE25" s="1117"/>
      <c r="GWF25" s="1117"/>
      <c r="GWG25" s="1117"/>
      <c r="GWH25" s="1117"/>
      <c r="GWI25" s="1117"/>
      <c r="GWJ25" s="1117"/>
      <c r="GWK25" s="1117"/>
      <c r="GWL25" s="1117"/>
      <c r="GWM25" s="1117"/>
      <c r="GWN25" s="1117"/>
      <c r="GWO25" s="1117"/>
      <c r="GWP25" s="1117"/>
      <c r="GWQ25" s="1117"/>
      <c r="GWR25" s="1117"/>
      <c r="GWS25" s="1117"/>
      <c r="GWT25" s="1117"/>
      <c r="GWU25" s="1117"/>
      <c r="GWV25" s="1117"/>
      <c r="GWW25" s="1117"/>
      <c r="GWX25" s="1117"/>
      <c r="GWY25" s="1117"/>
      <c r="GWZ25" s="1117"/>
      <c r="GXA25" s="1117"/>
      <c r="GXB25" s="1117"/>
      <c r="GXC25" s="1117"/>
      <c r="GXD25" s="1117"/>
      <c r="GXE25" s="1117"/>
      <c r="GXF25" s="1117"/>
      <c r="GXG25" s="1117"/>
      <c r="GXH25" s="1117"/>
      <c r="GXI25" s="1117"/>
      <c r="GXJ25" s="1117"/>
      <c r="GXK25" s="1117"/>
      <c r="GXL25" s="1117"/>
      <c r="GXM25" s="1117"/>
      <c r="GXN25" s="1117"/>
      <c r="GXO25" s="1117"/>
      <c r="GXP25" s="1117"/>
      <c r="GXQ25" s="1117"/>
      <c r="GXR25" s="1117"/>
      <c r="GXS25" s="1117"/>
      <c r="GXT25" s="1117"/>
      <c r="GXU25" s="1117"/>
      <c r="GXV25" s="1117"/>
      <c r="GXW25" s="1117"/>
      <c r="GXX25" s="1117"/>
      <c r="GXY25" s="1117"/>
      <c r="GXZ25" s="1117"/>
      <c r="GYA25" s="1117"/>
      <c r="GYB25" s="1117"/>
      <c r="GYC25" s="1117"/>
      <c r="GYD25" s="1117"/>
      <c r="GYE25" s="1117"/>
      <c r="GYF25" s="1117"/>
      <c r="GYG25" s="1117"/>
      <c r="GYH25" s="1117"/>
      <c r="GYI25" s="1117"/>
      <c r="GYJ25" s="1117"/>
      <c r="GYK25" s="1117"/>
      <c r="GYL25" s="1117"/>
      <c r="GYM25" s="1117"/>
      <c r="GYN25" s="1117"/>
      <c r="GYO25" s="1117"/>
      <c r="GYP25" s="1117"/>
      <c r="GYQ25" s="1117"/>
      <c r="GYR25" s="1117"/>
      <c r="GYS25" s="1117"/>
      <c r="GYT25" s="1117"/>
      <c r="GYU25" s="1117"/>
      <c r="GYV25" s="1117"/>
      <c r="GYW25" s="1117"/>
      <c r="GYX25" s="1117"/>
      <c r="GYY25" s="1117"/>
      <c r="GYZ25" s="1117"/>
      <c r="GZA25" s="1117"/>
      <c r="GZB25" s="1117"/>
      <c r="GZC25" s="1117"/>
      <c r="GZD25" s="1117"/>
      <c r="GZE25" s="1117"/>
      <c r="GZF25" s="1117"/>
      <c r="GZG25" s="1117"/>
      <c r="GZH25" s="1117"/>
      <c r="GZI25" s="1117"/>
      <c r="GZJ25" s="1117"/>
      <c r="GZK25" s="1117"/>
      <c r="GZL25" s="1117"/>
      <c r="GZM25" s="1117"/>
      <c r="GZN25" s="1117"/>
      <c r="GZO25" s="1117"/>
      <c r="GZP25" s="1117"/>
      <c r="GZQ25" s="1117"/>
      <c r="GZR25" s="1117"/>
      <c r="GZS25" s="1117"/>
      <c r="GZT25" s="1117"/>
      <c r="GZU25" s="1117"/>
      <c r="GZV25" s="1117"/>
      <c r="GZW25" s="1117"/>
      <c r="GZX25" s="1117"/>
      <c r="GZY25" s="1117"/>
      <c r="GZZ25" s="1117"/>
      <c r="HAA25" s="1117"/>
      <c r="HAB25" s="1117"/>
      <c r="HAC25" s="1117"/>
      <c r="HAD25" s="1117"/>
      <c r="HAE25" s="1117"/>
      <c r="HAF25" s="1117"/>
      <c r="HAG25" s="1117"/>
      <c r="HAH25" s="1117"/>
      <c r="HAI25" s="1117"/>
      <c r="HAJ25" s="1117"/>
      <c r="HAK25" s="1117"/>
      <c r="HAL25" s="1117"/>
      <c r="HAM25" s="1117"/>
      <c r="HAN25" s="1117"/>
      <c r="HAO25" s="1117"/>
      <c r="HAP25" s="1117"/>
      <c r="HAQ25" s="1117"/>
      <c r="HAR25" s="1117"/>
      <c r="HAS25" s="1117"/>
      <c r="HAT25" s="1117"/>
      <c r="HAU25" s="1117"/>
      <c r="HAV25" s="1117"/>
      <c r="HAW25" s="1117"/>
      <c r="HAX25" s="1117"/>
      <c r="HAY25" s="1117"/>
      <c r="HAZ25" s="1117"/>
      <c r="HBA25" s="1117"/>
      <c r="HBB25" s="1117"/>
      <c r="HBC25" s="1117"/>
      <c r="HBD25" s="1117"/>
      <c r="HBE25" s="1117"/>
      <c r="HBF25" s="1117"/>
      <c r="HBG25" s="1117"/>
      <c r="HBH25" s="1117"/>
      <c r="HBI25" s="1117"/>
      <c r="HBJ25" s="1117"/>
      <c r="HBK25" s="1117"/>
      <c r="HBL25" s="1117"/>
      <c r="HBM25" s="1117"/>
      <c r="HBN25" s="1117"/>
      <c r="HBO25" s="1117"/>
      <c r="HBP25" s="1117"/>
      <c r="HBQ25" s="1117"/>
      <c r="HBR25" s="1117"/>
      <c r="HBS25" s="1117"/>
      <c r="HBT25" s="1117"/>
      <c r="HBU25" s="1117"/>
      <c r="HBV25" s="1117"/>
      <c r="HBW25" s="1117"/>
      <c r="HBX25" s="1117"/>
      <c r="HBY25" s="1117"/>
      <c r="HBZ25" s="1117"/>
      <c r="HCA25" s="1117"/>
      <c r="HCB25" s="1117"/>
      <c r="HCC25" s="1117"/>
      <c r="HCD25" s="1117"/>
      <c r="HCE25" s="1117"/>
      <c r="HCF25" s="1117"/>
      <c r="HCG25" s="1117"/>
      <c r="HCH25" s="1117"/>
      <c r="HCI25" s="1117"/>
      <c r="HCJ25" s="1117"/>
      <c r="HCK25" s="1117"/>
      <c r="HCL25" s="1117"/>
      <c r="HCM25" s="1117"/>
      <c r="HCN25" s="1117"/>
      <c r="HCO25" s="1117"/>
      <c r="HCP25" s="1117"/>
      <c r="HCQ25" s="1117"/>
      <c r="HCR25" s="1117"/>
      <c r="HCS25" s="1117"/>
      <c r="HCT25" s="1117"/>
      <c r="HCU25" s="1117"/>
      <c r="HCV25" s="1117"/>
      <c r="HCW25" s="1117"/>
      <c r="HCX25" s="1117"/>
      <c r="HCY25" s="1117"/>
      <c r="HCZ25" s="1117"/>
      <c r="HDA25" s="1117"/>
      <c r="HDB25" s="1117"/>
      <c r="HDC25" s="1117"/>
      <c r="HDD25" s="1117"/>
      <c r="HDE25" s="1117"/>
      <c r="HDF25" s="1117"/>
      <c r="HDG25" s="1117"/>
      <c r="HDH25" s="1117"/>
      <c r="HDI25" s="1117"/>
      <c r="HDJ25" s="1117"/>
      <c r="HDK25" s="1117"/>
      <c r="HDL25" s="1117"/>
      <c r="HDM25" s="1117"/>
      <c r="HDN25" s="1117"/>
      <c r="HDO25" s="1117"/>
      <c r="HDP25" s="1117"/>
      <c r="HDQ25" s="1117"/>
      <c r="HDR25" s="1117"/>
      <c r="HDS25" s="1117"/>
      <c r="HDT25" s="1117"/>
      <c r="HDU25" s="1117"/>
      <c r="HDV25" s="1117"/>
      <c r="HDW25" s="1117"/>
      <c r="HDX25" s="1117"/>
      <c r="HDY25" s="1117"/>
      <c r="HDZ25" s="1117"/>
      <c r="HEA25" s="1117"/>
      <c r="HEB25" s="1117"/>
      <c r="HEC25" s="1117"/>
      <c r="HED25" s="1117"/>
      <c r="HEE25" s="1117"/>
      <c r="HEF25" s="1117"/>
      <c r="HEG25" s="1117"/>
      <c r="HEH25" s="1117"/>
      <c r="HEI25" s="1117"/>
      <c r="HEJ25" s="1117"/>
      <c r="HEK25" s="1117"/>
      <c r="HEL25" s="1117"/>
      <c r="HEM25" s="1117"/>
      <c r="HEN25" s="1117"/>
      <c r="HEO25" s="1117"/>
      <c r="HEP25" s="1117"/>
      <c r="HEQ25" s="1117"/>
      <c r="HER25" s="1117"/>
      <c r="HES25" s="1117"/>
      <c r="HET25" s="1117"/>
      <c r="HEU25" s="1117"/>
      <c r="HEV25" s="1117"/>
      <c r="HEW25" s="1117"/>
      <c r="HEX25" s="1117"/>
      <c r="HEY25" s="1117"/>
      <c r="HEZ25" s="1117"/>
      <c r="HFA25" s="1117"/>
      <c r="HFB25" s="1117"/>
      <c r="HFC25" s="1117"/>
      <c r="HFD25" s="1117"/>
      <c r="HFE25" s="1117"/>
      <c r="HFF25" s="1117"/>
      <c r="HFG25" s="1117"/>
      <c r="HFH25" s="1117"/>
      <c r="HFI25" s="1117"/>
      <c r="HFJ25" s="1117"/>
      <c r="HFK25" s="1117"/>
      <c r="HFL25" s="1117"/>
      <c r="HFM25" s="1117"/>
      <c r="HFN25" s="1117"/>
      <c r="HFO25" s="1117"/>
      <c r="HFP25" s="1117"/>
      <c r="HFQ25" s="1117"/>
      <c r="HFR25" s="1117"/>
      <c r="HFS25" s="1117"/>
      <c r="HFT25" s="1117"/>
      <c r="HFU25" s="1117"/>
      <c r="HFV25" s="1117"/>
      <c r="HFW25" s="1117"/>
      <c r="HFX25" s="1117"/>
      <c r="HFY25" s="1117"/>
      <c r="HFZ25" s="1117"/>
      <c r="HGA25" s="1117"/>
      <c r="HGB25" s="1117"/>
      <c r="HGC25" s="1117"/>
      <c r="HGD25" s="1117"/>
      <c r="HGE25" s="1117"/>
      <c r="HGF25" s="1117"/>
      <c r="HGG25" s="1117"/>
      <c r="HGH25" s="1117"/>
      <c r="HGI25" s="1117"/>
      <c r="HGJ25" s="1117"/>
      <c r="HGK25" s="1117"/>
      <c r="HGL25" s="1117"/>
      <c r="HGM25" s="1117"/>
      <c r="HGN25" s="1117"/>
      <c r="HGO25" s="1117"/>
      <c r="HGP25" s="1117"/>
      <c r="HGQ25" s="1117"/>
      <c r="HGR25" s="1117"/>
      <c r="HGS25" s="1117"/>
      <c r="HGT25" s="1117"/>
      <c r="HGU25" s="1117"/>
      <c r="HGV25" s="1117"/>
      <c r="HGW25" s="1117"/>
      <c r="HGX25" s="1117"/>
      <c r="HGY25" s="1117"/>
      <c r="HGZ25" s="1117"/>
      <c r="HHA25" s="1117"/>
      <c r="HHB25" s="1117"/>
      <c r="HHC25" s="1117"/>
      <c r="HHD25" s="1117"/>
      <c r="HHE25" s="1117"/>
      <c r="HHF25" s="1117"/>
      <c r="HHG25" s="1117"/>
      <c r="HHH25" s="1117"/>
      <c r="HHI25" s="1117"/>
      <c r="HHJ25" s="1117"/>
      <c r="HHK25" s="1117"/>
      <c r="HHL25" s="1117"/>
      <c r="HHM25" s="1117"/>
      <c r="HHN25" s="1117"/>
      <c r="HHO25" s="1117"/>
      <c r="HHP25" s="1117"/>
      <c r="HHQ25" s="1117"/>
      <c r="HHR25" s="1117"/>
      <c r="HHS25" s="1117"/>
      <c r="HHT25" s="1117"/>
      <c r="HHU25" s="1117"/>
      <c r="HHV25" s="1117"/>
      <c r="HHW25" s="1117"/>
      <c r="HHX25" s="1117"/>
      <c r="HHY25" s="1117"/>
      <c r="HHZ25" s="1117"/>
      <c r="HIA25" s="1117"/>
      <c r="HIB25" s="1117"/>
      <c r="HIC25" s="1117"/>
      <c r="HID25" s="1117"/>
      <c r="HIE25" s="1117"/>
      <c r="HIF25" s="1117"/>
      <c r="HIG25" s="1117"/>
      <c r="HIH25" s="1117"/>
      <c r="HII25" s="1117"/>
      <c r="HIJ25" s="1117"/>
      <c r="HIK25" s="1117"/>
      <c r="HIL25" s="1117"/>
      <c r="HIM25" s="1117"/>
      <c r="HIN25" s="1117"/>
      <c r="HIO25" s="1117"/>
      <c r="HIP25" s="1117"/>
      <c r="HIQ25" s="1117"/>
      <c r="HIR25" s="1117"/>
      <c r="HIS25" s="1117"/>
      <c r="HIT25" s="1117"/>
      <c r="HIU25" s="1117"/>
      <c r="HIV25" s="1117"/>
      <c r="HIW25" s="1117"/>
      <c r="HIX25" s="1117"/>
      <c r="HIY25" s="1117"/>
      <c r="HIZ25" s="1117"/>
      <c r="HJA25" s="1117"/>
      <c r="HJB25" s="1117"/>
      <c r="HJC25" s="1117"/>
      <c r="HJD25" s="1117"/>
      <c r="HJE25" s="1117"/>
      <c r="HJF25" s="1117"/>
      <c r="HJG25" s="1117"/>
      <c r="HJH25" s="1117"/>
      <c r="HJI25" s="1117"/>
      <c r="HJJ25" s="1117"/>
      <c r="HJK25" s="1117"/>
      <c r="HJL25" s="1117"/>
      <c r="HJM25" s="1117"/>
      <c r="HJN25" s="1117"/>
      <c r="HJO25" s="1117"/>
      <c r="HJP25" s="1117"/>
      <c r="HJQ25" s="1117"/>
      <c r="HJR25" s="1117"/>
      <c r="HJS25" s="1117"/>
      <c r="HJT25" s="1117"/>
      <c r="HJU25" s="1117"/>
      <c r="HJV25" s="1117"/>
      <c r="HJW25" s="1117"/>
      <c r="HJX25" s="1117"/>
      <c r="HJY25" s="1117"/>
      <c r="HJZ25" s="1117"/>
      <c r="HKA25" s="1117"/>
      <c r="HKB25" s="1117"/>
      <c r="HKC25" s="1117"/>
      <c r="HKD25" s="1117"/>
      <c r="HKE25" s="1117"/>
      <c r="HKF25" s="1117"/>
      <c r="HKG25" s="1117"/>
      <c r="HKH25" s="1117"/>
      <c r="HKI25" s="1117"/>
      <c r="HKJ25" s="1117"/>
      <c r="HKK25" s="1117"/>
      <c r="HKL25" s="1117"/>
      <c r="HKM25" s="1117"/>
      <c r="HKN25" s="1117"/>
      <c r="HKO25" s="1117"/>
      <c r="HKP25" s="1117"/>
      <c r="HKQ25" s="1117"/>
      <c r="HKR25" s="1117"/>
      <c r="HKS25" s="1117"/>
      <c r="HKT25" s="1117"/>
      <c r="HKU25" s="1117"/>
      <c r="HKV25" s="1117"/>
      <c r="HKW25" s="1117"/>
      <c r="HKX25" s="1117"/>
      <c r="HKY25" s="1117"/>
      <c r="HKZ25" s="1117"/>
      <c r="HLA25" s="1117"/>
      <c r="HLB25" s="1117"/>
      <c r="HLC25" s="1117"/>
      <c r="HLD25" s="1117"/>
      <c r="HLE25" s="1117"/>
      <c r="HLF25" s="1117"/>
      <c r="HLG25" s="1117"/>
      <c r="HLH25" s="1117"/>
      <c r="HLI25" s="1117"/>
      <c r="HLJ25" s="1117"/>
      <c r="HLK25" s="1117"/>
      <c r="HLL25" s="1117"/>
      <c r="HLM25" s="1117"/>
      <c r="HLN25" s="1117"/>
      <c r="HLO25" s="1117"/>
      <c r="HLP25" s="1117"/>
      <c r="HLQ25" s="1117"/>
      <c r="HLR25" s="1117"/>
      <c r="HLS25" s="1117"/>
      <c r="HLT25" s="1117"/>
      <c r="HLU25" s="1117"/>
      <c r="HLV25" s="1117"/>
      <c r="HLW25" s="1117"/>
      <c r="HLX25" s="1117"/>
      <c r="HLY25" s="1117"/>
      <c r="HLZ25" s="1117"/>
      <c r="HMA25" s="1117"/>
      <c r="HMB25" s="1117"/>
      <c r="HMC25" s="1117"/>
      <c r="HMD25" s="1117"/>
      <c r="HME25" s="1117"/>
      <c r="HMF25" s="1117"/>
      <c r="HMG25" s="1117"/>
      <c r="HMH25" s="1117"/>
      <c r="HMI25" s="1117"/>
      <c r="HMJ25" s="1117"/>
      <c r="HMK25" s="1117"/>
      <c r="HML25" s="1117"/>
      <c r="HMM25" s="1117"/>
      <c r="HMN25" s="1117"/>
      <c r="HMO25" s="1117"/>
      <c r="HMP25" s="1117"/>
      <c r="HMQ25" s="1117"/>
      <c r="HMR25" s="1117"/>
      <c r="HMS25" s="1117"/>
      <c r="HMT25" s="1117"/>
      <c r="HMU25" s="1117"/>
      <c r="HMV25" s="1117"/>
      <c r="HMW25" s="1117"/>
      <c r="HMX25" s="1117"/>
      <c r="HMY25" s="1117"/>
      <c r="HMZ25" s="1117"/>
      <c r="HNA25" s="1117"/>
      <c r="HNB25" s="1117"/>
      <c r="HNC25" s="1117"/>
      <c r="HND25" s="1117"/>
      <c r="HNE25" s="1117"/>
      <c r="HNF25" s="1117"/>
      <c r="HNG25" s="1117"/>
      <c r="HNH25" s="1117"/>
      <c r="HNI25" s="1117"/>
      <c r="HNJ25" s="1117"/>
      <c r="HNK25" s="1117"/>
      <c r="HNL25" s="1117"/>
      <c r="HNM25" s="1117"/>
      <c r="HNN25" s="1117"/>
      <c r="HNO25" s="1117"/>
      <c r="HNP25" s="1117"/>
      <c r="HNQ25" s="1117"/>
      <c r="HNR25" s="1117"/>
      <c r="HNS25" s="1117"/>
      <c r="HNT25" s="1117"/>
      <c r="HNU25" s="1117"/>
      <c r="HNV25" s="1117"/>
      <c r="HNW25" s="1117"/>
      <c r="HNX25" s="1117"/>
      <c r="HNY25" s="1117"/>
      <c r="HNZ25" s="1117"/>
      <c r="HOA25" s="1117"/>
      <c r="HOB25" s="1117"/>
      <c r="HOC25" s="1117"/>
      <c r="HOD25" s="1117"/>
      <c r="HOE25" s="1117"/>
      <c r="HOF25" s="1117"/>
      <c r="HOG25" s="1117"/>
      <c r="HOH25" s="1117"/>
      <c r="HOI25" s="1117"/>
      <c r="HOJ25" s="1117"/>
      <c r="HOK25" s="1117"/>
      <c r="HOL25" s="1117"/>
      <c r="HOM25" s="1117"/>
      <c r="HON25" s="1117"/>
      <c r="HOO25" s="1117"/>
      <c r="HOP25" s="1117"/>
      <c r="HOQ25" s="1117"/>
      <c r="HOR25" s="1117"/>
      <c r="HOS25" s="1117"/>
      <c r="HOT25" s="1117"/>
      <c r="HOU25" s="1117"/>
      <c r="HOV25" s="1117"/>
      <c r="HOW25" s="1117"/>
      <c r="HOX25" s="1117"/>
      <c r="HOY25" s="1117"/>
      <c r="HOZ25" s="1117"/>
      <c r="HPA25" s="1117"/>
      <c r="HPB25" s="1117"/>
      <c r="HPC25" s="1117"/>
      <c r="HPD25" s="1117"/>
      <c r="HPE25" s="1117"/>
      <c r="HPF25" s="1117"/>
      <c r="HPG25" s="1117"/>
      <c r="HPH25" s="1117"/>
      <c r="HPI25" s="1117"/>
      <c r="HPJ25" s="1117"/>
      <c r="HPK25" s="1117"/>
      <c r="HPL25" s="1117"/>
      <c r="HPM25" s="1117"/>
      <c r="HPN25" s="1117"/>
      <c r="HPO25" s="1117"/>
      <c r="HPP25" s="1117"/>
      <c r="HPQ25" s="1117"/>
      <c r="HPR25" s="1117"/>
      <c r="HPS25" s="1117"/>
      <c r="HPT25" s="1117"/>
      <c r="HPU25" s="1117"/>
      <c r="HPV25" s="1117"/>
      <c r="HPW25" s="1117"/>
      <c r="HPX25" s="1117"/>
      <c r="HPY25" s="1117"/>
      <c r="HPZ25" s="1117"/>
      <c r="HQA25" s="1117"/>
      <c r="HQB25" s="1117"/>
      <c r="HQC25" s="1117"/>
      <c r="HQD25" s="1117"/>
      <c r="HQE25" s="1117"/>
      <c r="HQF25" s="1117"/>
      <c r="HQG25" s="1117"/>
      <c r="HQH25" s="1117"/>
      <c r="HQI25" s="1117"/>
      <c r="HQJ25" s="1117"/>
      <c r="HQK25" s="1117"/>
      <c r="HQL25" s="1117"/>
      <c r="HQM25" s="1117"/>
      <c r="HQN25" s="1117"/>
      <c r="HQO25" s="1117"/>
      <c r="HQP25" s="1117"/>
      <c r="HQQ25" s="1117"/>
      <c r="HQR25" s="1117"/>
      <c r="HQS25" s="1117"/>
      <c r="HQT25" s="1117"/>
      <c r="HQU25" s="1117"/>
      <c r="HQV25" s="1117"/>
      <c r="HQW25" s="1117"/>
      <c r="HQX25" s="1117"/>
      <c r="HQY25" s="1117"/>
      <c r="HQZ25" s="1117"/>
      <c r="HRA25" s="1117"/>
      <c r="HRB25" s="1117"/>
      <c r="HRC25" s="1117"/>
      <c r="HRD25" s="1117"/>
      <c r="HRE25" s="1117"/>
      <c r="HRF25" s="1117"/>
      <c r="HRG25" s="1117"/>
      <c r="HRH25" s="1117"/>
      <c r="HRI25" s="1117"/>
      <c r="HRJ25" s="1117"/>
      <c r="HRK25" s="1117"/>
      <c r="HRL25" s="1117"/>
      <c r="HRM25" s="1117"/>
      <c r="HRN25" s="1117"/>
      <c r="HRO25" s="1117"/>
      <c r="HRP25" s="1117"/>
      <c r="HRQ25" s="1117"/>
      <c r="HRR25" s="1117"/>
      <c r="HRS25" s="1117"/>
      <c r="HRT25" s="1117"/>
      <c r="HRU25" s="1117"/>
      <c r="HRV25" s="1117"/>
      <c r="HRW25" s="1117"/>
      <c r="HRX25" s="1117"/>
      <c r="HRY25" s="1117"/>
      <c r="HRZ25" s="1117"/>
      <c r="HSA25" s="1117"/>
      <c r="HSB25" s="1117"/>
      <c r="HSC25" s="1117"/>
      <c r="HSD25" s="1117"/>
      <c r="HSE25" s="1117"/>
      <c r="HSF25" s="1117"/>
      <c r="HSG25" s="1117"/>
      <c r="HSH25" s="1117"/>
      <c r="HSI25" s="1117"/>
      <c r="HSJ25" s="1117"/>
      <c r="HSK25" s="1117"/>
      <c r="HSL25" s="1117"/>
      <c r="HSM25" s="1117"/>
      <c r="HSN25" s="1117"/>
      <c r="HSO25" s="1117"/>
      <c r="HSP25" s="1117"/>
      <c r="HSQ25" s="1117"/>
      <c r="HSR25" s="1117"/>
      <c r="HSS25" s="1117"/>
      <c r="HST25" s="1117"/>
      <c r="HSU25" s="1117"/>
      <c r="HSV25" s="1117"/>
      <c r="HSW25" s="1117"/>
      <c r="HSX25" s="1117"/>
      <c r="HSY25" s="1117"/>
      <c r="HSZ25" s="1117"/>
      <c r="HTA25" s="1117"/>
      <c r="HTB25" s="1117"/>
      <c r="HTC25" s="1117"/>
      <c r="HTD25" s="1117"/>
      <c r="HTE25" s="1117"/>
      <c r="HTF25" s="1117"/>
      <c r="HTG25" s="1117"/>
      <c r="HTH25" s="1117"/>
      <c r="HTI25" s="1117"/>
      <c r="HTJ25" s="1117"/>
      <c r="HTK25" s="1117"/>
      <c r="HTL25" s="1117"/>
      <c r="HTM25" s="1117"/>
      <c r="HTN25" s="1117"/>
      <c r="HTO25" s="1117"/>
      <c r="HTP25" s="1117"/>
      <c r="HTQ25" s="1117"/>
      <c r="HTR25" s="1117"/>
      <c r="HTS25" s="1117"/>
      <c r="HTT25" s="1117"/>
      <c r="HTU25" s="1117"/>
      <c r="HTV25" s="1117"/>
      <c r="HTW25" s="1117"/>
      <c r="HTX25" s="1117"/>
      <c r="HTY25" s="1117"/>
      <c r="HTZ25" s="1117"/>
      <c r="HUA25" s="1117"/>
      <c r="HUB25" s="1117"/>
      <c r="HUC25" s="1117"/>
      <c r="HUD25" s="1117"/>
      <c r="HUE25" s="1117"/>
      <c r="HUF25" s="1117"/>
      <c r="HUG25" s="1117"/>
      <c r="HUH25" s="1117"/>
      <c r="HUI25" s="1117"/>
      <c r="HUJ25" s="1117"/>
      <c r="HUK25" s="1117"/>
      <c r="HUL25" s="1117"/>
      <c r="HUM25" s="1117"/>
      <c r="HUN25" s="1117"/>
      <c r="HUO25" s="1117"/>
      <c r="HUP25" s="1117"/>
      <c r="HUQ25" s="1117"/>
      <c r="HUR25" s="1117"/>
      <c r="HUS25" s="1117"/>
      <c r="HUT25" s="1117"/>
      <c r="HUU25" s="1117"/>
      <c r="HUV25" s="1117"/>
      <c r="HUW25" s="1117"/>
      <c r="HUX25" s="1117"/>
      <c r="HUY25" s="1117"/>
      <c r="HUZ25" s="1117"/>
      <c r="HVA25" s="1117"/>
      <c r="HVB25" s="1117"/>
      <c r="HVC25" s="1117"/>
      <c r="HVD25" s="1117"/>
      <c r="HVE25" s="1117"/>
      <c r="HVF25" s="1117"/>
      <c r="HVG25" s="1117"/>
      <c r="HVH25" s="1117"/>
      <c r="HVI25" s="1117"/>
      <c r="HVJ25" s="1117"/>
      <c r="HVK25" s="1117"/>
      <c r="HVL25" s="1117"/>
      <c r="HVM25" s="1117"/>
      <c r="HVN25" s="1117"/>
      <c r="HVO25" s="1117"/>
      <c r="HVP25" s="1117"/>
      <c r="HVQ25" s="1117"/>
      <c r="HVR25" s="1117"/>
      <c r="HVS25" s="1117"/>
      <c r="HVT25" s="1117"/>
      <c r="HVU25" s="1117"/>
      <c r="HVV25" s="1117"/>
      <c r="HVW25" s="1117"/>
      <c r="HVX25" s="1117"/>
      <c r="HVY25" s="1117"/>
      <c r="HVZ25" s="1117"/>
      <c r="HWA25" s="1117"/>
      <c r="HWB25" s="1117"/>
      <c r="HWC25" s="1117"/>
      <c r="HWD25" s="1117"/>
      <c r="HWE25" s="1117"/>
      <c r="HWF25" s="1117"/>
      <c r="HWG25" s="1117"/>
      <c r="HWH25" s="1117"/>
      <c r="HWI25" s="1117"/>
      <c r="HWJ25" s="1117"/>
      <c r="HWK25" s="1117"/>
      <c r="HWL25" s="1117"/>
      <c r="HWM25" s="1117"/>
      <c r="HWN25" s="1117"/>
      <c r="HWO25" s="1117"/>
      <c r="HWP25" s="1117"/>
      <c r="HWQ25" s="1117"/>
      <c r="HWR25" s="1117"/>
      <c r="HWS25" s="1117"/>
      <c r="HWT25" s="1117"/>
      <c r="HWU25" s="1117"/>
      <c r="HWV25" s="1117"/>
      <c r="HWW25" s="1117"/>
      <c r="HWX25" s="1117"/>
      <c r="HWY25" s="1117"/>
      <c r="HWZ25" s="1117"/>
      <c r="HXA25" s="1117"/>
      <c r="HXB25" s="1117"/>
      <c r="HXC25" s="1117"/>
      <c r="HXD25" s="1117"/>
      <c r="HXE25" s="1117"/>
      <c r="HXF25" s="1117"/>
      <c r="HXG25" s="1117"/>
      <c r="HXH25" s="1117"/>
      <c r="HXI25" s="1117"/>
      <c r="HXJ25" s="1117"/>
      <c r="HXK25" s="1117"/>
      <c r="HXL25" s="1117"/>
      <c r="HXM25" s="1117"/>
      <c r="HXN25" s="1117"/>
      <c r="HXO25" s="1117"/>
      <c r="HXP25" s="1117"/>
      <c r="HXQ25" s="1117"/>
      <c r="HXR25" s="1117"/>
      <c r="HXS25" s="1117"/>
      <c r="HXT25" s="1117"/>
      <c r="HXU25" s="1117"/>
      <c r="HXV25" s="1117"/>
      <c r="HXW25" s="1117"/>
      <c r="HXX25" s="1117"/>
      <c r="HXY25" s="1117"/>
      <c r="HXZ25" s="1117"/>
      <c r="HYA25" s="1117"/>
      <c r="HYB25" s="1117"/>
      <c r="HYC25" s="1117"/>
      <c r="HYD25" s="1117"/>
      <c r="HYE25" s="1117"/>
      <c r="HYF25" s="1117"/>
      <c r="HYG25" s="1117"/>
      <c r="HYH25" s="1117"/>
      <c r="HYI25" s="1117"/>
      <c r="HYJ25" s="1117"/>
      <c r="HYK25" s="1117"/>
      <c r="HYL25" s="1117"/>
      <c r="HYM25" s="1117"/>
      <c r="HYN25" s="1117"/>
      <c r="HYO25" s="1117"/>
      <c r="HYP25" s="1117"/>
      <c r="HYQ25" s="1117"/>
      <c r="HYR25" s="1117"/>
      <c r="HYS25" s="1117"/>
      <c r="HYT25" s="1117"/>
      <c r="HYU25" s="1117"/>
      <c r="HYV25" s="1117"/>
      <c r="HYW25" s="1117"/>
      <c r="HYX25" s="1117"/>
      <c r="HYY25" s="1117"/>
      <c r="HYZ25" s="1117"/>
      <c r="HZA25" s="1117"/>
      <c r="HZB25" s="1117"/>
      <c r="HZC25" s="1117"/>
      <c r="HZD25" s="1117"/>
      <c r="HZE25" s="1117"/>
      <c r="HZF25" s="1117"/>
      <c r="HZG25" s="1117"/>
      <c r="HZH25" s="1117"/>
      <c r="HZI25" s="1117"/>
      <c r="HZJ25" s="1117"/>
      <c r="HZK25" s="1117"/>
      <c r="HZL25" s="1117"/>
      <c r="HZM25" s="1117"/>
      <c r="HZN25" s="1117"/>
      <c r="HZO25" s="1117"/>
      <c r="HZP25" s="1117"/>
      <c r="HZQ25" s="1117"/>
      <c r="HZR25" s="1117"/>
      <c r="HZS25" s="1117"/>
      <c r="HZT25" s="1117"/>
      <c r="HZU25" s="1117"/>
      <c r="HZV25" s="1117"/>
      <c r="HZW25" s="1117"/>
      <c r="HZX25" s="1117"/>
      <c r="HZY25" s="1117"/>
      <c r="HZZ25" s="1117"/>
      <c r="IAA25" s="1117"/>
      <c r="IAB25" s="1117"/>
      <c r="IAC25" s="1117"/>
      <c r="IAD25" s="1117"/>
      <c r="IAE25" s="1117"/>
      <c r="IAF25" s="1117"/>
      <c r="IAG25" s="1117"/>
      <c r="IAH25" s="1117"/>
      <c r="IAI25" s="1117"/>
      <c r="IAJ25" s="1117"/>
      <c r="IAK25" s="1117"/>
      <c r="IAL25" s="1117"/>
      <c r="IAM25" s="1117"/>
      <c r="IAN25" s="1117"/>
      <c r="IAO25" s="1117"/>
      <c r="IAP25" s="1117"/>
      <c r="IAQ25" s="1117"/>
      <c r="IAR25" s="1117"/>
      <c r="IAS25" s="1117"/>
      <c r="IAT25" s="1117"/>
      <c r="IAU25" s="1117"/>
      <c r="IAV25" s="1117"/>
      <c r="IAW25" s="1117"/>
      <c r="IAX25" s="1117"/>
      <c r="IAY25" s="1117"/>
      <c r="IAZ25" s="1117"/>
      <c r="IBA25" s="1117"/>
      <c r="IBB25" s="1117"/>
      <c r="IBC25" s="1117"/>
      <c r="IBD25" s="1117"/>
      <c r="IBE25" s="1117"/>
      <c r="IBF25" s="1117"/>
      <c r="IBG25" s="1117"/>
      <c r="IBH25" s="1117"/>
      <c r="IBI25" s="1117"/>
      <c r="IBJ25" s="1117"/>
      <c r="IBK25" s="1117"/>
      <c r="IBL25" s="1117"/>
      <c r="IBM25" s="1117"/>
      <c r="IBN25" s="1117"/>
      <c r="IBO25" s="1117"/>
      <c r="IBP25" s="1117"/>
      <c r="IBQ25" s="1117"/>
      <c r="IBR25" s="1117"/>
      <c r="IBS25" s="1117"/>
      <c r="IBT25" s="1117"/>
      <c r="IBU25" s="1117"/>
      <c r="IBV25" s="1117"/>
      <c r="IBW25" s="1117"/>
      <c r="IBX25" s="1117"/>
      <c r="IBY25" s="1117"/>
      <c r="IBZ25" s="1117"/>
      <c r="ICA25" s="1117"/>
      <c r="ICB25" s="1117"/>
      <c r="ICC25" s="1117"/>
      <c r="ICD25" s="1117"/>
      <c r="ICE25" s="1117"/>
      <c r="ICF25" s="1117"/>
      <c r="ICG25" s="1117"/>
      <c r="ICH25" s="1117"/>
      <c r="ICI25" s="1117"/>
      <c r="ICJ25" s="1117"/>
      <c r="ICK25" s="1117"/>
      <c r="ICL25" s="1117"/>
      <c r="ICM25" s="1117"/>
      <c r="ICN25" s="1117"/>
      <c r="ICO25" s="1117"/>
      <c r="ICP25" s="1117"/>
      <c r="ICQ25" s="1117"/>
      <c r="ICR25" s="1117"/>
      <c r="ICS25" s="1117"/>
      <c r="ICT25" s="1117"/>
      <c r="ICU25" s="1117"/>
      <c r="ICV25" s="1117"/>
      <c r="ICW25" s="1117"/>
      <c r="ICX25" s="1117"/>
      <c r="ICY25" s="1117"/>
      <c r="ICZ25" s="1117"/>
      <c r="IDA25" s="1117"/>
      <c r="IDB25" s="1117"/>
      <c r="IDC25" s="1117"/>
      <c r="IDD25" s="1117"/>
      <c r="IDE25" s="1117"/>
      <c r="IDF25" s="1117"/>
      <c r="IDG25" s="1117"/>
      <c r="IDH25" s="1117"/>
      <c r="IDI25" s="1117"/>
      <c r="IDJ25" s="1117"/>
      <c r="IDK25" s="1117"/>
      <c r="IDL25" s="1117"/>
      <c r="IDM25" s="1117"/>
      <c r="IDN25" s="1117"/>
      <c r="IDO25" s="1117"/>
      <c r="IDP25" s="1117"/>
      <c r="IDQ25" s="1117"/>
      <c r="IDR25" s="1117"/>
      <c r="IDS25" s="1117"/>
      <c r="IDT25" s="1117"/>
      <c r="IDU25" s="1117"/>
      <c r="IDV25" s="1117"/>
      <c r="IDW25" s="1117"/>
      <c r="IDX25" s="1117"/>
      <c r="IDY25" s="1117"/>
      <c r="IDZ25" s="1117"/>
      <c r="IEA25" s="1117"/>
      <c r="IEB25" s="1117"/>
      <c r="IEC25" s="1117"/>
      <c r="IED25" s="1117"/>
      <c r="IEE25" s="1117"/>
      <c r="IEF25" s="1117"/>
      <c r="IEG25" s="1117"/>
      <c r="IEH25" s="1117"/>
      <c r="IEI25" s="1117"/>
      <c r="IEJ25" s="1117"/>
      <c r="IEK25" s="1117"/>
      <c r="IEL25" s="1117"/>
      <c r="IEM25" s="1117"/>
      <c r="IEN25" s="1117"/>
      <c r="IEO25" s="1117"/>
      <c r="IEP25" s="1117"/>
      <c r="IEQ25" s="1117"/>
      <c r="IER25" s="1117"/>
      <c r="IES25" s="1117"/>
      <c r="IET25" s="1117"/>
      <c r="IEU25" s="1117"/>
      <c r="IEV25" s="1117"/>
      <c r="IEW25" s="1117"/>
      <c r="IEX25" s="1117"/>
      <c r="IEY25" s="1117"/>
      <c r="IEZ25" s="1117"/>
      <c r="IFA25" s="1117"/>
      <c r="IFB25" s="1117"/>
      <c r="IFC25" s="1117"/>
      <c r="IFD25" s="1117"/>
      <c r="IFE25" s="1117"/>
      <c r="IFF25" s="1117"/>
      <c r="IFG25" s="1117"/>
      <c r="IFH25" s="1117"/>
      <c r="IFI25" s="1117"/>
      <c r="IFJ25" s="1117"/>
      <c r="IFK25" s="1117"/>
      <c r="IFL25" s="1117"/>
      <c r="IFM25" s="1117"/>
      <c r="IFN25" s="1117"/>
      <c r="IFO25" s="1117"/>
      <c r="IFP25" s="1117"/>
      <c r="IFQ25" s="1117"/>
      <c r="IFR25" s="1117"/>
      <c r="IFS25" s="1117"/>
      <c r="IFT25" s="1117"/>
      <c r="IFU25" s="1117"/>
      <c r="IFV25" s="1117"/>
      <c r="IFW25" s="1117"/>
      <c r="IFX25" s="1117"/>
      <c r="IFY25" s="1117"/>
      <c r="IFZ25" s="1117"/>
      <c r="IGA25" s="1117"/>
      <c r="IGB25" s="1117"/>
      <c r="IGC25" s="1117"/>
      <c r="IGD25" s="1117"/>
      <c r="IGE25" s="1117"/>
      <c r="IGF25" s="1117"/>
      <c r="IGG25" s="1117"/>
      <c r="IGH25" s="1117"/>
      <c r="IGI25" s="1117"/>
      <c r="IGJ25" s="1117"/>
      <c r="IGK25" s="1117"/>
      <c r="IGL25" s="1117"/>
      <c r="IGM25" s="1117"/>
      <c r="IGN25" s="1117"/>
      <c r="IGO25" s="1117"/>
      <c r="IGP25" s="1117"/>
      <c r="IGQ25" s="1117"/>
      <c r="IGR25" s="1117"/>
      <c r="IGS25" s="1117"/>
      <c r="IGT25" s="1117"/>
      <c r="IGU25" s="1117"/>
      <c r="IGV25" s="1117"/>
      <c r="IGW25" s="1117"/>
      <c r="IGX25" s="1117"/>
      <c r="IGY25" s="1117"/>
      <c r="IGZ25" s="1117"/>
      <c r="IHA25" s="1117"/>
      <c r="IHB25" s="1117"/>
      <c r="IHC25" s="1117"/>
      <c r="IHD25" s="1117"/>
      <c r="IHE25" s="1117"/>
      <c r="IHF25" s="1117"/>
      <c r="IHG25" s="1117"/>
      <c r="IHH25" s="1117"/>
      <c r="IHI25" s="1117"/>
      <c r="IHJ25" s="1117"/>
      <c r="IHK25" s="1117"/>
      <c r="IHL25" s="1117"/>
      <c r="IHM25" s="1117"/>
      <c r="IHN25" s="1117"/>
      <c r="IHO25" s="1117"/>
      <c r="IHP25" s="1117"/>
      <c r="IHQ25" s="1117"/>
      <c r="IHR25" s="1117"/>
      <c r="IHS25" s="1117"/>
      <c r="IHT25" s="1117"/>
      <c r="IHU25" s="1117"/>
      <c r="IHV25" s="1117"/>
      <c r="IHW25" s="1117"/>
      <c r="IHX25" s="1117"/>
      <c r="IHY25" s="1117"/>
      <c r="IHZ25" s="1117"/>
      <c r="IIA25" s="1117"/>
      <c r="IIB25" s="1117"/>
      <c r="IIC25" s="1117"/>
      <c r="IID25" s="1117"/>
      <c r="IIE25" s="1117"/>
      <c r="IIF25" s="1117"/>
      <c r="IIG25" s="1117"/>
      <c r="IIH25" s="1117"/>
      <c r="III25" s="1117"/>
      <c r="IIJ25" s="1117"/>
      <c r="IIK25" s="1117"/>
      <c r="IIL25" s="1117"/>
      <c r="IIM25" s="1117"/>
      <c r="IIN25" s="1117"/>
      <c r="IIO25" s="1117"/>
      <c r="IIP25" s="1117"/>
      <c r="IIQ25" s="1117"/>
      <c r="IIR25" s="1117"/>
      <c r="IIS25" s="1117"/>
      <c r="IIT25" s="1117"/>
      <c r="IIU25" s="1117"/>
      <c r="IIV25" s="1117"/>
      <c r="IIW25" s="1117"/>
      <c r="IIX25" s="1117"/>
      <c r="IIY25" s="1117"/>
      <c r="IIZ25" s="1117"/>
      <c r="IJA25" s="1117"/>
      <c r="IJB25" s="1117"/>
      <c r="IJC25" s="1117"/>
      <c r="IJD25" s="1117"/>
      <c r="IJE25" s="1117"/>
      <c r="IJF25" s="1117"/>
      <c r="IJG25" s="1117"/>
      <c r="IJH25" s="1117"/>
      <c r="IJI25" s="1117"/>
      <c r="IJJ25" s="1117"/>
      <c r="IJK25" s="1117"/>
      <c r="IJL25" s="1117"/>
      <c r="IJM25" s="1117"/>
      <c r="IJN25" s="1117"/>
      <c r="IJO25" s="1117"/>
      <c r="IJP25" s="1117"/>
      <c r="IJQ25" s="1117"/>
      <c r="IJR25" s="1117"/>
      <c r="IJS25" s="1117"/>
      <c r="IJT25" s="1117"/>
      <c r="IJU25" s="1117"/>
      <c r="IJV25" s="1117"/>
      <c r="IJW25" s="1117"/>
      <c r="IJX25" s="1117"/>
      <c r="IJY25" s="1117"/>
      <c r="IJZ25" s="1117"/>
      <c r="IKA25" s="1117"/>
      <c r="IKB25" s="1117"/>
      <c r="IKC25" s="1117"/>
      <c r="IKD25" s="1117"/>
      <c r="IKE25" s="1117"/>
      <c r="IKF25" s="1117"/>
      <c r="IKG25" s="1117"/>
      <c r="IKH25" s="1117"/>
      <c r="IKI25" s="1117"/>
      <c r="IKJ25" s="1117"/>
      <c r="IKK25" s="1117"/>
      <c r="IKL25" s="1117"/>
      <c r="IKM25" s="1117"/>
      <c r="IKN25" s="1117"/>
      <c r="IKO25" s="1117"/>
      <c r="IKP25" s="1117"/>
      <c r="IKQ25" s="1117"/>
      <c r="IKR25" s="1117"/>
      <c r="IKS25" s="1117"/>
      <c r="IKT25" s="1117"/>
      <c r="IKU25" s="1117"/>
      <c r="IKV25" s="1117"/>
      <c r="IKW25" s="1117"/>
      <c r="IKX25" s="1117"/>
      <c r="IKY25" s="1117"/>
      <c r="IKZ25" s="1117"/>
      <c r="ILA25" s="1117"/>
      <c r="ILB25" s="1117"/>
      <c r="ILC25" s="1117"/>
      <c r="ILD25" s="1117"/>
      <c r="ILE25" s="1117"/>
      <c r="ILF25" s="1117"/>
      <c r="ILG25" s="1117"/>
      <c r="ILH25" s="1117"/>
      <c r="ILI25" s="1117"/>
      <c r="ILJ25" s="1117"/>
      <c r="ILK25" s="1117"/>
      <c r="ILL25" s="1117"/>
      <c r="ILM25" s="1117"/>
      <c r="ILN25" s="1117"/>
      <c r="ILO25" s="1117"/>
      <c r="ILP25" s="1117"/>
      <c r="ILQ25" s="1117"/>
      <c r="ILR25" s="1117"/>
      <c r="ILS25" s="1117"/>
      <c r="ILT25" s="1117"/>
      <c r="ILU25" s="1117"/>
      <c r="ILV25" s="1117"/>
      <c r="ILW25" s="1117"/>
      <c r="ILX25" s="1117"/>
      <c r="ILY25" s="1117"/>
      <c r="ILZ25" s="1117"/>
      <c r="IMA25" s="1117"/>
      <c r="IMB25" s="1117"/>
      <c r="IMC25" s="1117"/>
      <c r="IMD25" s="1117"/>
      <c r="IME25" s="1117"/>
      <c r="IMF25" s="1117"/>
      <c r="IMG25" s="1117"/>
      <c r="IMH25" s="1117"/>
      <c r="IMI25" s="1117"/>
      <c r="IMJ25" s="1117"/>
      <c r="IMK25" s="1117"/>
      <c r="IML25" s="1117"/>
      <c r="IMM25" s="1117"/>
      <c r="IMN25" s="1117"/>
      <c r="IMO25" s="1117"/>
      <c r="IMP25" s="1117"/>
      <c r="IMQ25" s="1117"/>
      <c r="IMR25" s="1117"/>
      <c r="IMS25" s="1117"/>
      <c r="IMT25" s="1117"/>
      <c r="IMU25" s="1117"/>
      <c r="IMV25" s="1117"/>
      <c r="IMW25" s="1117"/>
      <c r="IMX25" s="1117"/>
      <c r="IMY25" s="1117"/>
      <c r="IMZ25" s="1117"/>
      <c r="INA25" s="1117"/>
      <c r="INB25" s="1117"/>
      <c r="INC25" s="1117"/>
      <c r="IND25" s="1117"/>
      <c r="INE25" s="1117"/>
      <c r="INF25" s="1117"/>
      <c r="ING25" s="1117"/>
      <c r="INH25" s="1117"/>
      <c r="INI25" s="1117"/>
      <c r="INJ25" s="1117"/>
      <c r="INK25" s="1117"/>
      <c r="INL25" s="1117"/>
      <c r="INM25" s="1117"/>
      <c r="INN25" s="1117"/>
      <c r="INO25" s="1117"/>
      <c r="INP25" s="1117"/>
      <c r="INQ25" s="1117"/>
      <c r="INR25" s="1117"/>
      <c r="INS25" s="1117"/>
      <c r="INT25" s="1117"/>
      <c r="INU25" s="1117"/>
      <c r="INV25" s="1117"/>
      <c r="INW25" s="1117"/>
      <c r="INX25" s="1117"/>
      <c r="INY25" s="1117"/>
      <c r="INZ25" s="1117"/>
      <c r="IOA25" s="1117"/>
      <c r="IOB25" s="1117"/>
      <c r="IOC25" s="1117"/>
      <c r="IOD25" s="1117"/>
      <c r="IOE25" s="1117"/>
      <c r="IOF25" s="1117"/>
      <c r="IOG25" s="1117"/>
      <c r="IOH25" s="1117"/>
      <c r="IOI25" s="1117"/>
      <c r="IOJ25" s="1117"/>
      <c r="IOK25" s="1117"/>
      <c r="IOL25" s="1117"/>
      <c r="IOM25" s="1117"/>
      <c r="ION25" s="1117"/>
      <c r="IOO25" s="1117"/>
      <c r="IOP25" s="1117"/>
      <c r="IOQ25" s="1117"/>
      <c r="IOR25" s="1117"/>
      <c r="IOS25" s="1117"/>
      <c r="IOT25" s="1117"/>
      <c r="IOU25" s="1117"/>
      <c r="IOV25" s="1117"/>
      <c r="IOW25" s="1117"/>
      <c r="IOX25" s="1117"/>
      <c r="IOY25" s="1117"/>
      <c r="IOZ25" s="1117"/>
      <c r="IPA25" s="1117"/>
      <c r="IPB25" s="1117"/>
      <c r="IPC25" s="1117"/>
      <c r="IPD25" s="1117"/>
      <c r="IPE25" s="1117"/>
      <c r="IPF25" s="1117"/>
      <c r="IPG25" s="1117"/>
      <c r="IPH25" s="1117"/>
      <c r="IPI25" s="1117"/>
      <c r="IPJ25" s="1117"/>
      <c r="IPK25" s="1117"/>
      <c r="IPL25" s="1117"/>
      <c r="IPM25" s="1117"/>
      <c r="IPN25" s="1117"/>
      <c r="IPO25" s="1117"/>
      <c r="IPP25" s="1117"/>
      <c r="IPQ25" s="1117"/>
      <c r="IPR25" s="1117"/>
      <c r="IPS25" s="1117"/>
      <c r="IPT25" s="1117"/>
      <c r="IPU25" s="1117"/>
      <c r="IPV25" s="1117"/>
      <c r="IPW25" s="1117"/>
      <c r="IPX25" s="1117"/>
      <c r="IPY25" s="1117"/>
      <c r="IPZ25" s="1117"/>
      <c r="IQA25" s="1117"/>
      <c r="IQB25" s="1117"/>
      <c r="IQC25" s="1117"/>
      <c r="IQD25" s="1117"/>
      <c r="IQE25" s="1117"/>
      <c r="IQF25" s="1117"/>
      <c r="IQG25" s="1117"/>
      <c r="IQH25" s="1117"/>
      <c r="IQI25" s="1117"/>
      <c r="IQJ25" s="1117"/>
      <c r="IQK25" s="1117"/>
      <c r="IQL25" s="1117"/>
      <c r="IQM25" s="1117"/>
      <c r="IQN25" s="1117"/>
      <c r="IQO25" s="1117"/>
      <c r="IQP25" s="1117"/>
      <c r="IQQ25" s="1117"/>
      <c r="IQR25" s="1117"/>
      <c r="IQS25" s="1117"/>
      <c r="IQT25" s="1117"/>
      <c r="IQU25" s="1117"/>
      <c r="IQV25" s="1117"/>
      <c r="IQW25" s="1117"/>
      <c r="IQX25" s="1117"/>
      <c r="IQY25" s="1117"/>
      <c r="IQZ25" s="1117"/>
      <c r="IRA25" s="1117"/>
      <c r="IRB25" s="1117"/>
      <c r="IRC25" s="1117"/>
      <c r="IRD25" s="1117"/>
      <c r="IRE25" s="1117"/>
      <c r="IRF25" s="1117"/>
      <c r="IRG25" s="1117"/>
      <c r="IRH25" s="1117"/>
      <c r="IRI25" s="1117"/>
      <c r="IRJ25" s="1117"/>
      <c r="IRK25" s="1117"/>
      <c r="IRL25" s="1117"/>
      <c r="IRM25" s="1117"/>
      <c r="IRN25" s="1117"/>
      <c r="IRO25" s="1117"/>
      <c r="IRP25" s="1117"/>
      <c r="IRQ25" s="1117"/>
      <c r="IRR25" s="1117"/>
      <c r="IRS25" s="1117"/>
      <c r="IRT25" s="1117"/>
      <c r="IRU25" s="1117"/>
      <c r="IRV25" s="1117"/>
      <c r="IRW25" s="1117"/>
      <c r="IRX25" s="1117"/>
      <c r="IRY25" s="1117"/>
      <c r="IRZ25" s="1117"/>
      <c r="ISA25" s="1117"/>
      <c r="ISB25" s="1117"/>
      <c r="ISC25" s="1117"/>
      <c r="ISD25" s="1117"/>
      <c r="ISE25" s="1117"/>
      <c r="ISF25" s="1117"/>
      <c r="ISG25" s="1117"/>
      <c r="ISH25" s="1117"/>
      <c r="ISI25" s="1117"/>
      <c r="ISJ25" s="1117"/>
      <c r="ISK25" s="1117"/>
      <c r="ISL25" s="1117"/>
      <c r="ISM25" s="1117"/>
      <c r="ISN25" s="1117"/>
      <c r="ISO25" s="1117"/>
      <c r="ISP25" s="1117"/>
      <c r="ISQ25" s="1117"/>
      <c r="ISR25" s="1117"/>
      <c r="ISS25" s="1117"/>
      <c r="IST25" s="1117"/>
      <c r="ISU25" s="1117"/>
      <c r="ISV25" s="1117"/>
      <c r="ISW25" s="1117"/>
      <c r="ISX25" s="1117"/>
      <c r="ISY25" s="1117"/>
      <c r="ISZ25" s="1117"/>
      <c r="ITA25" s="1117"/>
      <c r="ITB25" s="1117"/>
      <c r="ITC25" s="1117"/>
      <c r="ITD25" s="1117"/>
      <c r="ITE25" s="1117"/>
      <c r="ITF25" s="1117"/>
      <c r="ITG25" s="1117"/>
      <c r="ITH25" s="1117"/>
      <c r="ITI25" s="1117"/>
      <c r="ITJ25" s="1117"/>
      <c r="ITK25" s="1117"/>
      <c r="ITL25" s="1117"/>
      <c r="ITM25" s="1117"/>
      <c r="ITN25" s="1117"/>
      <c r="ITO25" s="1117"/>
      <c r="ITP25" s="1117"/>
      <c r="ITQ25" s="1117"/>
      <c r="ITR25" s="1117"/>
      <c r="ITS25" s="1117"/>
      <c r="ITT25" s="1117"/>
      <c r="ITU25" s="1117"/>
      <c r="ITV25" s="1117"/>
      <c r="ITW25" s="1117"/>
      <c r="ITX25" s="1117"/>
      <c r="ITY25" s="1117"/>
      <c r="ITZ25" s="1117"/>
      <c r="IUA25" s="1117"/>
      <c r="IUB25" s="1117"/>
      <c r="IUC25" s="1117"/>
      <c r="IUD25" s="1117"/>
      <c r="IUE25" s="1117"/>
      <c r="IUF25" s="1117"/>
      <c r="IUG25" s="1117"/>
      <c r="IUH25" s="1117"/>
      <c r="IUI25" s="1117"/>
      <c r="IUJ25" s="1117"/>
      <c r="IUK25" s="1117"/>
      <c r="IUL25" s="1117"/>
      <c r="IUM25" s="1117"/>
      <c r="IUN25" s="1117"/>
      <c r="IUO25" s="1117"/>
      <c r="IUP25" s="1117"/>
      <c r="IUQ25" s="1117"/>
      <c r="IUR25" s="1117"/>
      <c r="IUS25" s="1117"/>
      <c r="IUT25" s="1117"/>
      <c r="IUU25" s="1117"/>
      <c r="IUV25" s="1117"/>
      <c r="IUW25" s="1117"/>
      <c r="IUX25" s="1117"/>
      <c r="IUY25" s="1117"/>
      <c r="IUZ25" s="1117"/>
      <c r="IVA25" s="1117"/>
      <c r="IVB25" s="1117"/>
      <c r="IVC25" s="1117"/>
      <c r="IVD25" s="1117"/>
      <c r="IVE25" s="1117"/>
      <c r="IVF25" s="1117"/>
      <c r="IVG25" s="1117"/>
      <c r="IVH25" s="1117"/>
      <c r="IVI25" s="1117"/>
      <c r="IVJ25" s="1117"/>
      <c r="IVK25" s="1117"/>
      <c r="IVL25" s="1117"/>
      <c r="IVM25" s="1117"/>
      <c r="IVN25" s="1117"/>
      <c r="IVO25" s="1117"/>
      <c r="IVP25" s="1117"/>
      <c r="IVQ25" s="1117"/>
      <c r="IVR25" s="1117"/>
      <c r="IVS25" s="1117"/>
      <c r="IVT25" s="1117"/>
      <c r="IVU25" s="1117"/>
      <c r="IVV25" s="1117"/>
      <c r="IVW25" s="1117"/>
      <c r="IVX25" s="1117"/>
      <c r="IVY25" s="1117"/>
      <c r="IVZ25" s="1117"/>
      <c r="IWA25" s="1117"/>
      <c r="IWB25" s="1117"/>
      <c r="IWC25" s="1117"/>
      <c r="IWD25" s="1117"/>
      <c r="IWE25" s="1117"/>
      <c r="IWF25" s="1117"/>
      <c r="IWG25" s="1117"/>
      <c r="IWH25" s="1117"/>
      <c r="IWI25" s="1117"/>
      <c r="IWJ25" s="1117"/>
      <c r="IWK25" s="1117"/>
      <c r="IWL25" s="1117"/>
      <c r="IWM25" s="1117"/>
      <c r="IWN25" s="1117"/>
      <c r="IWO25" s="1117"/>
      <c r="IWP25" s="1117"/>
      <c r="IWQ25" s="1117"/>
      <c r="IWR25" s="1117"/>
      <c r="IWS25" s="1117"/>
      <c r="IWT25" s="1117"/>
      <c r="IWU25" s="1117"/>
      <c r="IWV25" s="1117"/>
      <c r="IWW25" s="1117"/>
      <c r="IWX25" s="1117"/>
      <c r="IWY25" s="1117"/>
      <c r="IWZ25" s="1117"/>
      <c r="IXA25" s="1117"/>
      <c r="IXB25" s="1117"/>
      <c r="IXC25" s="1117"/>
      <c r="IXD25" s="1117"/>
      <c r="IXE25" s="1117"/>
      <c r="IXF25" s="1117"/>
      <c r="IXG25" s="1117"/>
      <c r="IXH25" s="1117"/>
      <c r="IXI25" s="1117"/>
      <c r="IXJ25" s="1117"/>
      <c r="IXK25" s="1117"/>
      <c r="IXL25" s="1117"/>
      <c r="IXM25" s="1117"/>
      <c r="IXN25" s="1117"/>
      <c r="IXO25" s="1117"/>
      <c r="IXP25" s="1117"/>
      <c r="IXQ25" s="1117"/>
      <c r="IXR25" s="1117"/>
      <c r="IXS25" s="1117"/>
      <c r="IXT25" s="1117"/>
      <c r="IXU25" s="1117"/>
      <c r="IXV25" s="1117"/>
      <c r="IXW25" s="1117"/>
      <c r="IXX25" s="1117"/>
      <c r="IXY25" s="1117"/>
      <c r="IXZ25" s="1117"/>
      <c r="IYA25" s="1117"/>
      <c r="IYB25" s="1117"/>
      <c r="IYC25" s="1117"/>
      <c r="IYD25" s="1117"/>
      <c r="IYE25" s="1117"/>
      <c r="IYF25" s="1117"/>
      <c r="IYG25" s="1117"/>
      <c r="IYH25" s="1117"/>
      <c r="IYI25" s="1117"/>
      <c r="IYJ25" s="1117"/>
      <c r="IYK25" s="1117"/>
      <c r="IYL25" s="1117"/>
      <c r="IYM25" s="1117"/>
      <c r="IYN25" s="1117"/>
      <c r="IYO25" s="1117"/>
      <c r="IYP25" s="1117"/>
      <c r="IYQ25" s="1117"/>
      <c r="IYR25" s="1117"/>
      <c r="IYS25" s="1117"/>
      <c r="IYT25" s="1117"/>
      <c r="IYU25" s="1117"/>
      <c r="IYV25" s="1117"/>
      <c r="IYW25" s="1117"/>
      <c r="IYX25" s="1117"/>
      <c r="IYY25" s="1117"/>
      <c r="IYZ25" s="1117"/>
      <c r="IZA25" s="1117"/>
      <c r="IZB25" s="1117"/>
      <c r="IZC25" s="1117"/>
      <c r="IZD25" s="1117"/>
      <c r="IZE25" s="1117"/>
      <c r="IZF25" s="1117"/>
      <c r="IZG25" s="1117"/>
      <c r="IZH25" s="1117"/>
      <c r="IZI25" s="1117"/>
      <c r="IZJ25" s="1117"/>
      <c r="IZK25" s="1117"/>
      <c r="IZL25" s="1117"/>
      <c r="IZM25" s="1117"/>
      <c r="IZN25" s="1117"/>
      <c r="IZO25" s="1117"/>
      <c r="IZP25" s="1117"/>
      <c r="IZQ25" s="1117"/>
      <c r="IZR25" s="1117"/>
      <c r="IZS25" s="1117"/>
      <c r="IZT25" s="1117"/>
      <c r="IZU25" s="1117"/>
      <c r="IZV25" s="1117"/>
      <c r="IZW25" s="1117"/>
      <c r="IZX25" s="1117"/>
      <c r="IZY25" s="1117"/>
      <c r="IZZ25" s="1117"/>
      <c r="JAA25" s="1117"/>
      <c r="JAB25" s="1117"/>
      <c r="JAC25" s="1117"/>
      <c r="JAD25" s="1117"/>
      <c r="JAE25" s="1117"/>
      <c r="JAF25" s="1117"/>
      <c r="JAG25" s="1117"/>
      <c r="JAH25" s="1117"/>
      <c r="JAI25" s="1117"/>
      <c r="JAJ25" s="1117"/>
      <c r="JAK25" s="1117"/>
      <c r="JAL25" s="1117"/>
      <c r="JAM25" s="1117"/>
      <c r="JAN25" s="1117"/>
      <c r="JAO25" s="1117"/>
      <c r="JAP25" s="1117"/>
      <c r="JAQ25" s="1117"/>
      <c r="JAR25" s="1117"/>
      <c r="JAS25" s="1117"/>
      <c r="JAT25" s="1117"/>
      <c r="JAU25" s="1117"/>
      <c r="JAV25" s="1117"/>
      <c r="JAW25" s="1117"/>
      <c r="JAX25" s="1117"/>
      <c r="JAY25" s="1117"/>
      <c r="JAZ25" s="1117"/>
      <c r="JBA25" s="1117"/>
      <c r="JBB25" s="1117"/>
      <c r="JBC25" s="1117"/>
      <c r="JBD25" s="1117"/>
      <c r="JBE25" s="1117"/>
      <c r="JBF25" s="1117"/>
      <c r="JBG25" s="1117"/>
      <c r="JBH25" s="1117"/>
      <c r="JBI25" s="1117"/>
      <c r="JBJ25" s="1117"/>
      <c r="JBK25" s="1117"/>
      <c r="JBL25" s="1117"/>
      <c r="JBM25" s="1117"/>
      <c r="JBN25" s="1117"/>
      <c r="JBO25" s="1117"/>
      <c r="JBP25" s="1117"/>
      <c r="JBQ25" s="1117"/>
      <c r="JBR25" s="1117"/>
      <c r="JBS25" s="1117"/>
      <c r="JBT25" s="1117"/>
      <c r="JBU25" s="1117"/>
      <c r="JBV25" s="1117"/>
      <c r="JBW25" s="1117"/>
      <c r="JBX25" s="1117"/>
      <c r="JBY25" s="1117"/>
      <c r="JBZ25" s="1117"/>
      <c r="JCA25" s="1117"/>
      <c r="JCB25" s="1117"/>
      <c r="JCC25" s="1117"/>
      <c r="JCD25" s="1117"/>
      <c r="JCE25" s="1117"/>
      <c r="JCF25" s="1117"/>
      <c r="JCG25" s="1117"/>
      <c r="JCH25" s="1117"/>
      <c r="JCI25" s="1117"/>
      <c r="JCJ25" s="1117"/>
      <c r="JCK25" s="1117"/>
      <c r="JCL25" s="1117"/>
      <c r="JCM25" s="1117"/>
      <c r="JCN25" s="1117"/>
      <c r="JCO25" s="1117"/>
      <c r="JCP25" s="1117"/>
      <c r="JCQ25" s="1117"/>
      <c r="JCR25" s="1117"/>
      <c r="JCS25" s="1117"/>
      <c r="JCT25" s="1117"/>
      <c r="JCU25" s="1117"/>
      <c r="JCV25" s="1117"/>
      <c r="JCW25" s="1117"/>
      <c r="JCX25" s="1117"/>
      <c r="JCY25" s="1117"/>
      <c r="JCZ25" s="1117"/>
      <c r="JDA25" s="1117"/>
      <c r="JDB25" s="1117"/>
      <c r="JDC25" s="1117"/>
      <c r="JDD25" s="1117"/>
      <c r="JDE25" s="1117"/>
      <c r="JDF25" s="1117"/>
      <c r="JDG25" s="1117"/>
      <c r="JDH25" s="1117"/>
      <c r="JDI25" s="1117"/>
      <c r="JDJ25" s="1117"/>
      <c r="JDK25" s="1117"/>
      <c r="JDL25" s="1117"/>
      <c r="JDM25" s="1117"/>
      <c r="JDN25" s="1117"/>
      <c r="JDO25" s="1117"/>
      <c r="JDP25" s="1117"/>
      <c r="JDQ25" s="1117"/>
      <c r="JDR25" s="1117"/>
      <c r="JDS25" s="1117"/>
      <c r="JDT25" s="1117"/>
      <c r="JDU25" s="1117"/>
      <c r="JDV25" s="1117"/>
      <c r="JDW25" s="1117"/>
      <c r="JDX25" s="1117"/>
      <c r="JDY25" s="1117"/>
      <c r="JDZ25" s="1117"/>
      <c r="JEA25" s="1117"/>
      <c r="JEB25" s="1117"/>
      <c r="JEC25" s="1117"/>
      <c r="JED25" s="1117"/>
      <c r="JEE25" s="1117"/>
      <c r="JEF25" s="1117"/>
      <c r="JEG25" s="1117"/>
      <c r="JEH25" s="1117"/>
      <c r="JEI25" s="1117"/>
      <c r="JEJ25" s="1117"/>
      <c r="JEK25" s="1117"/>
      <c r="JEL25" s="1117"/>
      <c r="JEM25" s="1117"/>
      <c r="JEN25" s="1117"/>
      <c r="JEO25" s="1117"/>
      <c r="JEP25" s="1117"/>
      <c r="JEQ25" s="1117"/>
      <c r="JER25" s="1117"/>
      <c r="JES25" s="1117"/>
      <c r="JET25" s="1117"/>
      <c r="JEU25" s="1117"/>
      <c r="JEV25" s="1117"/>
      <c r="JEW25" s="1117"/>
      <c r="JEX25" s="1117"/>
      <c r="JEY25" s="1117"/>
      <c r="JEZ25" s="1117"/>
      <c r="JFA25" s="1117"/>
      <c r="JFB25" s="1117"/>
      <c r="JFC25" s="1117"/>
      <c r="JFD25" s="1117"/>
      <c r="JFE25" s="1117"/>
      <c r="JFF25" s="1117"/>
      <c r="JFG25" s="1117"/>
      <c r="JFH25" s="1117"/>
      <c r="JFI25" s="1117"/>
      <c r="JFJ25" s="1117"/>
      <c r="JFK25" s="1117"/>
      <c r="JFL25" s="1117"/>
      <c r="JFM25" s="1117"/>
      <c r="JFN25" s="1117"/>
      <c r="JFO25" s="1117"/>
      <c r="JFP25" s="1117"/>
      <c r="JFQ25" s="1117"/>
      <c r="JFR25" s="1117"/>
      <c r="JFS25" s="1117"/>
      <c r="JFT25" s="1117"/>
      <c r="JFU25" s="1117"/>
      <c r="JFV25" s="1117"/>
      <c r="JFW25" s="1117"/>
      <c r="JFX25" s="1117"/>
      <c r="JFY25" s="1117"/>
      <c r="JFZ25" s="1117"/>
      <c r="JGA25" s="1117"/>
      <c r="JGB25" s="1117"/>
      <c r="JGC25" s="1117"/>
      <c r="JGD25" s="1117"/>
      <c r="JGE25" s="1117"/>
      <c r="JGF25" s="1117"/>
      <c r="JGG25" s="1117"/>
      <c r="JGH25" s="1117"/>
      <c r="JGI25" s="1117"/>
      <c r="JGJ25" s="1117"/>
      <c r="JGK25" s="1117"/>
      <c r="JGL25" s="1117"/>
      <c r="JGM25" s="1117"/>
      <c r="JGN25" s="1117"/>
      <c r="JGO25" s="1117"/>
      <c r="JGP25" s="1117"/>
      <c r="JGQ25" s="1117"/>
      <c r="JGR25" s="1117"/>
      <c r="JGS25" s="1117"/>
      <c r="JGT25" s="1117"/>
      <c r="JGU25" s="1117"/>
      <c r="JGV25" s="1117"/>
      <c r="JGW25" s="1117"/>
      <c r="JGX25" s="1117"/>
      <c r="JGY25" s="1117"/>
      <c r="JGZ25" s="1117"/>
      <c r="JHA25" s="1117"/>
      <c r="JHB25" s="1117"/>
      <c r="JHC25" s="1117"/>
      <c r="JHD25" s="1117"/>
      <c r="JHE25" s="1117"/>
      <c r="JHF25" s="1117"/>
      <c r="JHG25" s="1117"/>
      <c r="JHH25" s="1117"/>
      <c r="JHI25" s="1117"/>
      <c r="JHJ25" s="1117"/>
      <c r="JHK25" s="1117"/>
      <c r="JHL25" s="1117"/>
      <c r="JHM25" s="1117"/>
      <c r="JHN25" s="1117"/>
      <c r="JHO25" s="1117"/>
      <c r="JHP25" s="1117"/>
      <c r="JHQ25" s="1117"/>
      <c r="JHR25" s="1117"/>
      <c r="JHS25" s="1117"/>
      <c r="JHT25" s="1117"/>
      <c r="JHU25" s="1117"/>
      <c r="JHV25" s="1117"/>
      <c r="JHW25" s="1117"/>
      <c r="JHX25" s="1117"/>
      <c r="JHY25" s="1117"/>
      <c r="JHZ25" s="1117"/>
      <c r="JIA25" s="1117"/>
      <c r="JIB25" s="1117"/>
      <c r="JIC25" s="1117"/>
      <c r="JID25" s="1117"/>
      <c r="JIE25" s="1117"/>
      <c r="JIF25" s="1117"/>
      <c r="JIG25" s="1117"/>
      <c r="JIH25" s="1117"/>
      <c r="JII25" s="1117"/>
      <c r="JIJ25" s="1117"/>
      <c r="JIK25" s="1117"/>
      <c r="JIL25" s="1117"/>
      <c r="JIM25" s="1117"/>
      <c r="JIN25" s="1117"/>
      <c r="JIO25" s="1117"/>
      <c r="JIP25" s="1117"/>
      <c r="JIQ25" s="1117"/>
      <c r="JIR25" s="1117"/>
      <c r="JIS25" s="1117"/>
      <c r="JIT25" s="1117"/>
      <c r="JIU25" s="1117"/>
      <c r="JIV25" s="1117"/>
      <c r="JIW25" s="1117"/>
      <c r="JIX25" s="1117"/>
      <c r="JIY25" s="1117"/>
      <c r="JIZ25" s="1117"/>
      <c r="JJA25" s="1117"/>
      <c r="JJB25" s="1117"/>
      <c r="JJC25" s="1117"/>
      <c r="JJD25" s="1117"/>
      <c r="JJE25" s="1117"/>
      <c r="JJF25" s="1117"/>
      <c r="JJG25" s="1117"/>
      <c r="JJH25" s="1117"/>
      <c r="JJI25" s="1117"/>
      <c r="JJJ25" s="1117"/>
      <c r="JJK25" s="1117"/>
      <c r="JJL25" s="1117"/>
      <c r="JJM25" s="1117"/>
      <c r="JJN25" s="1117"/>
      <c r="JJO25" s="1117"/>
      <c r="JJP25" s="1117"/>
      <c r="JJQ25" s="1117"/>
      <c r="JJR25" s="1117"/>
      <c r="JJS25" s="1117"/>
      <c r="JJT25" s="1117"/>
      <c r="JJU25" s="1117"/>
      <c r="JJV25" s="1117"/>
      <c r="JJW25" s="1117"/>
      <c r="JJX25" s="1117"/>
      <c r="JJY25" s="1117"/>
      <c r="JJZ25" s="1117"/>
      <c r="JKA25" s="1117"/>
      <c r="JKB25" s="1117"/>
      <c r="JKC25" s="1117"/>
      <c r="JKD25" s="1117"/>
      <c r="JKE25" s="1117"/>
      <c r="JKF25" s="1117"/>
      <c r="JKG25" s="1117"/>
      <c r="JKH25" s="1117"/>
      <c r="JKI25" s="1117"/>
      <c r="JKJ25" s="1117"/>
      <c r="JKK25" s="1117"/>
      <c r="JKL25" s="1117"/>
      <c r="JKM25" s="1117"/>
      <c r="JKN25" s="1117"/>
      <c r="JKO25" s="1117"/>
      <c r="JKP25" s="1117"/>
      <c r="JKQ25" s="1117"/>
      <c r="JKR25" s="1117"/>
      <c r="JKS25" s="1117"/>
      <c r="JKT25" s="1117"/>
      <c r="JKU25" s="1117"/>
      <c r="JKV25" s="1117"/>
      <c r="JKW25" s="1117"/>
      <c r="JKX25" s="1117"/>
      <c r="JKY25" s="1117"/>
      <c r="JKZ25" s="1117"/>
      <c r="JLA25" s="1117"/>
      <c r="JLB25" s="1117"/>
      <c r="JLC25" s="1117"/>
      <c r="JLD25" s="1117"/>
      <c r="JLE25" s="1117"/>
      <c r="JLF25" s="1117"/>
      <c r="JLG25" s="1117"/>
      <c r="JLH25" s="1117"/>
      <c r="JLI25" s="1117"/>
      <c r="JLJ25" s="1117"/>
      <c r="JLK25" s="1117"/>
      <c r="JLL25" s="1117"/>
      <c r="JLM25" s="1117"/>
      <c r="JLN25" s="1117"/>
      <c r="JLO25" s="1117"/>
      <c r="JLP25" s="1117"/>
      <c r="JLQ25" s="1117"/>
      <c r="JLR25" s="1117"/>
      <c r="JLS25" s="1117"/>
      <c r="JLT25" s="1117"/>
      <c r="JLU25" s="1117"/>
      <c r="JLV25" s="1117"/>
      <c r="JLW25" s="1117"/>
      <c r="JLX25" s="1117"/>
      <c r="JLY25" s="1117"/>
      <c r="JLZ25" s="1117"/>
      <c r="JMA25" s="1117"/>
      <c r="JMB25" s="1117"/>
      <c r="JMC25" s="1117"/>
      <c r="JMD25" s="1117"/>
      <c r="JME25" s="1117"/>
      <c r="JMF25" s="1117"/>
      <c r="JMG25" s="1117"/>
      <c r="JMH25" s="1117"/>
      <c r="JMI25" s="1117"/>
      <c r="JMJ25" s="1117"/>
      <c r="JMK25" s="1117"/>
      <c r="JML25" s="1117"/>
      <c r="JMM25" s="1117"/>
      <c r="JMN25" s="1117"/>
      <c r="JMO25" s="1117"/>
      <c r="JMP25" s="1117"/>
      <c r="JMQ25" s="1117"/>
      <c r="JMR25" s="1117"/>
      <c r="JMS25" s="1117"/>
      <c r="JMT25" s="1117"/>
      <c r="JMU25" s="1117"/>
      <c r="JMV25" s="1117"/>
      <c r="JMW25" s="1117"/>
      <c r="JMX25" s="1117"/>
      <c r="JMY25" s="1117"/>
      <c r="JMZ25" s="1117"/>
      <c r="JNA25" s="1117"/>
      <c r="JNB25" s="1117"/>
      <c r="JNC25" s="1117"/>
      <c r="JND25" s="1117"/>
      <c r="JNE25" s="1117"/>
      <c r="JNF25" s="1117"/>
      <c r="JNG25" s="1117"/>
      <c r="JNH25" s="1117"/>
      <c r="JNI25" s="1117"/>
      <c r="JNJ25" s="1117"/>
      <c r="JNK25" s="1117"/>
      <c r="JNL25" s="1117"/>
      <c r="JNM25" s="1117"/>
      <c r="JNN25" s="1117"/>
      <c r="JNO25" s="1117"/>
      <c r="JNP25" s="1117"/>
      <c r="JNQ25" s="1117"/>
      <c r="JNR25" s="1117"/>
      <c r="JNS25" s="1117"/>
      <c r="JNT25" s="1117"/>
      <c r="JNU25" s="1117"/>
      <c r="JNV25" s="1117"/>
      <c r="JNW25" s="1117"/>
      <c r="JNX25" s="1117"/>
      <c r="JNY25" s="1117"/>
      <c r="JNZ25" s="1117"/>
      <c r="JOA25" s="1117"/>
      <c r="JOB25" s="1117"/>
      <c r="JOC25" s="1117"/>
      <c r="JOD25" s="1117"/>
      <c r="JOE25" s="1117"/>
      <c r="JOF25" s="1117"/>
      <c r="JOG25" s="1117"/>
      <c r="JOH25" s="1117"/>
      <c r="JOI25" s="1117"/>
      <c r="JOJ25" s="1117"/>
      <c r="JOK25" s="1117"/>
      <c r="JOL25" s="1117"/>
      <c r="JOM25" s="1117"/>
      <c r="JON25" s="1117"/>
      <c r="JOO25" s="1117"/>
      <c r="JOP25" s="1117"/>
      <c r="JOQ25" s="1117"/>
      <c r="JOR25" s="1117"/>
      <c r="JOS25" s="1117"/>
      <c r="JOT25" s="1117"/>
      <c r="JOU25" s="1117"/>
      <c r="JOV25" s="1117"/>
      <c r="JOW25" s="1117"/>
      <c r="JOX25" s="1117"/>
      <c r="JOY25" s="1117"/>
      <c r="JOZ25" s="1117"/>
      <c r="JPA25" s="1117"/>
      <c r="JPB25" s="1117"/>
      <c r="JPC25" s="1117"/>
      <c r="JPD25" s="1117"/>
      <c r="JPE25" s="1117"/>
      <c r="JPF25" s="1117"/>
      <c r="JPG25" s="1117"/>
      <c r="JPH25" s="1117"/>
      <c r="JPI25" s="1117"/>
      <c r="JPJ25" s="1117"/>
      <c r="JPK25" s="1117"/>
      <c r="JPL25" s="1117"/>
      <c r="JPM25" s="1117"/>
      <c r="JPN25" s="1117"/>
      <c r="JPO25" s="1117"/>
      <c r="JPP25" s="1117"/>
      <c r="JPQ25" s="1117"/>
      <c r="JPR25" s="1117"/>
      <c r="JPS25" s="1117"/>
      <c r="JPT25" s="1117"/>
      <c r="JPU25" s="1117"/>
      <c r="JPV25" s="1117"/>
      <c r="JPW25" s="1117"/>
      <c r="JPX25" s="1117"/>
      <c r="JPY25" s="1117"/>
      <c r="JPZ25" s="1117"/>
      <c r="JQA25" s="1117"/>
      <c r="JQB25" s="1117"/>
      <c r="JQC25" s="1117"/>
      <c r="JQD25" s="1117"/>
      <c r="JQE25" s="1117"/>
      <c r="JQF25" s="1117"/>
      <c r="JQG25" s="1117"/>
      <c r="JQH25" s="1117"/>
      <c r="JQI25" s="1117"/>
      <c r="JQJ25" s="1117"/>
      <c r="JQK25" s="1117"/>
      <c r="JQL25" s="1117"/>
      <c r="JQM25" s="1117"/>
      <c r="JQN25" s="1117"/>
      <c r="JQO25" s="1117"/>
      <c r="JQP25" s="1117"/>
      <c r="JQQ25" s="1117"/>
      <c r="JQR25" s="1117"/>
      <c r="JQS25" s="1117"/>
      <c r="JQT25" s="1117"/>
      <c r="JQU25" s="1117"/>
      <c r="JQV25" s="1117"/>
      <c r="JQW25" s="1117"/>
      <c r="JQX25" s="1117"/>
      <c r="JQY25" s="1117"/>
      <c r="JQZ25" s="1117"/>
      <c r="JRA25" s="1117"/>
      <c r="JRB25" s="1117"/>
      <c r="JRC25" s="1117"/>
      <c r="JRD25" s="1117"/>
      <c r="JRE25" s="1117"/>
      <c r="JRF25" s="1117"/>
      <c r="JRG25" s="1117"/>
      <c r="JRH25" s="1117"/>
      <c r="JRI25" s="1117"/>
      <c r="JRJ25" s="1117"/>
      <c r="JRK25" s="1117"/>
      <c r="JRL25" s="1117"/>
      <c r="JRM25" s="1117"/>
      <c r="JRN25" s="1117"/>
      <c r="JRO25" s="1117"/>
      <c r="JRP25" s="1117"/>
      <c r="JRQ25" s="1117"/>
      <c r="JRR25" s="1117"/>
      <c r="JRS25" s="1117"/>
      <c r="JRT25" s="1117"/>
      <c r="JRU25" s="1117"/>
      <c r="JRV25" s="1117"/>
      <c r="JRW25" s="1117"/>
      <c r="JRX25" s="1117"/>
      <c r="JRY25" s="1117"/>
      <c r="JRZ25" s="1117"/>
      <c r="JSA25" s="1117"/>
      <c r="JSB25" s="1117"/>
      <c r="JSC25" s="1117"/>
      <c r="JSD25" s="1117"/>
      <c r="JSE25" s="1117"/>
      <c r="JSF25" s="1117"/>
      <c r="JSG25" s="1117"/>
      <c r="JSH25" s="1117"/>
      <c r="JSI25" s="1117"/>
      <c r="JSJ25" s="1117"/>
      <c r="JSK25" s="1117"/>
      <c r="JSL25" s="1117"/>
      <c r="JSM25" s="1117"/>
      <c r="JSN25" s="1117"/>
      <c r="JSO25" s="1117"/>
      <c r="JSP25" s="1117"/>
      <c r="JSQ25" s="1117"/>
      <c r="JSR25" s="1117"/>
      <c r="JSS25" s="1117"/>
      <c r="JST25" s="1117"/>
      <c r="JSU25" s="1117"/>
      <c r="JSV25" s="1117"/>
      <c r="JSW25" s="1117"/>
      <c r="JSX25" s="1117"/>
      <c r="JSY25" s="1117"/>
      <c r="JSZ25" s="1117"/>
      <c r="JTA25" s="1117"/>
      <c r="JTB25" s="1117"/>
      <c r="JTC25" s="1117"/>
      <c r="JTD25" s="1117"/>
      <c r="JTE25" s="1117"/>
      <c r="JTF25" s="1117"/>
      <c r="JTG25" s="1117"/>
      <c r="JTH25" s="1117"/>
      <c r="JTI25" s="1117"/>
      <c r="JTJ25" s="1117"/>
      <c r="JTK25" s="1117"/>
      <c r="JTL25" s="1117"/>
      <c r="JTM25" s="1117"/>
      <c r="JTN25" s="1117"/>
      <c r="JTO25" s="1117"/>
      <c r="JTP25" s="1117"/>
      <c r="JTQ25" s="1117"/>
      <c r="JTR25" s="1117"/>
      <c r="JTS25" s="1117"/>
      <c r="JTT25" s="1117"/>
      <c r="JTU25" s="1117"/>
      <c r="JTV25" s="1117"/>
      <c r="JTW25" s="1117"/>
      <c r="JTX25" s="1117"/>
      <c r="JTY25" s="1117"/>
      <c r="JTZ25" s="1117"/>
      <c r="JUA25" s="1117"/>
      <c r="JUB25" s="1117"/>
      <c r="JUC25" s="1117"/>
      <c r="JUD25" s="1117"/>
      <c r="JUE25" s="1117"/>
      <c r="JUF25" s="1117"/>
      <c r="JUG25" s="1117"/>
      <c r="JUH25" s="1117"/>
      <c r="JUI25" s="1117"/>
      <c r="JUJ25" s="1117"/>
      <c r="JUK25" s="1117"/>
      <c r="JUL25" s="1117"/>
      <c r="JUM25" s="1117"/>
      <c r="JUN25" s="1117"/>
      <c r="JUO25" s="1117"/>
      <c r="JUP25" s="1117"/>
      <c r="JUQ25" s="1117"/>
      <c r="JUR25" s="1117"/>
      <c r="JUS25" s="1117"/>
      <c r="JUT25" s="1117"/>
      <c r="JUU25" s="1117"/>
      <c r="JUV25" s="1117"/>
      <c r="JUW25" s="1117"/>
      <c r="JUX25" s="1117"/>
      <c r="JUY25" s="1117"/>
      <c r="JUZ25" s="1117"/>
      <c r="JVA25" s="1117"/>
      <c r="JVB25" s="1117"/>
      <c r="JVC25" s="1117"/>
      <c r="JVD25" s="1117"/>
      <c r="JVE25" s="1117"/>
      <c r="JVF25" s="1117"/>
      <c r="JVG25" s="1117"/>
      <c r="JVH25" s="1117"/>
      <c r="JVI25" s="1117"/>
      <c r="JVJ25" s="1117"/>
      <c r="JVK25" s="1117"/>
      <c r="JVL25" s="1117"/>
      <c r="JVM25" s="1117"/>
      <c r="JVN25" s="1117"/>
      <c r="JVO25" s="1117"/>
      <c r="JVP25" s="1117"/>
      <c r="JVQ25" s="1117"/>
      <c r="JVR25" s="1117"/>
      <c r="JVS25" s="1117"/>
      <c r="JVT25" s="1117"/>
      <c r="JVU25" s="1117"/>
      <c r="JVV25" s="1117"/>
      <c r="JVW25" s="1117"/>
      <c r="JVX25" s="1117"/>
      <c r="JVY25" s="1117"/>
      <c r="JVZ25" s="1117"/>
      <c r="JWA25" s="1117"/>
      <c r="JWB25" s="1117"/>
      <c r="JWC25" s="1117"/>
      <c r="JWD25" s="1117"/>
      <c r="JWE25" s="1117"/>
      <c r="JWF25" s="1117"/>
      <c r="JWG25" s="1117"/>
      <c r="JWH25" s="1117"/>
      <c r="JWI25" s="1117"/>
      <c r="JWJ25" s="1117"/>
      <c r="JWK25" s="1117"/>
      <c r="JWL25" s="1117"/>
      <c r="JWM25" s="1117"/>
      <c r="JWN25" s="1117"/>
      <c r="JWO25" s="1117"/>
      <c r="JWP25" s="1117"/>
      <c r="JWQ25" s="1117"/>
      <c r="JWR25" s="1117"/>
      <c r="JWS25" s="1117"/>
      <c r="JWT25" s="1117"/>
      <c r="JWU25" s="1117"/>
      <c r="JWV25" s="1117"/>
      <c r="JWW25" s="1117"/>
      <c r="JWX25" s="1117"/>
      <c r="JWY25" s="1117"/>
      <c r="JWZ25" s="1117"/>
      <c r="JXA25" s="1117"/>
      <c r="JXB25" s="1117"/>
      <c r="JXC25" s="1117"/>
      <c r="JXD25" s="1117"/>
      <c r="JXE25" s="1117"/>
      <c r="JXF25" s="1117"/>
      <c r="JXG25" s="1117"/>
      <c r="JXH25" s="1117"/>
      <c r="JXI25" s="1117"/>
      <c r="JXJ25" s="1117"/>
      <c r="JXK25" s="1117"/>
      <c r="JXL25" s="1117"/>
      <c r="JXM25" s="1117"/>
      <c r="JXN25" s="1117"/>
      <c r="JXO25" s="1117"/>
      <c r="JXP25" s="1117"/>
      <c r="JXQ25" s="1117"/>
      <c r="JXR25" s="1117"/>
      <c r="JXS25" s="1117"/>
      <c r="JXT25" s="1117"/>
      <c r="JXU25" s="1117"/>
      <c r="JXV25" s="1117"/>
      <c r="JXW25" s="1117"/>
      <c r="JXX25" s="1117"/>
      <c r="JXY25" s="1117"/>
      <c r="JXZ25" s="1117"/>
      <c r="JYA25" s="1117"/>
      <c r="JYB25" s="1117"/>
      <c r="JYC25" s="1117"/>
      <c r="JYD25" s="1117"/>
      <c r="JYE25" s="1117"/>
      <c r="JYF25" s="1117"/>
      <c r="JYG25" s="1117"/>
      <c r="JYH25" s="1117"/>
      <c r="JYI25" s="1117"/>
      <c r="JYJ25" s="1117"/>
      <c r="JYK25" s="1117"/>
      <c r="JYL25" s="1117"/>
      <c r="JYM25" s="1117"/>
      <c r="JYN25" s="1117"/>
      <c r="JYO25" s="1117"/>
      <c r="JYP25" s="1117"/>
      <c r="JYQ25" s="1117"/>
      <c r="JYR25" s="1117"/>
      <c r="JYS25" s="1117"/>
      <c r="JYT25" s="1117"/>
      <c r="JYU25" s="1117"/>
      <c r="JYV25" s="1117"/>
      <c r="JYW25" s="1117"/>
      <c r="JYX25" s="1117"/>
      <c r="JYY25" s="1117"/>
      <c r="JYZ25" s="1117"/>
      <c r="JZA25" s="1117"/>
      <c r="JZB25" s="1117"/>
      <c r="JZC25" s="1117"/>
      <c r="JZD25" s="1117"/>
      <c r="JZE25" s="1117"/>
      <c r="JZF25" s="1117"/>
      <c r="JZG25" s="1117"/>
      <c r="JZH25" s="1117"/>
      <c r="JZI25" s="1117"/>
      <c r="JZJ25" s="1117"/>
      <c r="JZK25" s="1117"/>
      <c r="JZL25" s="1117"/>
      <c r="JZM25" s="1117"/>
      <c r="JZN25" s="1117"/>
      <c r="JZO25" s="1117"/>
      <c r="JZP25" s="1117"/>
      <c r="JZQ25" s="1117"/>
      <c r="JZR25" s="1117"/>
      <c r="JZS25" s="1117"/>
      <c r="JZT25" s="1117"/>
      <c r="JZU25" s="1117"/>
      <c r="JZV25" s="1117"/>
      <c r="JZW25" s="1117"/>
      <c r="JZX25" s="1117"/>
      <c r="JZY25" s="1117"/>
      <c r="JZZ25" s="1117"/>
      <c r="KAA25" s="1117"/>
      <c r="KAB25" s="1117"/>
      <c r="KAC25" s="1117"/>
      <c r="KAD25" s="1117"/>
      <c r="KAE25" s="1117"/>
      <c r="KAF25" s="1117"/>
      <c r="KAG25" s="1117"/>
      <c r="KAH25" s="1117"/>
      <c r="KAI25" s="1117"/>
      <c r="KAJ25" s="1117"/>
      <c r="KAK25" s="1117"/>
      <c r="KAL25" s="1117"/>
      <c r="KAM25" s="1117"/>
      <c r="KAN25" s="1117"/>
      <c r="KAO25" s="1117"/>
      <c r="KAP25" s="1117"/>
      <c r="KAQ25" s="1117"/>
      <c r="KAR25" s="1117"/>
      <c r="KAS25" s="1117"/>
      <c r="KAT25" s="1117"/>
      <c r="KAU25" s="1117"/>
      <c r="KAV25" s="1117"/>
      <c r="KAW25" s="1117"/>
      <c r="KAX25" s="1117"/>
      <c r="KAY25" s="1117"/>
      <c r="KAZ25" s="1117"/>
      <c r="KBA25" s="1117"/>
      <c r="KBB25" s="1117"/>
      <c r="KBC25" s="1117"/>
      <c r="KBD25" s="1117"/>
      <c r="KBE25" s="1117"/>
      <c r="KBF25" s="1117"/>
      <c r="KBG25" s="1117"/>
      <c r="KBH25" s="1117"/>
      <c r="KBI25" s="1117"/>
      <c r="KBJ25" s="1117"/>
      <c r="KBK25" s="1117"/>
      <c r="KBL25" s="1117"/>
      <c r="KBM25" s="1117"/>
      <c r="KBN25" s="1117"/>
      <c r="KBO25" s="1117"/>
      <c r="KBP25" s="1117"/>
      <c r="KBQ25" s="1117"/>
      <c r="KBR25" s="1117"/>
      <c r="KBS25" s="1117"/>
      <c r="KBT25" s="1117"/>
      <c r="KBU25" s="1117"/>
      <c r="KBV25" s="1117"/>
      <c r="KBW25" s="1117"/>
      <c r="KBX25" s="1117"/>
      <c r="KBY25" s="1117"/>
      <c r="KBZ25" s="1117"/>
      <c r="KCA25" s="1117"/>
      <c r="KCB25" s="1117"/>
      <c r="KCC25" s="1117"/>
      <c r="KCD25" s="1117"/>
      <c r="KCE25" s="1117"/>
      <c r="KCF25" s="1117"/>
      <c r="KCG25" s="1117"/>
      <c r="KCH25" s="1117"/>
      <c r="KCI25" s="1117"/>
      <c r="KCJ25" s="1117"/>
      <c r="KCK25" s="1117"/>
      <c r="KCL25" s="1117"/>
      <c r="KCM25" s="1117"/>
      <c r="KCN25" s="1117"/>
      <c r="KCO25" s="1117"/>
      <c r="KCP25" s="1117"/>
      <c r="KCQ25" s="1117"/>
      <c r="KCR25" s="1117"/>
      <c r="KCS25" s="1117"/>
      <c r="KCT25" s="1117"/>
      <c r="KCU25" s="1117"/>
      <c r="KCV25" s="1117"/>
      <c r="KCW25" s="1117"/>
      <c r="KCX25" s="1117"/>
      <c r="KCY25" s="1117"/>
      <c r="KCZ25" s="1117"/>
      <c r="KDA25" s="1117"/>
      <c r="KDB25" s="1117"/>
      <c r="KDC25" s="1117"/>
      <c r="KDD25" s="1117"/>
      <c r="KDE25" s="1117"/>
      <c r="KDF25" s="1117"/>
      <c r="KDG25" s="1117"/>
      <c r="KDH25" s="1117"/>
      <c r="KDI25" s="1117"/>
      <c r="KDJ25" s="1117"/>
      <c r="KDK25" s="1117"/>
      <c r="KDL25" s="1117"/>
      <c r="KDM25" s="1117"/>
      <c r="KDN25" s="1117"/>
      <c r="KDO25" s="1117"/>
      <c r="KDP25" s="1117"/>
      <c r="KDQ25" s="1117"/>
      <c r="KDR25" s="1117"/>
      <c r="KDS25" s="1117"/>
      <c r="KDT25" s="1117"/>
      <c r="KDU25" s="1117"/>
      <c r="KDV25" s="1117"/>
      <c r="KDW25" s="1117"/>
      <c r="KDX25" s="1117"/>
      <c r="KDY25" s="1117"/>
      <c r="KDZ25" s="1117"/>
      <c r="KEA25" s="1117"/>
      <c r="KEB25" s="1117"/>
      <c r="KEC25" s="1117"/>
      <c r="KED25" s="1117"/>
      <c r="KEE25" s="1117"/>
      <c r="KEF25" s="1117"/>
      <c r="KEG25" s="1117"/>
      <c r="KEH25" s="1117"/>
      <c r="KEI25" s="1117"/>
      <c r="KEJ25" s="1117"/>
      <c r="KEK25" s="1117"/>
      <c r="KEL25" s="1117"/>
      <c r="KEM25" s="1117"/>
      <c r="KEN25" s="1117"/>
      <c r="KEO25" s="1117"/>
      <c r="KEP25" s="1117"/>
      <c r="KEQ25" s="1117"/>
      <c r="KER25" s="1117"/>
      <c r="KES25" s="1117"/>
      <c r="KET25" s="1117"/>
      <c r="KEU25" s="1117"/>
      <c r="KEV25" s="1117"/>
      <c r="KEW25" s="1117"/>
      <c r="KEX25" s="1117"/>
      <c r="KEY25" s="1117"/>
      <c r="KEZ25" s="1117"/>
      <c r="KFA25" s="1117"/>
      <c r="KFB25" s="1117"/>
      <c r="KFC25" s="1117"/>
      <c r="KFD25" s="1117"/>
      <c r="KFE25" s="1117"/>
      <c r="KFF25" s="1117"/>
      <c r="KFG25" s="1117"/>
      <c r="KFH25" s="1117"/>
      <c r="KFI25" s="1117"/>
      <c r="KFJ25" s="1117"/>
      <c r="KFK25" s="1117"/>
      <c r="KFL25" s="1117"/>
      <c r="KFM25" s="1117"/>
      <c r="KFN25" s="1117"/>
      <c r="KFO25" s="1117"/>
      <c r="KFP25" s="1117"/>
      <c r="KFQ25" s="1117"/>
      <c r="KFR25" s="1117"/>
      <c r="KFS25" s="1117"/>
      <c r="KFT25" s="1117"/>
      <c r="KFU25" s="1117"/>
      <c r="KFV25" s="1117"/>
      <c r="KFW25" s="1117"/>
      <c r="KFX25" s="1117"/>
      <c r="KFY25" s="1117"/>
      <c r="KFZ25" s="1117"/>
      <c r="KGA25" s="1117"/>
      <c r="KGB25" s="1117"/>
      <c r="KGC25" s="1117"/>
      <c r="KGD25" s="1117"/>
      <c r="KGE25" s="1117"/>
      <c r="KGF25" s="1117"/>
      <c r="KGG25" s="1117"/>
      <c r="KGH25" s="1117"/>
      <c r="KGI25" s="1117"/>
      <c r="KGJ25" s="1117"/>
      <c r="KGK25" s="1117"/>
      <c r="KGL25" s="1117"/>
      <c r="KGM25" s="1117"/>
      <c r="KGN25" s="1117"/>
      <c r="KGO25" s="1117"/>
      <c r="KGP25" s="1117"/>
      <c r="KGQ25" s="1117"/>
      <c r="KGR25" s="1117"/>
      <c r="KGS25" s="1117"/>
      <c r="KGT25" s="1117"/>
      <c r="KGU25" s="1117"/>
      <c r="KGV25" s="1117"/>
      <c r="KGW25" s="1117"/>
      <c r="KGX25" s="1117"/>
      <c r="KGY25" s="1117"/>
      <c r="KGZ25" s="1117"/>
      <c r="KHA25" s="1117"/>
      <c r="KHB25" s="1117"/>
      <c r="KHC25" s="1117"/>
      <c r="KHD25" s="1117"/>
      <c r="KHE25" s="1117"/>
      <c r="KHF25" s="1117"/>
      <c r="KHG25" s="1117"/>
      <c r="KHH25" s="1117"/>
      <c r="KHI25" s="1117"/>
      <c r="KHJ25" s="1117"/>
      <c r="KHK25" s="1117"/>
      <c r="KHL25" s="1117"/>
      <c r="KHM25" s="1117"/>
      <c r="KHN25" s="1117"/>
      <c r="KHO25" s="1117"/>
      <c r="KHP25" s="1117"/>
      <c r="KHQ25" s="1117"/>
      <c r="KHR25" s="1117"/>
      <c r="KHS25" s="1117"/>
      <c r="KHT25" s="1117"/>
      <c r="KHU25" s="1117"/>
      <c r="KHV25" s="1117"/>
      <c r="KHW25" s="1117"/>
      <c r="KHX25" s="1117"/>
      <c r="KHY25" s="1117"/>
      <c r="KHZ25" s="1117"/>
      <c r="KIA25" s="1117"/>
      <c r="KIB25" s="1117"/>
      <c r="KIC25" s="1117"/>
      <c r="KID25" s="1117"/>
      <c r="KIE25" s="1117"/>
      <c r="KIF25" s="1117"/>
      <c r="KIG25" s="1117"/>
      <c r="KIH25" s="1117"/>
      <c r="KII25" s="1117"/>
      <c r="KIJ25" s="1117"/>
      <c r="KIK25" s="1117"/>
      <c r="KIL25" s="1117"/>
      <c r="KIM25" s="1117"/>
      <c r="KIN25" s="1117"/>
      <c r="KIO25" s="1117"/>
      <c r="KIP25" s="1117"/>
      <c r="KIQ25" s="1117"/>
      <c r="KIR25" s="1117"/>
      <c r="KIS25" s="1117"/>
      <c r="KIT25" s="1117"/>
      <c r="KIU25" s="1117"/>
      <c r="KIV25" s="1117"/>
      <c r="KIW25" s="1117"/>
      <c r="KIX25" s="1117"/>
      <c r="KIY25" s="1117"/>
      <c r="KIZ25" s="1117"/>
      <c r="KJA25" s="1117"/>
      <c r="KJB25" s="1117"/>
      <c r="KJC25" s="1117"/>
      <c r="KJD25" s="1117"/>
      <c r="KJE25" s="1117"/>
      <c r="KJF25" s="1117"/>
      <c r="KJG25" s="1117"/>
      <c r="KJH25" s="1117"/>
      <c r="KJI25" s="1117"/>
      <c r="KJJ25" s="1117"/>
      <c r="KJK25" s="1117"/>
      <c r="KJL25" s="1117"/>
      <c r="KJM25" s="1117"/>
      <c r="KJN25" s="1117"/>
      <c r="KJO25" s="1117"/>
      <c r="KJP25" s="1117"/>
      <c r="KJQ25" s="1117"/>
      <c r="KJR25" s="1117"/>
      <c r="KJS25" s="1117"/>
      <c r="KJT25" s="1117"/>
      <c r="KJU25" s="1117"/>
      <c r="KJV25" s="1117"/>
      <c r="KJW25" s="1117"/>
      <c r="KJX25" s="1117"/>
      <c r="KJY25" s="1117"/>
      <c r="KJZ25" s="1117"/>
      <c r="KKA25" s="1117"/>
      <c r="KKB25" s="1117"/>
      <c r="KKC25" s="1117"/>
      <c r="KKD25" s="1117"/>
      <c r="KKE25" s="1117"/>
      <c r="KKF25" s="1117"/>
      <c r="KKG25" s="1117"/>
      <c r="KKH25" s="1117"/>
      <c r="KKI25" s="1117"/>
      <c r="KKJ25" s="1117"/>
      <c r="KKK25" s="1117"/>
      <c r="KKL25" s="1117"/>
      <c r="KKM25" s="1117"/>
      <c r="KKN25" s="1117"/>
      <c r="KKO25" s="1117"/>
      <c r="KKP25" s="1117"/>
      <c r="KKQ25" s="1117"/>
      <c r="KKR25" s="1117"/>
      <c r="KKS25" s="1117"/>
      <c r="KKT25" s="1117"/>
      <c r="KKU25" s="1117"/>
      <c r="KKV25" s="1117"/>
      <c r="KKW25" s="1117"/>
      <c r="KKX25" s="1117"/>
      <c r="KKY25" s="1117"/>
      <c r="KKZ25" s="1117"/>
      <c r="KLA25" s="1117"/>
      <c r="KLB25" s="1117"/>
      <c r="KLC25" s="1117"/>
      <c r="KLD25" s="1117"/>
      <c r="KLE25" s="1117"/>
      <c r="KLF25" s="1117"/>
      <c r="KLG25" s="1117"/>
      <c r="KLH25" s="1117"/>
      <c r="KLI25" s="1117"/>
      <c r="KLJ25" s="1117"/>
      <c r="KLK25" s="1117"/>
      <c r="KLL25" s="1117"/>
      <c r="KLM25" s="1117"/>
      <c r="KLN25" s="1117"/>
      <c r="KLO25" s="1117"/>
      <c r="KLP25" s="1117"/>
      <c r="KLQ25" s="1117"/>
      <c r="KLR25" s="1117"/>
      <c r="KLS25" s="1117"/>
      <c r="KLT25" s="1117"/>
      <c r="KLU25" s="1117"/>
      <c r="KLV25" s="1117"/>
      <c r="KLW25" s="1117"/>
      <c r="KLX25" s="1117"/>
      <c r="KLY25" s="1117"/>
      <c r="KLZ25" s="1117"/>
      <c r="KMA25" s="1117"/>
      <c r="KMB25" s="1117"/>
      <c r="KMC25" s="1117"/>
      <c r="KMD25" s="1117"/>
      <c r="KME25" s="1117"/>
      <c r="KMF25" s="1117"/>
      <c r="KMG25" s="1117"/>
      <c r="KMH25" s="1117"/>
      <c r="KMI25" s="1117"/>
      <c r="KMJ25" s="1117"/>
      <c r="KMK25" s="1117"/>
      <c r="KML25" s="1117"/>
      <c r="KMM25" s="1117"/>
      <c r="KMN25" s="1117"/>
      <c r="KMO25" s="1117"/>
      <c r="KMP25" s="1117"/>
      <c r="KMQ25" s="1117"/>
      <c r="KMR25" s="1117"/>
      <c r="KMS25" s="1117"/>
      <c r="KMT25" s="1117"/>
      <c r="KMU25" s="1117"/>
      <c r="KMV25" s="1117"/>
      <c r="KMW25" s="1117"/>
      <c r="KMX25" s="1117"/>
      <c r="KMY25" s="1117"/>
      <c r="KMZ25" s="1117"/>
      <c r="KNA25" s="1117"/>
      <c r="KNB25" s="1117"/>
      <c r="KNC25" s="1117"/>
      <c r="KND25" s="1117"/>
      <c r="KNE25" s="1117"/>
      <c r="KNF25" s="1117"/>
      <c r="KNG25" s="1117"/>
      <c r="KNH25" s="1117"/>
      <c r="KNI25" s="1117"/>
      <c r="KNJ25" s="1117"/>
      <c r="KNK25" s="1117"/>
      <c r="KNL25" s="1117"/>
      <c r="KNM25" s="1117"/>
      <c r="KNN25" s="1117"/>
      <c r="KNO25" s="1117"/>
      <c r="KNP25" s="1117"/>
      <c r="KNQ25" s="1117"/>
      <c r="KNR25" s="1117"/>
      <c r="KNS25" s="1117"/>
      <c r="KNT25" s="1117"/>
      <c r="KNU25" s="1117"/>
      <c r="KNV25" s="1117"/>
      <c r="KNW25" s="1117"/>
      <c r="KNX25" s="1117"/>
      <c r="KNY25" s="1117"/>
      <c r="KNZ25" s="1117"/>
      <c r="KOA25" s="1117"/>
      <c r="KOB25" s="1117"/>
      <c r="KOC25" s="1117"/>
      <c r="KOD25" s="1117"/>
      <c r="KOE25" s="1117"/>
      <c r="KOF25" s="1117"/>
      <c r="KOG25" s="1117"/>
      <c r="KOH25" s="1117"/>
      <c r="KOI25" s="1117"/>
      <c r="KOJ25" s="1117"/>
      <c r="KOK25" s="1117"/>
      <c r="KOL25" s="1117"/>
      <c r="KOM25" s="1117"/>
      <c r="KON25" s="1117"/>
      <c r="KOO25" s="1117"/>
      <c r="KOP25" s="1117"/>
      <c r="KOQ25" s="1117"/>
      <c r="KOR25" s="1117"/>
      <c r="KOS25" s="1117"/>
      <c r="KOT25" s="1117"/>
      <c r="KOU25" s="1117"/>
      <c r="KOV25" s="1117"/>
      <c r="KOW25" s="1117"/>
      <c r="KOX25" s="1117"/>
      <c r="KOY25" s="1117"/>
      <c r="KOZ25" s="1117"/>
      <c r="KPA25" s="1117"/>
      <c r="KPB25" s="1117"/>
      <c r="KPC25" s="1117"/>
      <c r="KPD25" s="1117"/>
      <c r="KPE25" s="1117"/>
      <c r="KPF25" s="1117"/>
      <c r="KPG25" s="1117"/>
      <c r="KPH25" s="1117"/>
      <c r="KPI25" s="1117"/>
      <c r="KPJ25" s="1117"/>
      <c r="KPK25" s="1117"/>
      <c r="KPL25" s="1117"/>
      <c r="KPM25" s="1117"/>
      <c r="KPN25" s="1117"/>
      <c r="KPO25" s="1117"/>
      <c r="KPP25" s="1117"/>
      <c r="KPQ25" s="1117"/>
      <c r="KPR25" s="1117"/>
      <c r="KPS25" s="1117"/>
      <c r="KPT25" s="1117"/>
      <c r="KPU25" s="1117"/>
      <c r="KPV25" s="1117"/>
      <c r="KPW25" s="1117"/>
      <c r="KPX25" s="1117"/>
      <c r="KPY25" s="1117"/>
      <c r="KPZ25" s="1117"/>
      <c r="KQA25" s="1117"/>
      <c r="KQB25" s="1117"/>
      <c r="KQC25" s="1117"/>
      <c r="KQD25" s="1117"/>
      <c r="KQE25" s="1117"/>
      <c r="KQF25" s="1117"/>
      <c r="KQG25" s="1117"/>
      <c r="KQH25" s="1117"/>
      <c r="KQI25" s="1117"/>
      <c r="KQJ25" s="1117"/>
      <c r="KQK25" s="1117"/>
      <c r="KQL25" s="1117"/>
      <c r="KQM25" s="1117"/>
      <c r="KQN25" s="1117"/>
      <c r="KQO25" s="1117"/>
      <c r="KQP25" s="1117"/>
      <c r="KQQ25" s="1117"/>
      <c r="KQR25" s="1117"/>
      <c r="KQS25" s="1117"/>
      <c r="KQT25" s="1117"/>
      <c r="KQU25" s="1117"/>
      <c r="KQV25" s="1117"/>
      <c r="KQW25" s="1117"/>
      <c r="KQX25" s="1117"/>
      <c r="KQY25" s="1117"/>
      <c r="KQZ25" s="1117"/>
      <c r="KRA25" s="1117"/>
      <c r="KRB25" s="1117"/>
      <c r="KRC25" s="1117"/>
      <c r="KRD25" s="1117"/>
      <c r="KRE25" s="1117"/>
      <c r="KRF25" s="1117"/>
      <c r="KRG25" s="1117"/>
      <c r="KRH25" s="1117"/>
      <c r="KRI25" s="1117"/>
      <c r="KRJ25" s="1117"/>
      <c r="KRK25" s="1117"/>
      <c r="KRL25" s="1117"/>
      <c r="KRM25" s="1117"/>
      <c r="KRN25" s="1117"/>
      <c r="KRO25" s="1117"/>
      <c r="KRP25" s="1117"/>
      <c r="KRQ25" s="1117"/>
      <c r="KRR25" s="1117"/>
      <c r="KRS25" s="1117"/>
      <c r="KRT25" s="1117"/>
      <c r="KRU25" s="1117"/>
      <c r="KRV25" s="1117"/>
      <c r="KRW25" s="1117"/>
      <c r="KRX25" s="1117"/>
      <c r="KRY25" s="1117"/>
      <c r="KRZ25" s="1117"/>
      <c r="KSA25" s="1117"/>
      <c r="KSB25" s="1117"/>
      <c r="KSC25" s="1117"/>
      <c r="KSD25" s="1117"/>
      <c r="KSE25" s="1117"/>
      <c r="KSF25" s="1117"/>
      <c r="KSG25" s="1117"/>
      <c r="KSH25" s="1117"/>
      <c r="KSI25" s="1117"/>
      <c r="KSJ25" s="1117"/>
      <c r="KSK25" s="1117"/>
      <c r="KSL25" s="1117"/>
      <c r="KSM25" s="1117"/>
      <c r="KSN25" s="1117"/>
      <c r="KSO25" s="1117"/>
      <c r="KSP25" s="1117"/>
      <c r="KSQ25" s="1117"/>
      <c r="KSR25" s="1117"/>
      <c r="KSS25" s="1117"/>
      <c r="KST25" s="1117"/>
      <c r="KSU25" s="1117"/>
      <c r="KSV25" s="1117"/>
      <c r="KSW25" s="1117"/>
      <c r="KSX25" s="1117"/>
      <c r="KSY25" s="1117"/>
      <c r="KSZ25" s="1117"/>
      <c r="KTA25" s="1117"/>
      <c r="KTB25" s="1117"/>
      <c r="KTC25" s="1117"/>
      <c r="KTD25" s="1117"/>
      <c r="KTE25" s="1117"/>
      <c r="KTF25" s="1117"/>
      <c r="KTG25" s="1117"/>
      <c r="KTH25" s="1117"/>
      <c r="KTI25" s="1117"/>
      <c r="KTJ25" s="1117"/>
      <c r="KTK25" s="1117"/>
      <c r="KTL25" s="1117"/>
      <c r="KTM25" s="1117"/>
      <c r="KTN25" s="1117"/>
      <c r="KTO25" s="1117"/>
      <c r="KTP25" s="1117"/>
      <c r="KTQ25" s="1117"/>
      <c r="KTR25" s="1117"/>
      <c r="KTS25" s="1117"/>
      <c r="KTT25" s="1117"/>
      <c r="KTU25" s="1117"/>
      <c r="KTV25" s="1117"/>
      <c r="KTW25" s="1117"/>
      <c r="KTX25" s="1117"/>
      <c r="KTY25" s="1117"/>
      <c r="KTZ25" s="1117"/>
      <c r="KUA25" s="1117"/>
      <c r="KUB25" s="1117"/>
      <c r="KUC25" s="1117"/>
      <c r="KUD25" s="1117"/>
      <c r="KUE25" s="1117"/>
      <c r="KUF25" s="1117"/>
      <c r="KUG25" s="1117"/>
      <c r="KUH25" s="1117"/>
      <c r="KUI25" s="1117"/>
      <c r="KUJ25" s="1117"/>
      <c r="KUK25" s="1117"/>
      <c r="KUL25" s="1117"/>
      <c r="KUM25" s="1117"/>
      <c r="KUN25" s="1117"/>
      <c r="KUO25" s="1117"/>
      <c r="KUP25" s="1117"/>
      <c r="KUQ25" s="1117"/>
      <c r="KUR25" s="1117"/>
      <c r="KUS25" s="1117"/>
      <c r="KUT25" s="1117"/>
      <c r="KUU25" s="1117"/>
      <c r="KUV25" s="1117"/>
      <c r="KUW25" s="1117"/>
      <c r="KUX25" s="1117"/>
      <c r="KUY25" s="1117"/>
      <c r="KUZ25" s="1117"/>
      <c r="KVA25" s="1117"/>
      <c r="KVB25" s="1117"/>
      <c r="KVC25" s="1117"/>
      <c r="KVD25" s="1117"/>
      <c r="KVE25" s="1117"/>
      <c r="KVF25" s="1117"/>
      <c r="KVG25" s="1117"/>
      <c r="KVH25" s="1117"/>
      <c r="KVI25" s="1117"/>
      <c r="KVJ25" s="1117"/>
      <c r="KVK25" s="1117"/>
      <c r="KVL25" s="1117"/>
      <c r="KVM25" s="1117"/>
      <c r="KVN25" s="1117"/>
      <c r="KVO25" s="1117"/>
      <c r="KVP25" s="1117"/>
      <c r="KVQ25" s="1117"/>
      <c r="KVR25" s="1117"/>
      <c r="KVS25" s="1117"/>
      <c r="KVT25" s="1117"/>
      <c r="KVU25" s="1117"/>
      <c r="KVV25" s="1117"/>
      <c r="KVW25" s="1117"/>
      <c r="KVX25" s="1117"/>
      <c r="KVY25" s="1117"/>
      <c r="KVZ25" s="1117"/>
      <c r="KWA25" s="1117"/>
      <c r="KWB25" s="1117"/>
      <c r="KWC25" s="1117"/>
      <c r="KWD25" s="1117"/>
      <c r="KWE25" s="1117"/>
      <c r="KWF25" s="1117"/>
      <c r="KWG25" s="1117"/>
      <c r="KWH25" s="1117"/>
      <c r="KWI25" s="1117"/>
      <c r="KWJ25" s="1117"/>
      <c r="KWK25" s="1117"/>
      <c r="KWL25" s="1117"/>
      <c r="KWM25" s="1117"/>
      <c r="KWN25" s="1117"/>
      <c r="KWO25" s="1117"/>
      <c r="KWP25" s="1117"/>
      <c r="KWQ25" s="1117"/>
      <c r="KWR25" s="1117"/>
      <c r="KWS25" s="1117"/>
      <c r="KWT25" s="1117"/>
      <c r="KWU25" s="1117"/>
      <c r="KWV25" s="1117"/>
      <c r="KWW25" s="1117"/>
      <c r="KWX25" s="1117"/>
      <c r="KWY25" s="1117"/>
      <c r="KWZ25" s="1117"/>
      <c r="KXA25" s="1117"/>
      <c r="KXB25" s="1117"/>
      <c r="KXC25" s="1117"/>
      <c r="KXD25" s="1117"/>
      <c r="KXE25" s="1117"/>
      <c r="KXF25" s="1117"/>
      <c r="KXG25" s="1117"/>
      <c r="KXH25" s="1117"/>
      <c r="KXI25" s="1117"/>
      <c r="KXJ25" s="1117"/>
      <c r="KXK25" s="1117"/>
      <c r="KXL25" s="1117"/>
      <c r="KXM25" s="1117"/>
      <c r="KXN25" s="1117"/>
      <c r="KXO25" s="1117"/>
      <c r="KXP25" s="1117"/>
      <c r="KXQ25" s="1117"/>
      <c r="KXR25" s="1117"/>
      <c r="KXS25" s="1117"/>
      <c r="KXT25" s="1117"/>
      <c r="KXU25" s="1117"/>
      <c r="KXV25" s="1117"/>
      <c r="KXW25" s="1117"/>
      <c r="KXX25" s="1117"/>
      <c r="KXY25" s="1117"/>
      <c r="KXZ25" s="1117"/>
      <c r="KYA25" s="1117"/>
      <c r="KYB25" s="1117"/>
      <c r="KYC25" s="1117"/>
      <c r="KYD25" s="1117"/>
      <c r="KYE25" s="1117"/>
      <c r="KYF25" s="1117"/>
      <c r="KYG25" s="1117"/>
      <c r="KYH25" s="1117"/>
      <c r="KYI25" s="1117"/>
      <c r="KYJ25" s="1117"/>
      <c r="KYK25" s="1117"/>
      <c r="KYL25" s="1117"/>
      <c r="KYM25" s="1117"/>
      <c r="KYN25" s="1117"/>
      <c r="KYO25" s="1117"/>
      <c r="KYP25" s="1117"/>
      <c r="KYQ25" s="1117"/>
      <c r="KYR25" s="1117"/>
      <c r="KYS25" s="1117"/>
      <c r="KYT25" s="1117"/>
      <c r="KYU25" s="1117"/>
      <c r="KYV25" s="1117"/>
      <c r="KYW25" s="1117"/>
      <c r="KYX25" s="1117"/>
      <c r="KYY25" s="1117"/>
      <c r="KYZ25" s="1117"/>
      <c r="KZA25" s="1117"/>
      <c r="KZB25" s="1117"/>
      <c r="KZC25" s="1117"/>
      <c r="KZD25" s="1117"/>
      <c r="KZE25" s="1117"/>
      <c r="KZF25" s="1117"/>
      <c r="KZG25" s="1117"/>
      <c r="KZH25" s="1117"/>
      <c r="KZI25" s="1117"/>
      <c r="KZJ25" s="1117"/>
      <c r="KZK25" s="1117"/>
      <c r="KZL25" s="1117"/>
      <c r="KZM25" s="1117"/>
      <c r="KZN25" s="1117"/>
      <c r="KZO25" s="1117"/>
      <c r="KZP25" s="1117"/>
      <c r="KZQ25" s="1117"/>
      <c r="KZR25" s="1117"/>
      <c r="KZS25" s="1117"/>
      <c r="KZT25" s="1117"/>
      <c r="KZU25" s="1117"/>
      <c r="KZV25" s="1117"/>
      <c r="KZW25" s="1117"/>
      <c r="KZX25" s="1117"/>
      <c r="KZY25" s="1117"/>
      <c r="KZZ25" s="1117"/>
      <c r="LAA25" s="1117"/>
      <c r="LAB25" s="1117"/>
      <c r="LAC25" s="1117"/>
      <c r="LAD25" s="1117"/>
      <c r="LAE25" s="1117"/>
      <c r="LAF25" s="1117"/>
      <c r="LAG25" s="1117"/>
      <c r="LAH25" s="1117"/>
      <c r="LAI25" s="1117"/>
      <c r="LAJ25" s="1117"/>
      <c r="LAK25" s="1117"/>
      <c r="LAL25" s="1117"/>
      <c r="LAM25" s="1117"/>
      <c r="LAN25" s="1117"/>
      <c r="LAO25" s="1117"/>
      <c r="LAP25" s="1117"/>
      <c r="LAQ25" s="1117"/>
      <c r="LAR25" s="1117"/>
      <c r="LAS25" s="1117"/>
      <c r="LAT25" s="1117"/>
      <c r="LAU25" s="1117"/>
      <c r="LAV25" s="1117"/>
      <c r="LAW25" s="1117"/>
      <c r="LAX25" s="1117"/>
      <c r="LAY25" s="1117"/>
      <c r="LAZ25" s="1117"/>
      <c r="LBA25" s="1117"/>
      <c r="LBB25" s="1117"/>
      <c r="LBC25" s="1117"/>
      <c r="LBD25" s="1117"/>
      <c r="LBE25" s="1117"/>
      <c r="LBF25" s="1117"/>
      <c r="LBG25" s="1117"/>
      <c r="LBH25" s="1117"/>
      <c r="LBI25" s="1117"/>
      <c r="LBJ25" s="1117"/>
      <c r="LBK25" s="1117"/>
      <c r="LBL25" s="1117"/>
      <c r="LBM25" s="1117"/>
      <c r="LBN25" s="1117"/>
      <c r="LBO25" s="1117"/>
      <c r="LBP25" s="1117"/>
      <c r="LBQ25" s="1117"/>
      <c r="LBR25" s="1117"/>
      <c r="LBS25" s="1117"/>
      <c r="LBT25" s="1117"/>
      <c r="LBU25" s="1117"/>
      <c r="LBV25" s="1117"/>
      <c r="LBW25" s="1117"/>
      <c r="LBX25" s="1117"/>
      <c r="LBY25" s="1117"/>
      <c r="LBZ25" s="1117"/>
      <c r="LCA25" s="1117"/>
      <c r="LCB25" s="1117"/>
      <c r="LCC25" s="1117"/>
      <c r="LCD25" s="1117"/>
      <c r="LCE25" s="1117"/>
      <c r="LCF25" s="1117"/>
      <c r="LCG25" s="1117"/>
      <c r="LCH25" s="1117"/>
      <c r="LCI25" s="1117"/>
      <c r="LCJ25" s="1117"/>
      <c r="LCK25" s="1117"/>
      <c r="LCL25" s="1117"/>
      <c r="LCM25" s="1117"/>
      <c r="LCN25" s="1117"/>
      <c r="LCO25" s="1117"/>
      <c r="LCP25" s="1117"/>
      <c r="LCQ25" s="1117"/>
      <c r="LCR25" s="1117"/>
      <c r="LCS25" s="1117"/>
      <c r="LCT25" s="1117"/>
      <c r="LCU25" s="1117"/>
      <c r="LCV25" s="1117"/>
      <c r="LCW25" s="1117"/>
      <c r="LCX25" s="1117"/>
      <c r="LCY25" s="1117"/>
      <c r="LCZ25" s="1117"/>
      <c r="LDA25" s="1117"/>
      <c r="LDB25" s="1117"/>
      <c r="LDC25" s="1117"/>
      <c r="LDD25" s="1117"/>
      <c r="LDE25" s="1117"/>
      <c r="LDF25" s="1117"/>
      <c r="LDG25" s="1117"/>
      <c r="LDH25" s="1117"/>
      <c r="LDI25" s="1117"/>
      <c r="LDJ25" s="1117"/>
      <c r="LDK25" s="1117"/>
      <c r="LDL25" s="1117"/>
      <c r="LDM25" s="1117"/>
      <c r="LDN25" s="1117"/>
      <c r="LDO25" s="1117"/>
      <c r="LDP25" s="1117"/>
      <c r="LDQ25" s="1117"/>
      <c r="LDR25" s="1117"/>
      <c r="LDS25" s="1117"/>
      <c r="LDT25" s="1117"/>
      <c r="LDU25" s="1117"/>
      <c r="LDV25" s="1117"/>
      <c r="LDW25" s="1117"/>
      <c r="LDX25" s="1117"/>
      <c r="LDY25" s="1117"/>
      <c r="LDZ25" s="1117"/>
      <c r="LEA25" s="1117"/>
      <c r="LEB25" s="1117"/>
      <c r="LEC25" s="1117"/>
      <c r="LED25" s="1117"/>
      <c r="LEE25" s="1117"/>
      <c r="LEF25" s="1117"/>
      <c r="LEG25" s="1117"/>
      <c r="LEH25" s="1117"/>
      <c r="LEI25" s="1117"/>
      <c r="LEJ25" s="1117"/>
      <c r="LEK25" s="1117"/>
      <c r="LEL25" s="1117"/>
      <c r="LEM25" s="1117"/>
      <c r="LEN25" s="1117"/>
      <c r="LEO25" s="1117"/>
      <c r="LEP25" s="1117"/>
      <c r="LEQ25" s="1117"/>
      <c r="LER25" s="1117"/>
      <c r="LES25" s="1117"/>
      <c r="LET25" s="1117"/>
      <c r="LEU25" s="1117"/>
      <c r="LEV25" s="1117"/>
      <c r="LEW25" s="1117"/>
      <c r="LEX25" s="1117"/>
      <c r="LEY25" s="1117"/>
      <c r="LEZ25" s="1117"/>
      <c r="LFA25" s="1117"/>
      <c r="LFB25" s="1117"/>
      <c r="LFC25" s="1117"/>
      <c r="LFD25" s="1117"/>
      <c r="LFE25" s="1117"/>
      <c r="LFF25" s="1117"/>
      <c r="LFG25" s="1117"/>
      <c r="LFH25" s="1117"/>
      <c r="LFI25" s="1117"/>
      <c r="LFJ25" s="1117"/>
      <c r="LFK25" s="1117"/>
      <c r="LFL25" s="1117"/>
      <c r="LFM25" s="1117"/>
      <c r="LFN25" s="1117"/>
      <c r="LFO25" s="1117"/>
      <c r="LFP25" s="1117"/>
      <c r="LFQ25" s="1117"/>
      <c r="LFR25" s="1117"/>
      <c r="LFS25" s="1117"/>
      <c r="LFT25" s="1117"/>
      <c r="LFU25" s="1117"/>
      <c r="LFV25" s="1117"/>
      <c r="LFW25" s="1117"/>
      <c r="LFX25" s="1117"/>
      <c r="LFY25" s="1117"/>
      <c r="LFZ25" s="1117"/>
      <c r="LGA25" s="1117"/>
      <c r="LGB25" s="1117"/>
      <c r="LGC25" s="1117"/>
      <c r="LGD25" s="1117"/>
      <c r="LGE25" s="1117"/>
      <c r="LGF25" s="1117"/>
      <c r="LGG25" s="1117"/>
      <c r="LGH25" s="1117"/>
      <c r="LGI25" s="1117"/>
      <c r="LGJ25" s="1117"/>
      <c r="LGK25" s="1117"/>
      <c r="LGL25" s="1117"/>
      <c r="LGM25" s="1117"/>
      <c r="LGN25" s="1117"/>
      <c r="LGO25" s="1117"/>
      <c r="LGP25" s="1117"/>
      <c r="LGQ25" s="1117"/>
      <c r="LGR25" s="1117"/>
      <c r="LGS25" s="1117"/>
      <c r="LGT25" s="1117"/>
      <c r="LGU25" s="1117"/>
      <c r="LGV25" s="1117"/>
      <c r="LGW25" s="1117"/>
      <c r="LGX25" s="1117"/>
      <c r="LGY25" s="1117"/>
      <c r="LGZ25" s="1117"/>
      <c r="LHA25" s="1117"/>
      <c r="LHB25" s="1117"/>
      <c r="LHC25" s="1117"/>
      <c r="LHD25" s="1117"/>
      <c r="LHE25" s="1117"/>
      <c r="LHF25" s="1117"/>
      <c r="LHG25" s="1117"/>
      <c r="LHH25" s="1117"/>
      <c r="LHI25" s="1117"/>
      <c r="LHJ25" s="1117"/>
      <c r="LHK25" s="1117"/>
      <c r="LHL25" s="1117"/>
      <c r="LHM25" s="1117"/>
      <c r="LHN25" s="1117"/>
      <c r="LHO25" s="1117"/>
      <c r="LHP25" s="1117"/>
      <c r="LHQ25" s="1117"/>
      <c r="LHR25" s="1117"/>
      <c r="LHS25" s="1117"/>
      <c r="LHT25" s="1117"/>
      <c r="LHU25" s="1117"/>
      <c r="LHV25" s="1117"/>
      <c r="LHW25" s="1117"/>
      <c r="LHX25" s="1117"/>
      <c r="LHY25" s="1117"/>
      <c r="LHZ25" s="1117"/>
      <c r="LIA25" s="1117"/>
      <c r="LIB25" s="1117"/>
      <c r="LIC25" s="1117"/>
      <c r="LID25" s="1117"/>
      <c r="LIE25" s="1117"/>
      <c r="LIF25" s="1117"/>
      <c r="LIG25" s="1117"/>
      <c r="LIH25" s="1117"/>
      <c r="LII25" s="1117"/>
      <c r="LIJ25" s="1117"/>
      <c r="LIK25" s="1117"/>
      <c r="LIL25" s="1117"/>
      <c r="LIM25" s="1117"/>
      <c r="LIN25" s="1117"/>
      <c r="LIO25" s="1117"/>
      <c r="LIP25" s="1117"/>
      <c r="LIQ25" s="1117"/>
      <c r="LIR25" s="1117"/>
      <c r="LIS25" s="1117"/>
      <c r="LIT25" s="1117"/>
      <c r="LIU25" s="1117"/>
      <c r="LIV25" s="1117"/>
      <c r="LIW25" s="1117"/>
      <c r="LIX25" s="1117"/>
      <c r="LIY25" s="1117"/>
      <c r="LIZ25" s="1117"/>
      <c r="LJA25" s="1117"/>
      <c r="LJB25" s="1117"/>
      <c r="LJC25" s="1117"/>
      <c r="LJD25" s="1117"/>
      <c r="LJE25" s="1117"/>
      <c r="LJF25" s="1117"/>
      <c r="LJG25" s="1117"/>
      <c r="LJH25" s="1117"/>
      <c r="LJI25" s="1117"/>
      <c r="LJJ25" s="1117"/>
      <c r="LJK25" s="1117"/>
      <c r="LJL25" s="1117"/>
      <c r="LJM25" s="1117"/>
      <c r="LJN25" s="1117"/>
      <c r="LJO25" s="1117"/>
      <c r="LJP25" s="1117"/>
      <c r="LJQ25" s="1117"/>
      <c r="LJR25" s="1117"/>
      <c r="LJS25" s="1117"/>
      <c r="LJT25" s="1117"/>
      <c r="LJU25" s="1117"/>
      <c r="LJV25" s="1117"/>
      <c r="LJW25" s="1117"/>
      <c r="LJX25" s="1117"/>
      <c r="LJY25" s="1117"/>
      <c r="LJZ25" s="1117"/>
      <c r="LKA25" s="1117"/>
      <c r="LKB25" s="1117"/>
      <c r="LKC25" s="1117"/>
      <c r="LKD25" s="1117"/>
      <c r="LKE25" s="1117"/>
      <c r="LKF25" s="1117"/>
      <c r="LKG25" s="1117"/>
      <c r="LKH25" s="1117"/>
      <c r="LKI25" s="1117"/>
      <c r="LKJ25" s="1117"/>
      <c r="LKK25" s="1117"/>
      <c r="LKL25" s="1117"/>
      <c r="LKM25" s="1117"/>
      <c r="LKN25" s="1117"/>
      <c r="LKO25" s="1117"/>
      <c r="LKP25" s="1117"/>
      <c r="LKQ25" s="1117"/>
      <c r="LKR25" s="1117"/>
      <c r="LKS25" s="1117"/>
      <c r="LKT25" s="1117"/>
      <c r="LKU25" s="1117"/>
      <c r="LKV25" s="1117"/>
      <c r="LKW25" s="1117"/>
      <c r="LKX25" s="1117"/>
      <c r="LKY25" s="1117"/>
      <c r="LKZ25" s="1117"/>
      <c r="LLA25" s="1117"/>
      <c r="LLB25" s="1117"/>
      <c r="LLC25" s="1117"/>
      <c r="LLD25" s="1117"/>
      <c r="LLE25" s="1117"/>
      <c r="LLF25" s="1117"/>
      <c r="LLG25" s="1117"/>
      <c r="LLH25" s="1117"/>
      <c r="LLI25" s="1117"/>
      <c r="LLJ25" s="1117"/>
      <c r="LLK25" s="1117"/>
      <c r="LLL25" s="1117"/>
      <c r="LLM25" s="1117"/>
      <c r="LLN25" s="1117"/>
      <c r="LLO25" s="1117"/>
      <c r="LLP25" s="1117"/>
      <c r="LLQ25" s="1117"/>
      <c r="LLR25" s="1117"/>
      <c r="LLS25" s="1117"/>
      <c r="LLT25" s="1117"/>
      <c r="LLU25" s="1117"/>
      <c r="LLV25" s="1117"/>
      <c r="LLW25" s="1117"/>
      <c r="LLX25" s="1117"/>
      <c r="LLY25" s="1117"/>
      <c r="LLZ25" s="1117"/>
      <c r="LMA25" s="1117"/>
      <c r="LMB25" s="1117"/>
      <c r="LMC25" s="1117"/>
      <c r="LMD25" s="1117"/>
      <c r="LME25" s="1117"/>
      <c r="LMF25" s="1117"/>
      <c r="LMG25" s="1117"/>
      <c r="LMH25" s="1117"/>
      <c r="LMI25" s="1117"/>
      <c r="LMJ25" s="1117"/>
      <c r="LMK25" s="1117"/>
      <c r="LML25" s="1117"/>
      <c r="LMM25" s="1117"/>
      <c r="LMN25" s="1117"/>
      <c r="LMO25" s="1117"/>
      <c r="LMP25" s="1117"/>
      <c r="LMQ25" s="1117"/>
      <c r="LMR25" s="1117"/>
      <c r="LMS25" s="1117"/>
      <c r="LMT25" s="1117"/>
      <c r="LMU25" s="1117"/>
      <c r="LMV25" s="1117"/>
      <c r="LMW25" s="1117"/>
      <c r="LMX25" s="1117"/>
      <c r="LMY25" s="1117"/>
      <c r="LMZ25" s="1117"/>
      <c r="LNA25" s="1117"/>
      <c r="LNB25" s="1117"/>
      <c r="LNC25" s="1117"/>
      <c r="LND25" s="1117"/>
      <c r="LNE25" s="1117"/>
      <c r="LNF25" s="1117"/>
      <c r="LNG25" s="1117"/>
      <c r="LNH25" s="1117"/>
      <c r="LNI25" s="1117"/>
      <c r="LNJ25" s="1117"/>
      <c r="LNK25" s="1117"/>
      <c r="LNL25" s="1117"/>
      <c r="LNM25" s="1117"/>
      <c r="LNN25" s="1117"/>
      <c r="LNO25" s="1117"/>
      <c r="LNP25" s="1117"/>
      <c r="LNQ25" s="1117"/>
      <c r="LNR25" s="1117"/>
      <c r="LNS25" s="1117"/>
      <c r="LNT25" s="1117"/>
      <c r="LNU25" s="1117"/>
      <c r="LNV25" s="1117"/>
      <c r="LNW25" s="1117"/>
      <c r="LNX25" s="1117"/>
      <c r="LNY25" s="1117"/>
      <c r="LNZ25" s="1117"/>
      <c r="LOA25" s="1117"/>
      <c r="LOB25" s="1117"/>
      <c r="LOC25" s="1117"/>
      <c r="LOD25" s="1117"/>
      <c r="LOE25" s="1117"/>
      <c r="LOF25" s="1117"/>
      <c r="LOG25" s="1117"/>
      <c r="LOH25" s="1117"/>
      <c r="LOI25" s="1117"/>
      <c r="LOJ25" s="1117"/>
      <c r="LOK25" s="1117"/>
      <c r="LOL25" s="1117"/>
      <c r="LOM25" s="1117"/>
      <c r="LON25" s="1117"/>
      <c r="LOO25" s="1117"/>
      <c r="LOP25" s="1117"/>
      <c r="LOQ25" s="1117"/>
      <c r="LOR25" s="1117"/>
      <c r="LOS25" s="1117"/>
      <c r="LOT25" s="1117"/>
      <c r="LOU25" s="1117"/>
      <c r="LOV25" s="1117"/>
      <c r="LOW25" s="1117"/>
      <c r="LOX25" s="1117"/>
      <c r="LOY25" s="1117"/>
      <c r="LOZ25" s="1117"/>
      <c r="LPA25" s="1117"/>
      <c r="LPB25" s="1117"/>
      <c r="LPC25" s="1117"/>
      <c r="LPD25" s="1117"/>
      <c r="LPE25" s="1117"/>
      <c r="LPF25" s="1117"/>
      <c r="LPG25" s="1117"/>
      <c r="LPH25" s="1117"/>
      <c r="LPI25" s="1117"/>
      <c r="LPJ25" s="1117"/>
      <c r="LPK25" s="1117"/>
      <c r="LPL25" s="1117"/>
      <c r="LPM25" s="1117"/>
      <c r="LPN25" s="1117"/>
      <c r="LPO25" s="1117"/>
      <c r="LPP25" s="1117"/>
      <c r="LPQ25" s="1117"/>
      <c r="LPR25" s="1117"/>
      <c r="LPS25" s="1117"/>
      <c r="LPT25" s="1117"/>
      <c r="LPU25" s="1117"/>
      <c r="LPV25" s="1117"/>
      <c r="LPW25" s="1117"/>
      <c r="LPX25" s="1117"/>
      <c r="LPY25" s="1117"/>
      <c r="LPZ25" s="1117"/>
      <c r="LQA25" s="1117"/>
      <c r="LQB25" s="1117"/>
      <c r="LQC25" s="1117"/>
      <c r="LQD25" s="1117"/>
      <c r="LQE25" s="1117"/>
      <c r="LQF25" s="1117"/>
      <c r="LQG25" s="1117"/>
      <c r="LQH25" s="1117"/>
      <c r="LQI25" s="1117"/>
      <c r="LQJ25" s="1117"/>
      <c r="LQK25" s="1117"/>
      <c r="LQL25" s="1117"/>
      <c r="LQM25" s="1117"/>
      <c r="LQN25" s="1117"/>
      <c r="LQO25" s="1117"/>
      <c r="LQP25" s="1117"/>
      <c r="LQQ25" s="1117"/>
      <c r="LQR25" s="1117"/>
      <c r="LQS25" s="1117"/>
      <c r="LQT25" s="1117"/>
      <c r="LQU25" s="1117"/>
      <c r="LQV25" s="1117"/>
      <c r="LQW25" s="1117"/>
      <c r="LQX25" s="1117"/>
      <c r="LQY25" s="1117"/>
      <c r="LQZ25" s="1117"/>
      <c r="LRA25" s="1117"/>
      <c r="LRB25" s="1117"/>
      <c r="LRC25" s="1117"/>
      <c r="LRD25" s="1117"/>
      <c r="LRE25" s="1117"/>
      <c r="LRF25" s="1117"/>
      <c r="LRG25" s="1117"/>
      <c r="LRH25" s="1117"/>
      <c r="LRI25" s="1117"/>
      <c r="LRJ25" s="1117"/>
      <c r="LRK25" s="1117"/>
      <c r="LRL25" s="1117"/>
      <c r="LRM25" s="1117"/>
      <c r="LRN25" s="1117"/>
      <c r="LRO25" s="1117"/>
      <c r="LRP25" s="1117"/>
      <c r="LRQ25" s="1117"/>
      <c r="LRR25" s="1117"/>
      <c r="LRS25" s="1117"/>
      <c r="LRT25" s="1117"/>
      <c r="LRU25" s="1117"/>
      <c r="LRV25" s="1117"/>
      <c r="LRW25" s="1117"/>
      <c r="LRX25" s="1117"/>
      <c r="LRY25" s="1117"/>
      <c r="LRZ25" s="1117"/>
      <c r="LSA25" s="1117"/>
      <c r="LSB25" s="1117"/>
      <c r="LSC25" s="1117"/>
      <c r="LSD25" s="1117"/>
      <c r="LSE25" s="1117"/>
      <c r="LSF25" s="1117"/>
      <c r="LSG25" s="1117"/>
      <c r="LSH25" s="1117"/>
      <c r="LSI25" s="1117"/>
      <c r="LSJ25" s="1117"/>
      <c r="LSK25" s="1117"/>
      <c r="LSL25" s="1117"/>
      <c r="LSM25" s="1117"/>
      <c r="LSN25" s="1117"/>
      <c r="LSO25" s="1117"/>
      <c r="LSP25" s="1117"/>
      <c r="LSQ25" s="1117"/>
      <c r="LSR25" s="1117"/>
      <c r="LSS25" s="1117"/>
      <c r="LST25" s="1117"/>
      <c r="LSU25" s="1117"/>
      <c r="LSV25" s="1117"/>
      <c r="LSW25" s="1117"/>
      <c r="LSX25" s="1117"/>
      <c r="LSY25" s="1117"/>
      <c r="LSZ25" s="1117"/>
      <c r="LTA25" s="1117"/>
      <c r="LTB25" s="1117"/>
      <c r="LTC25" s="1117"/>
      <c r="LTD25" s="1117"/>
      <c r="LTE25" s="1117"/>
      <c r="LTF25" s="1117"/>
      <c r="LTG25" s="1117"/>
      <c r="LTH25" s="1117"/>
      <c r="LTI25" s="1117"/>
      <c r="LTJ25" s="1117"/>
      <c r="LTK25" s="1117"/>
      <c r="LTL25" s="1117"/>
      <c r="LTM25" s="1117"/>
      <c r="LTN25" s="1117"/>
      <c r="LTO25" s="1117"/>
      <c r="LTP25" s="1117"/>
      <c r="LTQ25" s="1117"/>
      <c r="LTR25" s="1117"/>
      <c r="LTS25" s="1117"/>
      <c r="LTT25" s="1117"/>
      <c r="LTU25" s="1117"/>
      <c r="LTV25" s="1117"/>
      <c r="LTW25" s="1117"/>
      <c r="LTX25" s="1117"/>
      <c r="LTY25" s="1117"/>
      <c r="LTZ25" s="1117"/>
      <c r="LUA25" s="1117"/>
      <c r="LUB25" s="1117"/>
      <c r="LUC25" s="1117"/>
      <c r="LUD25" s="1117"/>
      <c r="LUE25" s="1117"/>
      <c r="LUF25" s="1117"/>
      <c r="LUG25" s="1117"/>
      <c r="LUH25" s="1117"/>
      <c r="LUI25" s="1117"/>
      <c r="LUJ25" s="1117"/>
      <c r="LUK25" s="1117"/>
      <c r="LUL25" s="1117"/>
      <c r="LUM25" s="1117"/>
      <c r="LUN25" s="1117"/>
      <c r="LUO25" s="1117"/>
      <c r="LUP25" s="1117"/>
      <c r="LUQ25" s="1117"/>
      <c r="LUR25" s="1117"/>
      <c r="LUS25" s="1117"/>
      <c r="LUT25" s="1117"/>
      <c r="LUU25" s="1117"/>
      <c r="LUV25" s="1117"/>
      <c r="LUW25" s="1117"/>
      <c r="LUX25" s="1117"/>
      <c r="LUY25" s="1117"/>
      <c r="LUZ25" s="1117"/>
      <c r="LVA25" s="1117"/>
      <c r="LVB25" s="1117"/>
      <c r="LVC25" s="1117"/>
      <c r="LVD25" s="1117"/>
      <c r="LVE25" s="1117"/>
      <c r="LVF25" s="1117"/>
      <c r="LVG25" s="1117"/>
      <c r="LVH25" s="1117"/>
      <c r="LVI25" s="1117"/>
      <c r="LVJ25" s="1117"/>
      <c r="LVK25" s="1117"/>
      <c r="LVL25" s="1117"/>
      <c r="LVM25" s="1117"/>
      <c r="LVN25" s="1117"/>
      <c r="LVO25" s="1117"/>
      <c r="LVP25" s="1117"/>
      <c r="LVQ25" s="1117"/>
      <c r="LVR25" s="1117"/>
      <c r="LVS25" s="1117"/>
      <c r="LVT25" s="1117"/>
      <c r="LVU25" s="1117"/>
      <c r="LVV25" s="1117"/>
      <c r="LVW25" s="1117"/>
      <c r="LVX25" s="1117"/>
      <c r="LVY25" s="1117"/>
      <c r="LVZ25" s="1117"/>
      <c r="LWA25" s="1117"/>
      <c r="LWB25" s="1117"/>
      <c r="LWC25" s="1117"/>
      <c r="LWD25" s="1117"/>
      <c r="LWE25" s="1117"/>
      <c r="LWF25" s="1117"/>
      <c r="LWG25" s="1117"/>
      <c r="LWH25" s="1117"/>
      <c r="LWI25" s="1117"/>
      <c r="LWJ25" s="1117"/>
      <c r="LWK25" s="1117"/>
      <c r="LWL25" s="1117"/>
      <c r="LWM25" s="1117"/>
      <c r="LWN25" s="1117"/>
      <c r="LWO25" s="1117"/>
      <c r="LWP25" s="1117"/>
      <c r="LWQ25" s="1117"/>
      <c r="LWR25" s="1117"/>
      <c r="LWS25" s="1117"/>
      <c r="LWT25" s="1117"/>
      <c r="LWU25" s="1117"/>
      <c r="LWV25" s="1117"/>
      <c r="LWW25" s="1117"/>
      <c r="LWX25" s="1117"/>
      <c r="LWY25" s="1117"/>
      <c r="LWZ25" s="1117"/>
      <c r="LXA25" s="1117"/>
      <c r="LXB25" s="1117"/>
      <c r="LXC25" s="1117"/>
      <c r="LXD25" s="1117"/>
      <c r="LXE25" s="1117"/>
      <c r="LXF25" s="1117"/>
      <c r="LXG25" s="1117"/>
      <c r="LXH25" s="1117"/>
      <c r="LXI25" s="1117"/>
      <c r="LXJ25" s="1117"/>
      <c r="LXK25" s="1117"/>
      <c r="LXL25" s="1117"/>
      <c r="LXM25" s="1117"/>
      <c r="LXN25" s="1117"/>
      <c r="LXO25" s="1117"/>
      <c r="LXP25" s="1117"/>
      <c r="LXQ25" s="1117"/>
      <c r="LXR25" s="1117"/>
      <c r="LXS25" s="1117"/>
      <c r="LXT25" s="1117"/>
      <c r="LXU25" s="1117"/>
      <c r="LXV25" s="1117"/>
      <c r="LXW25" s="1117"/>
      <c r="LXX25" s="1117"/>
      <c r="LXY25" s="1117"/>
      <c r="LXZ25" s="1117"/>
      <c r="LYA25" s="1117"/>
      <c r="LYB25" s="1117"/>
      <c r="LYC25" s="1117"/>
      <c r="LYD25" s="1117"/>
      <c r="LYE25" s="1117"/>
      <c r="LYF25" s="1117"/>
      <c r="LYG25" s="1117"/>
      <c r="LYH25" s="1117"/>
      <c r="LYI25" s="1117"/>
      <c r="LYJ25" s="1117"/>
      <c r="LYK25" s="1117"/>
      <c r="LYL25" s="1117"/>
      <c r="LYM25" s="1117"/>
      <c r="LYN25" s="1117"/>
      <c r="LYO25" s="1117"/>
      <c r="LYP25" s="1117"/>
      <c r="LYQ25" s="1117"/>
      <c r="LYR25" s="1117"/>
      <c r="LYS25" s="1117"/>
      <c r="LYT25" s="1117"/>
      <c r="LYU25" s="1117"/>
      <c r="LYV25" s="1117"/>
      <c r="LYW25" s="1117"/>
      <c r="LYX25" s="1117"/>
      <c r="LYY25" s="1117"/>
      <c r="LYZ25" s="1117"/>
      <c r="LZA25" s="1117"/>
      <c r="LZB25" s="1117"/>
      <c r="LZC25" s="1117"/>
      <c r="LZD25" s="1117"/>
      <c r="LZE25" s="1117"/>
      <c r="LZF25" s="1117"/>
      <c r="LZG25" s="1117"/>
      <c r="LZH25" s="1117"/>
      <c r="LZI25" s="1117"/>
      <c r="LZJ25" s="1117"/>
      <c r="LZK25" s="1117"/>
      <c r="LZL25" s="1117"/>
      <c r="LZM25" s="1117"/>
      <c r="LZN25" s="1117"/>
      <c r="LZO25" s="1117"/>
      <c r="LZP25" s="1117"/>
      <c r="LZQ25" s="1117"/>
      <c r="LZR25" s="1117"/>
      <c r="LZS25" s="1117"/>
      <c r="LZT25" s="1117"/>
      <c r="LZU25" s="1117"/>
      <c r="LZV25" s="1117"/>
      <c r="LZW25" s="1117"/>
      <c r="LZX25" s="1117"/>
      <c r="LZY25" s="1117"/>
      <c r="LZZ25" s="1117"/>
      <c r="MAA25" s="1117"/>
      <c r="MAB25" s="1117"/>
      <c r="MAC25" s="1117"/>
      <c r="MAD25" s="1117"/>
      <c r="MAE25" s="1117"/>
      <c r="MAF25" s="1117"/>
      <c r="MAG25" s="1117"/>
      <c r="MAH25" s="1117"/>
      <c r="MAI25" s="1117"/>
      <c r="MAJ25" s="1117"/>
      <c r="MAK25" s="1117"/>
      <c r="MAL25" s="1117"/>
      <c r="MAM25" s="1117"/>
      <c r="MAN25" s="1117"/>
      <c r="MAO25" s="1117"/>
      <c r="MAP25" s="1117"/>
      <c r="MAQ25" s="1117"/>
      <c r="MAR25" s="1117"/>
      <c r="MAS25" s="1117"/>
      <c r="MAT25" s="1117"/>
      <c r="MAU25" s="1117"/>
      <c r="MAV25" s="1117"/>
      <c r="MAW25" s="1117"/>
      <c r="MAX25" s="1117"/>
      <c r="MAY25" s="1117"/>
      <c r="MAZ25" s="1117"/>
      <c r="MBA25" s="1117"/>
      <c r="MBB25" s="1117"/>
      <c r="MBC25" s="1117"/>
      <c r="MBD25" s="1117"/>
      <c r="MBE25" s="1117"/>
      <c r="MBF25" s="1117"/>
      <c r="MBG25" s="1117"/>
      <c r="MBH25" s="1117"/>
      <c r="MBI25" s="1117"/>
      <c r="MBJ25" s="1117"/>
      <c r="MBK25" s="1117"/>
      <c r="MBL25" s="1117"/>
      <c r="MBM25" s="1117"/>
      <c r="MBN25" s="1117"/>
      <c r="MBO25" s="1117"/>
      <c r="MBP25" s="1117"/>
      <c r="MBQ25" s="1117"/>
      <c r="MBR25" s="1117"/>
      <c r="MBS25" s="1117"/>
      <c r="MBT25" s="1117"/>
      <c r="MBU25" s="1117"/>
      <c r="MBV25" s="1117"/>
      <c r="MBW25" s="1117"/>
      <c r="MBX25" s="1117"/>
      <c r="MBY25" s="1117"/>
      <c r="MBZ25" s="1117"/>
      <c r="MCA25" s="1117"/>
      <c r="MCB25" s="1117"/>
      <c r="MCC25" s="1117"/>
      <c r="MCD25" s="1117"/>
      <c r="MCE25" s="1117"/>
      <c r="MCF25" s="1117"/>
      <c r="MCG25" s="1117"/>
      <c r="MCH25" s="1117"/>
      <c r="MCI25" s="1117"/>
      <c r="MCJ25" s="1117"/>
      <c r="MCK25" s="1117"/>
      <c r="MCL25" s="1117"/>
      <c r="MCM25" s="1117"/>
      <c r="MCN25" s="1117"/>
      <c r="MCO25" s="1117"/>
      <c r="MCP25" s="1117"/>
      <c r="MCQ25" s="1117"/>
      <c r="MCR25" s="1117"/>
      <c r="MCS25" s="1117"/>
      <c r="MCT25" s="1117"/>
      <c r="MCU25" s="1117"/>
      <c r="MCV25" s="1117"/>
      <c r="MCW25" s="1117"/>
      <c r="MCX25" s="1117"/>
      <c r="MCY25" s="1117"/>
      <c r="MCZ25" s="1117"/>
      <c r="MDA25" s="1117"/>
      <c r="MDB25" s="1117"/>
      <c r="MDC25" s="1117"/>
      <c r="MDD25" s="1117"/>
      <c r="MDE25" s="1117"/>
      <c r="MDF25" s="1117"/>
      <c r="MDG25" s="1117"/>
      <c r="MDH25" s="1117"/>
      <c r="MDI25" s="1117"/>
      <c r="MDJ25" s="1117"/>
      <c r="MDK25" s="1117"/>
      <c r="MDL25" s="1117"/>
      <c r="MDM25" s="1117"/>
      <c r="MDN25" s="1117"/>
      <c r="MDO25" s="1117"/>
      <c r="MDP25" s="1117"/>
      <c r="MDQ25" s="1117"/>
      <c r="MDR25" s="1117"/>
      <c r="MDS25" s="1117"/>
      <c r="MDT25" s="1117"/>
      <c r="MDU25" s="1117"/>
      <c r="MDV25" s="1117"/>
      <c r="MDW25" s="1117"/>
      <c r="MDX25" s="1117"/>
      <c r="MDY25" s="1117"/>
      <c r="MDZ25" s="1117"/>
      <c r="MEA25" s="1117"/>
      <c r="MEB25" s="1117"/>
      <c r="MEC25" s="1117"/>
      <c r="MED25" s="1117"/>
      <c r="MEE25" s="1117"/>
      <c r="MEF25" s="1117"/>
      <c r="MEG25" s="1117"/>
      <c r="MEH25" s="1117"/>
      <c r="MEI25" s="1117"/>
      <c r="MEJ25" s="1117"/>
      <c r="MEK25" s="1117"/>
      <c r="MEL25" s="1117"/>
      <c r="MEM25" s="1117"/>
      <c r="MEN25" s="1117"/>
      <c r="MEO25" s="1117"/>
      <c r="MEP25" s="1117"/>
      <c r="MEQ25" s="1117"/>
      <c r="MER25" s="1117"/>
      <c r="MES25" s="1117"/>
      <c r="MET25" s="1117"/>
      <c r="MEU25" s="1117"/>
      <c r="MEV25" s="1117"/>
      <c r="MEW25" s="1117"/>
      <c r="MEX25" s="1117"/>
      <c r="MEY25" s="1117"/>
      <c r="MEZ25" s="1117"/>
      <c r="MFA25" s="1117"/>
      <c r="MFB25" s="1117"/>
      <c r="MFC25" s="1117"/>
      <c r="MFD25" s="1117"/>
      <c r="MFE25" s="1117"/>
      <c r="MFF25" s="1117"/>
      <c r="MFG25" s="1117"/>
      <c r="MFH25" s="1117"/>
      <c r="MFI25" s="1117"/>
      <c r="MFJ25" s="1117"/>
      <c r="MFK25" s="1117"/>
      <c r="MFL25" s="1117"/>
      <c r="MFM25" s="1117"/>
      <c r="MFN25" s="1117"/>
      <c r="MFO25" s="1117"/>
      <c r="MFP25" s="1117"/>
      <c r="MFQ25" s="1117"/>
      <c r="MFR25" s="1117"/>
      <c r="MFS25" s="1117"/>
      <c r="MFT25" s="1117"/>
      <c r="MFU25" s="1117"/>
      <c r="MFV25" s="1117"/>
      <c r="MFW25" s="1117"/>
      <c r="MFX25" s="1117"/>
      <c r="MFY25" s="1117"/>
      <c r="MFZ25" s="1117"/>
      <c r="MGA25" s="1117"/>
      <c r="MGB25" s="1117"/>
      <c r="MGC25" s="1117"/>
      <c r="MGD25" s="1117"/>
      <c r="MGE25" s="1117"/>
      <c r="MGF25" s="1117"/>
      <c r="MGG25" s="1117"/>
      <c r="MGH25" s="1117"/>
      <c r="MGI25" s="1117"/>
      <c r="MGJ25" s="1117"/>
      <c r="MGK25" s="1117"/>
      <c r="MGL25" s="1117"/>
      <c r="MGM25" s="1117"/>
      <c r="MGN25" s="1117"/>
      <c r="MGO25" s="1117"/>
      <c r="MGP25" s="1117"/>
      <c r="MGQ25" s="1117"/>
      <c r="MGR25" s="1117"/>
      <c r="MGS25" s="1117"/>
      <c r="MGT25" s="1117"/>
      <c r="MGU25" s="1117"/>
      <c r="MGV25" s="1117"/>
      <c r="MGW25" s="1117"/>
      <c r="MGX25" s="1117"/>
      <c r="MGY25" s="1117"/>
      <c r="MGZ25" s="1117"/>
      <c r="MHA25" s="1117"/>
      <c r="MHB25" s="1117"/>
      <c r="MHC25" s="1117"/>
      <c r="MHD25" s="1117"/>
      <c r="MHE25" s="1117"/>
      <c r="MHF25" s="1117"/>
      <c r="MHG25" s="1117"/>
      <c r="MHH25" s="1117"/>
      <c r="MHI25" s="1117"/>
      <c r="MHJ25" s="1117"/>
      <c r="MHK25" s="1117"/>
      <c r="MHL25" s="1117"/>
      <c r="MHM25" s="1117"/>
      <c r="MHN25" s="1117"/>
      <c r="MHO25" s="1117"/>
      <c r="MHP25" s="1117"/>
      <c r="MHQ25" s="1117"/>
      <c r="MHR25" s="1117"/>
      <c r="MHS25" s="1117"/>
      <c r="MHT25" s="1117"/>
      <c r="MHU25" s="1117"/>
      <c r="MHV25" s="1117"/>
      <c r="MHW25" s="1117"/>
      <c r="MHX25" s="1117"/>
      <c r="MHY25" s="1117"/>
      <c r="MHZ25" s="1117"/>
      <c r="MIA25" s="1117"/>
      <c r="MIB25" s="1117"/>
      <c r="MIC25" s="1117"/>
      <c r="MID25" s="1117"/>
      <c r="MIE25" s="1117"/>
      <c r="MIF25" s="1117"/>
      <c r="MIG25" s="1117"/>
      <c r="MIH25" s="1117"/>
      <c r="MII25" s="1117"/>
      <c r="MIJ25" s="1117"/>
      <c r="MIK25" s="1117"/>
      <c r="MIL25" s="1117"/>
      <c r="MIM25" s="1117"/>
      <c r="MIN25" s="1117"/>
      <c r="MIO25" s="1117"/>
      <c r="MIP25" s="1117"/>
      <c r="MIQ25" s="1117"/>
      <c r="MIR25" s="1117"/>
      <c r="MIS25" s="1117"/>
      <c r="MIT25" s="1117"/>
      <c r="MIU25" s="1117"/>
      <c r="MIV25" s="1117"/>
      <c r="MIW25" s="1117"/>
      <c r="MIX25" s="1117"/>
      <c r="MIY25" s="1117"/>
      <c r="MIZ25" s="1117"/>
      <c r="MJA25" s="1117"/>
      <c r="MJB25" s="1117"/>
      <c r="MJC25" s="1117"/>
      <c r="MJD25" s="1117"/>
      <c r="MJE25" s="1117"/>
      <c r="MJF25" s="1117"/>
      <c r="MJG25" s="1117"/>
      <c r="MJH25" s="1117"/>
      <c r="MJI25" s="1117"/>
      <c r="MJJ25" s="1117"/>
      <c r="MJK25" s="1117"/>
      <c r="MJL25" s="1117"/>
      <c r="MJM25" s="1117"/>
      <c r="MJN25" s="1117"/>
      <c r="MJO25" s="1117"/>
      <c r="MJP25" s="1117"/>
      <c r="MJQ25" s="1117"/>
      <c r="MJR25" s="1117"/>
      <c r="MJS25" s="1117"/>
      <c r="MJT25" s="1117"/>
      <c r="MJU25" s="1117"/>
      <c r="MJV25" s="1117"/>
      <c r="MJW25" s="1117"/>
      <c r="MJX25" s="1117"/>
      <c r="MJY25" s="1117"/>
      <c r="MJZ25" s="1117"/>
      <c r="MKA25" s="1117"/>
      <c r="MKB25" s="1117"/>
      <c r="MKC25" s="1117"/>
      <c r="MKD25" s="1117"/>
      <c r="MKE25" s="1117"/>
      <c r="MKF25" s="1117"/>
      <c r="MKG25" s="1117"/>
      <c r="MKH25" s="1117"/>
      <c r="MKI25" s="1117"/>
      <c r="MKJ25" s="1117"/>
      <c r="MKK25" s="1117"/>
      <c r="MKL25" s="1117"/>
      <c r="MKM25" s="1117"/>
      <c r="MKN25" s="1117"/>
      <c r="MKO25" s="1117"/>
      <c r="MKP25" s="1117"/>
      <c r="MKQ25" s="1117"/>
      <c r="MKR25" s="1117"/>
      <c r="MKS25" s="1117"/>
      <c r="MKT25" s="1117"/>
      <c r="MKU25" s="1117"/>
      <c r="MKV25" s="1117"/>
      <c r="MKW25" s="1117"/>
      <c r="MKX25" s="1117"/>
      <c r="MKY25" s="1117"/>
      <c r="MKZ25" s="1117"/>
      <c r="MLA25" s="1117"/>
      <c r="MLB25" s="1117"/>
      <c r="MLC25" s="1117"/>
      <c r="MLD25" s="1117"/>
      <c r="MLE25" s="1117"/>
      <c r="MLF25" s="1117"/>
      <c r="MLG25" s="1117"/>
      <c r="MLH25" s="1117"/>
      <c r="MLI25" s="1117"/>
      <c r="MLJ25" s="1117"/>
      <c r="MLK25" s="1117"/>
      <c r="MLL25" s="1117"/>
      <c r="MLM25" s="1117"/>
      <c r="MLN25" s="1117"/>
      <c r="MLO25" s="1117"/>
      <c r="MLP25" s="1117"/>
      <c r="MLQ25" s="1117"/>
      <c r="MLR25" s="1117"/>
      <c r="MLS25" s="1117"/>
      <c r="MLT25" s="1117"/>
      <c r="MLU25" s="1117"/>
      <c r="MLV25" s="1117"/>
      <c r="MLW25" s="1117"/>
      <c r="MLX25" s="1117"/>
      <c r="MLY25" s="1117"/>
      <c r="MLZ25" s="1117"/>
      <c r="MMA25" s="1117"/>
      <c r="MMB25" s="1117"/>
      <c r="MMC25" s="1117"/>
      <c r="MMD25" s="1117"/>
      <c r="MME25" s="1117"/>
      <c r="MMF25" s="1117"/>
      <c r="MMG25" s="1117"/>
      <c r="MMH25" s="1117"/>
      <c r="MMI25" s="1117"/>
      <c r="MMJ25" s="1117"/>
      <c r="MMK25" s="1117"/>
      <c r="MML25" s="1117"/>
      <c r="MMM25" s="1117"/>
      <c r="MMN25" s="1117"/>
      <c r="MMO25" s="1117"/>
      <c r="MMP25" s="1117"/>
      <c r="MMQ25" s="1117"/>
      <c r="MMR25" s="1117"/>
      <c r="MMS25" s="1117"/>
      <c r="MMT25" s="1117"/>
      <c r="MMU25" s="1117"/>
      <c r="MMV25" s="1117"/>
      <c r="MMW25" s="1117"/>
      <c r="MMX25" s="1117"/>
      <c r="MMY25" s="1117"/>
      <c r="MMZ25" s="1117"/>
      <c r="MNA25" s="1117"/>
      <c r="MNB25" s="1117"/>
      <c r="MNC25" s="1117"/>
      <c r="MND25" s="1117"/>
      <c r="MNE25" s="1117"/>
      <c r="MNF25" s="1117"/>
      <c r="MNG25" s="1117"/>
      <c r="MNH25" s="1117"/>
      <c r="MNI25" s="1117"/>
      <c r="MNJ25" s="1117"/>
      <c r="MNK25" s="1117"/>
      <c r="MNL25" s="1117"/>
      <c r="MNM25" s="1117"/>
      <c r="MNN25" s="1117"/>
      <c r="MNO25" s="1117"/>
      <c r="MNP25" s="1117"/>
      <c r="MNQ25" s="1117"/>
      <c r="MNR25" s="1117"/>
      <c r="MNS25" s="1117"/>
      <c r="MNT25" s="1117"/>
      <c r="MNU25" s="1117"/>
      <c r="MNV25" s="1117"/>
      <c r="MNW25" s="1117"/>
      <c r="MNX25" s="1117"/>
      <c r="MNY25" s="1117"/>
      <c r="MNZ25" s="1117"/>
      <c r="MOA25" s="1117"/>
      <c r="MOB25" s="1117"/>
      <c r="MOC25" s="1117"/>
      <c r="MOD25" s="1117"/>
      <c r="MOE25" s="1117"/>
      <c r="MOF25" s="1117"/>
      <c r="MOG25" s="1117"/>
      <c r="MOH25" s="1117"/>
      <c r="MOI25" s="1117"/>
      <c r="MOJ25" s="1117"/>
      <c r="MOK25" s="1117"/>
      <c r="MOL25" s="1117"/>
      <c r="MOM25" s="1117"/>
      <c r="MON25" s="1117"/>
      <c r="MOO25" s="1117"/>
      <c r="MOP25" s="1117"/>
      <c r="MOQ25" s="1117"/>
      <c r="MOR25" s="1117"/>
      <c r="MOS25" s="1117"/>
      <c r="MOT25" s="1117"/>
      <c r="MOU25" s="1117"/>
      <c r="MOV25" s="1117"/>
      <c r="MOW25" s="1117"/>
      <c r="MOX25" s="1117"/>
      <c r="MOY25" s="1117"/>
      <c r="MOZ25" s="1117"/>
      <c r="MPA25" s="1117"/>
      <c r="MPB25" s="1117"/>
      <c r="MPC25" s="1117"/>
      <c r="MPD25" s="1117"/>
      <c r="MPE25" s="1117"/>
      <c r="MPF25" s="1117"/>
      <c r="MPG25" s="1117"/>
      <c r="MPH25" s="1117"/>
      <c r="MPI25" s="1117"/>
      <c r="MPJ25" s="1117"/>
      <c r="MPK25" s="1117"/>
      <c r="MPL25" s="1117"/>
      <c r="MPM25" s="1117"/>
      <c r="MPN25" s="1117"/>
      <c r="MPO25" s="1117"/>
      <c r="MPP25" s="1117"/>
      <c r="MPQ25" s="1117"/>
      <c r="MPR25" s="1117"/>
      <c r="MPS25" s="1117"/>
      <c r="MPT25" s="1117"/>
      <c r="MPU25" s="1117"/>
      <c r="MPV25" s="1117"/>
      <c r="MPW25" s="1117"/>
      <c r="MPX25" s="1117"/>
      <c r="MPY25" s="1117"/>
      <c r="MPZ25" s="1117"/>
      <c r="MQA25" s="1117"/>
      <c r="MQB25" s="1117"/>
      <c r="MQC25" s="1117"/>
      <c r="MQD25" s="1117"/>
      <c r="MQE25" s="1117"/>
      <c r="MQF25" s="1117"/>
      <c r="MQG25" s="1117"/>
      <c r="MQH25" s="1117"/>
      <c r="MQI25" s="1117"/>
      <c r="MQJ25" s="1117"/>
      <c r="MQK25" s="1117"/>
      <c r="MQL25" s="1117"/>
      <c r="MQM25" s="1117"/>
      <c r="MQN25" s="1117"/>
      <c r="MQO25" s="1117"/>
      <c r="MQP25" s="1117"/>
      <c r="MQQ25" s="1117"/>
      <c r="MQR25" s="1117"/>
      <c r="MQS25" s="1117"/>
      <c r="MQT25" s="1117"/>
      <c r="MQU25" s="1117"/>
      <c r="MQV25" s="1117"/>
      <c r="MQW25" s="1117"/>
      <c r="MQX25" s="1117"/>
      <c r="MQY25" s="1117"/>
      <c r="MQZ25" s="1117"/>
      <c r="MRA25" s="1117"/>
      <c r="MRB25" s="1117"/>
      <c r="MRC25" s="1117"/>
      <c r="MRD25" s="1117"/>
      <c r="MRE25" s="1117"/>
      <c r="MRF25" s="1117"/>
      <c r="MRG25" s="1117"/>
      <c r="MRH25" s="1117"/>
      <c r="MRI25" s="1117"/>
      <c r="MRJ25" s="1117"/>
      <c r="MRK25" s="1117"/>
      <c r="MRL25" s="1117"/>
      <c r="MRM25" s="1117"/>
      <c r="MRN25" s="1117"/>
      <c r="MRO25" s="1117"/>
      <c r="MRP25" s="1117"/>
      <c r="MRQ25" s="1117"/>
      <c r="MRR25" s="1117"/>
      <c r="MRS25" s="1117"/>
      <c r="MRT25" s="1117"/>
      <c r="MRU25" s="1117"/>
      <c r="MRV25" s="1117"/>
      <c r="MRW25" s="1117"/>
      <c r="MRX25" s="1117"/>
      <c r="MRY25" s="1117"/>
      <c r="MRZ25" s="1117"/>
      <c r="MSA25" s="1117"/>
      <c r="MSB25" s="1117"/>
      <c r="MSC25" s="1117"/>
      <c r="MSD25" s="1117"/>
      <c r="MSE25" s="1117"/>
      <c r="MSF25" s="1117"/>
      <c r="MSG25" s="1117"/>
      <c r="MSH25" s="1117"/>
      <c r="MSI25" s="1117"/>
      <c r="MSJ25" s="1117"/>
      <c r="MSK25" s="1117"/>
      <c r="MSL25" s="1117"/>
      <c r="MSM25" s="1117"/>
      <c r="MSN25" s="1117"/>
      <c r="MSO25" s="1117"/>
      <c r="MSP25" s="1117"/>
      <c r="MSQ25" s="1117"/>
      <c r="MSR25" s="1117"/>
      <c r="MSS25" s="1117"/>
      <c r="MST25" s="1117"/>
      <c r="MSU25" s="1117"/>
      <c r="MSV25" s="1117"/>
      <c r="MSW25" s="1117"/>
      <c r="MSX25" s="1117"/>
      <c r="MSY25" s="1117"/>
      <c r="MSZ25" s="1117"/>
      <c r="MTA25" s="1117"/>
      <c r="MTB25" s="1117"/>
      <c r="MTC25" s="1117"/>
      <c r="MTD25" s="1117"/>
      <c r="MTE25" s="1117"/>
      <c r="MTF25" s="1117"/>
      <c r="MTG25" s="1117"/>
      <c r="MTH25" s="1117"/>
      <c r="MTI25" s="1117"/>
      <c r="MTJ25" s="1117"/>
      <c r="MTK25" s="1117"/>
      <c r="MTL25" s="1117"/>
      <c r="MTM25" s="1117"/>
      <c r="MTN25" s="1117"/>
      <c r="MTO25" s="1117"/>
      <c r="MTP25" s="1117"/>
      <c r="MTQ25" s="1117"/>
      <c r="MTR25" s="1117"/>
      <c r="MTS25" s="1117"/>
      <c r="MTT25" s="1117"/>
      <c r="MTU25" s="1117"/>
      <c r="MTV25" s="1117"/>
      <c r="MTW25" s="1117"/>
      <c r="MTX25" s="1117"/>
      <c r="MTY25" s="1117"/>
      <c r="MTZ25" s="1117"/>
      <c r="MUA25" s="1117"/>
      <c r="MUB25" s="1117"/>
      <c r="MUC25" s="1117"/>
      <c r="MUD25" s="1117"/>
      <c r="MUE25" s="1117"/>
      <c r="MUF25" s="1117"/>
      <c r="MUG25" s="1117"/>
      <c r="MUH25" s="1117"/>
      <c r="MUI25" s="1117"/>
      <c r="MUJ25" s="1117"/>
      <c r="MUK25" s="1117"/>
      <c r="MUL25" s="1117"/>
      <c r="MUM25" s="1117"/>
      <c r="MUN25" s="1117"/>
      <c r="MUO25" s="1117"/>
      <c r="MUP25" s="1117"/>
      <c r="MUQ25" s="1117"/>
      <c r="MUR25" s="1117"/>
      <c r="MUS25" s="1117"/>
      <c r="MUT25" s="1117"/>
      <c r="MUU25" s="1117"/>
      <c r="MUV25" s="1117"/>
      <c r="MUW25" s="1117"/>
      <c r="MUX25" s="1117"/>
      <c r="MUY25" s="1117"/>
      <c r="MUZ25" s="1117"/>
      <c r="MVA25" s="1117"/>
      <c r="MVB25" s="1117"/>
      <c r="MVC25" s="1117"/>
      <c r="MVD25" s="1117"/>
      <c r="MVE25" s="1117"/>
      <c r="MVF25" s="1117"/>
      <c r="MVG25" s="1117"/>
      <c r="MVH25" s="1117"/>
      <c r="MVI25" s="1117"/>
      <c r="MVJ25" s="1117"/>
      <c r="MVK25" s="1117"/>
      <c r="MVL25" s="1117"/>
      <c r="MVM25" s="1117"/>
      <c r="MVN25" s="1117"/>
      <c r="MVO25" s="1117"/>
      <c r="MVP25" s="1117"/>
      <c r="MVQ25" s="1117"/>
      <c r="MVR25" s="1117"/>
      <c r="MVS25" s="1117"/>
      <c r="MVT25" s="1117"/>
      <c r="MVU25" s="1117"/>
      <c r="MVV25" s="1117"/>
      <c r="MVW25" s="1117"/>
      <c r="MVX25" s="1117"/>
      <c r="MVY25" s="1117"/>
      <c r="MVZ25" s="1117"/>
      <c r="MWA25" s="1117"/>
      <c r="MWB25" s="1117"/>
      <c r="MWC25" s="1117"/>
      <c r="MWD25" s="1117"/>
      <c r="MWE25" s="1117"/>
      <c r="MWF25" s="1117"/>
      <c r="MWG25" s="1117"/>
      <c r="MWH25" s="1117"/>
      <c r="MWI25" s="1117"/>
      <c r="MWJ25" s="1117"/>
      <c r="MWK25" s="1117"/>
      <c r="MWL25" s="1117"/>
      <c r="MWM25" s="1117"/>
      <c r="MWN25" s="1117"/>
      <c r="MWO25" s="1117"/>
      <c r="MWP25" s="1117"/>
      <c r="MWQ25" s="1117"/>
      <c r="MWR25" s="1117"/>
      <c r="MWS25" s="1117"/>
      <c r="MWT25" s="1117"/>
      <c r="MWU25" s="1117"/>
      <c r="MWV25" s="1117"/>
      <c r="MWW25" s="1117"/>
      <c r="MWX25" s="1117"/>
      <c r="MWY25" s="1117"/>
      <c r="MWZ25" s="1117"/>
      <c r="MXA25" s="1117"/>
      <c r="MXB25" s="1117"/>
      <c r="MXC25" s="1117"/>
      <c r="MXD25" s="1117"/>
      <c r="MXE25" s="1117"/>
      <c r="MXF25" s="1117"/>
      <c r="MXG25" s="1117"/>
      <c r="MXH25" s="1117"/>
      <c r="MXI25" s="1117"/>
      <c r="MXJ25" s="1117"/>
      <c r="MXK25" s="1117"/>
      <c r="MXL25" s="1117"/>
      <c r="MXM25" s="1117"/>
      <c r="MXN25" s="1117"/>
      <c r="MXO25" s="1117"/>
      <c r="MXP25" s="1117"/>
      <c r="MXQ25" s="1117"/>
      <c r="MXR25" s="1117"/>
      <c r="MXS25" s="1117"/>
      <c r="MXT25" s="1117"/>
      <c r="MXU25" s="1117"/>
      <c r="MXV25" s="1117"/>
      <c r="MXW25" s="1117"/>
      <c r="MXX25" s="1117"/>
      <c r="MXY25" s="1117"/>
      <c r="MXZ25" s="1117"/>
      <c r="MYA25" s="1117"/>
      <c r="MYB25" s="1117"/>
      <c r="MYC25" s="1117"/>
      <c r="MYD25" s="1117"/>
      <c r="MYE25" s="1117"/>
      <c r="MYF25" s="1117"/>
      <c r="MYG25" s="1117"/>
      <c r="MYH25" s="1117"/>
      <c r="MYI25" s="1117"/>
      <c r="MYJ25" s="1117"/>
      <c r="MYK25" s="1117"/>
      <c r="MYL25" s="1117"/>
      <c r="MYM25" s="1117"/>
      <c r="MYN25" s="1117"/>
      <c r="MYO25" s="1117"/>
      <c r="MYP25" s="1117"/>
      <c r="MYQ25" s="1117"/>
      <c r="MYR25" s="1117"/>
      <c r="MYS25" s="1117"/>
      <c r="MYT25" s="1117"/>
      <c r="MYU25" s="1117"/>
      <c r="MYV25" s="1117"/>
      <c r="MYW25" s="1117"/>
      <c r="MYX25" s="1117"/>
      <c r="MYY25" s="1117"/>
      <c r="MYZ25" s="1117"/>
      <c r="MZA25" s="1117"/>
      <c r="MZB25" s="1117"/>
      <c r="MZC25" s="1117"/>
      <c r="MZD25" s="1117"/>
      <c r="MZE25" s="1117"/>
      <c r="MZF25" s="1117"/>
      <c r="MZG25" s="1117"/>
      <c r="MZH25" s="1117"/>
      <c r="MZI25" s="1117"/>
      <c r="MZJ25" s="1117"/>
      <c r="MZK25" s="1117"/>
      <c r="MZL25" s="1117"/>
      <c r="MZM25" s="1117"/>
      <c r="MZN25" s="1117"/>
      <c r="MZO25" s="1117"/>
      <c r="MZP25" s="1117"/>
      <c r="MZQ25" s="1117"/>
      <c r="MZR25" s="1117"/>
      <c r="MZS25" s="1117"/>
      <c r="MZT25" s="1117"/>
      <c r="MZU25" s="1117"/>
      <c r="MZV25" s="1117"/>
      <c r="MZW25" s="1117"/>
      <c r="MZX25" s="1117"/>
      <c r="MZY25" s="1117"/>
      <c r="MZZ25" s="1117"/>
      <c r="NAA25" s="1117"/>
      <c r="NAB25" s="1117"/>
      <c r="NAC25" s="1117"/>
      <c r="NAD25" s="1117"/>
      <c r="NAE25" s="1117"/>
      <c r="NAF25" s="1117"/>
      <c r="NAG25" s="1117"/>
      <c r="NAH25" s="1117"/>
      <c r="NAI25" s="1117"/>
      <c r="NAJ25" s="1117"/>
      <c r="NAK25" s="1117"/>
      <c r="NAL25" s="1117"/>
      <c r="NAM25" s="1117"/>
      <c r="NAN25" s="1117"/>
      <c r="NAO25" s="1117"/>
      <c r="NAP25" s="1117"/>
      <c r="NAQ25" s="1117"/>
      <c r="NAR25" s="1117"/>
      <c r="NAS25" s="1117"/>
      <c r="NAT25" s="1117"/>
      <c r="NAU25" s="1117"/>
      <c r="NAV25" s="1117"/>
      <c r="NAW25" s="1117"/>
      <c r="NAX25" s="1117"/>
      <c r="NAY25" s="1117"/>
      <c r="NAZ25" s="1117"/>
      <c r="NBA25" s="1117"/>
      <c r="NBB25" s="1117"/>
      <c r="NBC25" s="1117"/>
      <c r="NBD25" s="1117"/>
      <c r="NBE25" s="1117"/>
      <c r="NBF25" s="1117"/>
      <c r="NBG25" s="1117"/>
      <c r="NBH25" s="1117"/>
      <c r="NBI25" s="1117"/>
      <c r="NBJ25" s="1117"/>
      <c r="NBK25" s="1117"/>
      <c r="NBL25" s="1117"/>
      <c r="NBM25" s="1117"/>
      <c r="NBN25" s="1117"/>
      <c r="NBO25" s="1117"/>
      <c r="NBP25" s="1117"/>
      <c r="NBQ25" s="1117"/>
      <c r="NBR25" s="1117"/>
      <c r="NBS25" s="1117"/>
      <c r="NBT25" s="1117"/>
      <c r="NBU25" s="1117"/>
      <c r="NBV25" s="1117"/>
      <c r="NBW25" s="1117"/>
      <c r="NBX25" s="1117"/>
      <c r="NBY25" s="1117"/>
      <c r="NBZ25" s="1117"/>
      <c r="NCA25" s="1117"/>
      <c r="NCB25" s="1117"/>
      <c r="NCC25" s="1117"/>
      <c r="NCD25" s="1117"/>
      <c r="NCE25" s="1117"/>
      <c r="NCF25" s="1117"/>
      <c r="NCG25" s="1117"/>
      <c r="NCH25" s="1117"/>
      <c r="NCI25" s="1117"/>
      <c r="NCJ25" s="1117"/>
      <c r="NCK25" s="1117"/>
      <c r="NCL25" s="1117"/>
      <c r="NCM25" s="1117"/>
      <c r="NCN25" s="1117"/>
      <c r="NCO25" s="1117"/>
      <c r="NCP25" s="1117"/>
      <c r="NCQ25" s="1117"/>
      <c r="NCR25" s="1117"/>
      <c r="NCS25" s="1117"/>
      <c r="NCT25" s="1117"/>
      <c r="NCU25" s="1117"/>
      <c r="NCV25" s="1117"/>
      <c r="NCW25" s="1117"/>
      <c r="NCX25" s="1117"/>
      <c r="NCY25" s="1117"/>
      <c r="NCZ25" s="1117"/>
      <c r="NDA25" s="1117"/>
      <c r="NDB25" s="1117"/>
      <c r="NDC25" s="1117"/>
      <c r="NDD25" s="1117"/>
      <c r="NDE25" s="1117"/>
      <c r="NDF25" s="1117"/>
      <c r="NDG25" s="1117"/>
      <c r="NDH25" s="1117"/>
      <c r="NDI25" s="1117"/>
      <c r="NDJ25" s="1117"/>
      <c r="NDK25" s="1117"/>
      <c r="NDL25" s="1117"/>
      <c r="NDM25" s="1117"/>
      <c r="NDN25" s="1117"/>
      <c r="NDO25" s="1117"/>
      <c r="NDP25" s="1117"/>
      <c r="NDQ25" s="1117"/>
      <c r="NDR25" s="1117"/>
      <c r="NDS25" s="1117"/>
      <c r="NDT25" s="1117"/>
      <c r="NDU25" s="1117"/>
      <c r="NDV25" s="1117"/>
      <c r="NDW25" s="1117"/>
      <c r="NDX25" s="1117"/>
      <c r="NDY25" s="1117"/>
      <c r="NDZ25" s="1117"/>
      <c r="NEA25" s="1117"/>
      <c r="NEB25" s="1117"/>
      <c r="NEC25" s="1117"/>
      <c r="NED25" s="1117"/>
      <c r="NEE25" s="1117"/>
      <c r="NEF25" s="1117"/>
      <c r="NEG25" s="1117"/>
      <c r="NEH25" s="1117"/>
      <c r="NEI25" s="1117"/>
      <c r="NEJ25" s="1117"/>
      <c r="NEK25" s="1117"/>
      <c r="NEL25" s="1117"/>
      <c r="NEM25" s="1117"/>
      <c r="NEN25" s="1117"/>
      <c r="NEO25" s="1117"/>
      <c r="NEP25" s="1117"/>
      <c r="NEQ25" s="1117"/>
      <c r="NER25" s="1117"/>
      <c r="NES25" s="1117"/>
      <c r="NET25" s="1117"/>
      <c r="NEU25" s="1117"/>
      <c r="NEV25" s="1117"/>
      <c r="NEW25" s="1117"/>
      <c r="NEX25" s="1117"/>
      <c r="NEY25" s="1117"/>
      <c r="NEZ25" s="1117"/>
      <c r="NFA25" s="1117"/>
      <c r="NFB25" s="1117"/>
      <c r="NFC25" s="1117"/>
      <c r="NFD25" s="1117"/>
      <c r="NFE25" s="1117"/>
      <c r="NFF25" s="1117"/>
      <c r="NFG25" s="1117"/>
      <c r="NFH25" s="1117"/>
      <c r="NFI25" s="1117"/>
      <c r="NFJ25" s="1117"/>
      <c r="NFK25" s="1117"/>
      <c r="NFL25" s="1117"/>
      <c r="NFM25" s="1117"/>
      <c r="NFN25" s="1117"/>
      <c r="NFO25" s="1117"/>
      <c r="NFP25" s="1117"/>
      <c r="NFQ25" s="1117"/>
      <c r="NFR25" s="1117"/>
      <c r="NFS25" s="1117"/>
      <c r="NFT25" s="1117"/>
      <c r="NFU25" s="1117"/>
      <c r="NFV25" s="1117"/>
      <c r="NFW25" s="1117"/>
      <c r="NFX25" s="1117"/>
      <c r="NFY25" s="1117"/>
      <c r="NFZ25" s="1117"/>
      <c r="NGA25" s="1117"/>
      <c r="NGB25" s="1117"/>
      <c r="NGC25" s="1117"/>
      <c r="NGD25" s="1117"/>
      <c r="NGE25" s="1117"/>
      <c r="NGF25" s="1117"/>
      <c r="NGG25" s="1117"/>
      <c r="NGH25" s="1117"/>
      <c r="NGI25" s="1117"/>
      <c r="NGJ25" s="1117"/>
      <c r="NGK25" s="1117"/>
      <c r="NGL25" s="1117"/>
      <c r="NGM25" s="1117"/>
      <c r="NGN25" s="1117"/>
      <c r="NGO25" s="1117"/>
      <c r="NGP25" s="1117"/>
      <c r="NGQ25" s="1117"/>
      <c r="NGR25" s="1117"/>
      <c r="NGS25" s="1117"/>
      <c r="NGT25" s="1117"/>
      <c r="NGU25" s="1117"/>
      <c r="NGV25" s="1117"/>
      <c r="NGW25" s="1117"/>
      <c r="NGX25" s="1117"/>
      <c r="NGY25" s="1117"/>
      <c r="NGZ25" s="1117"/>
      <c r="NHA25" s="1117"/>
      <c r="NHB25" s="1117"/>
      <c r="NHC25" s="1117"/>
      <c r="NHD25" s="1117"/>
      <c r="NHE25" s="1117"/>
      <c r="NHF25" s="1117"/>
      <c r="NHG25" s="1117"/>
      <c r="NHH25" s="1117"/>
      <c r="NHI25" s="1117"/>
      <c r="NHJ25" s="1117"/>
      <c r="NHK25" s="1117"/>
      <c r="NHL25" s="1117"/>
      <c r="NHM25" s="1117"/>
      <c r="NHN25" s="1117"/>
      <c r="NHO25" s="1117"/>
      <c r="NHP25" s="1117"/>
      <c r="NHQ25" s="1117"/>
      <c r="NHR25" s="1117"/>
      <c r="NHS25" s="1117"/>
      <c r="NHT25" s="1117"/>
      <c r="NHU25" s="1117"/>
      <c r="NHV25" s="1117"/>
      <c r="NHW25" s="1117"/>
      <c r="NHX25" s="1117"/>
      <c r="NHY25" s="1117"/>
      <c r="NHZ25" s="1117"/>
      <c r="NIA25" s="1117"/>
      <c r="NIB25" s="1117"/>
      <c r="NIC25" s="1117"/>
      <c r="NID25" s="1117"/>
      <c r="NIE25" s="1117"/>
      <c r="NIF25" s="1117"/>
      <c r="NIG25" s="1117"/>
      <c r="NIH25" s="1117"/>
      <c r="NII25" s="1117"/>
      <c r="NIJ25" s="1117"/>
      <c r="NIK25" s="1117"/>
      <c r="NIL25" s="1117"/>
      <c r="NIM25" s="1117"/>
      <c r="NIN25" s="1117"/>
      <c r="NIO25" s="1117"/>
      <c r="NIP25" s="1117"/>
      <c r="NIQ25" s="1117"/>
      <c r="NIR25" s="1117"/>
      <c r="NIS25" s="1117"/>
      <c r="NIT25" s="1117"/>
      <c r="NIU25" s="1117"/>
      <c r="NIV25" s="1117"/>
      <c r="NIW25" s="1117"/>
      <c r="NIX25" s="1117"/>
      <c r="NIY25" s="1117"/>
      <c r="NIZ25" s="1117"/>
      <c r="NJA25" s="1117"/>
      <c r="NJB25" s="1117"/>
      <c r="NJC25" s="1117"/>
      <c r="NJD25" s="1117"/>
      <c r="NJE25" s="1117"/>
      <c r="NJF25" s="1117"/>
      <c r="NJG25" s="1117"/>
      <c r="NJH25" s="1117"/>
      <c r="NJI25" s="1117"/>
      <c r="NJJ25" s="1117"/>
      <c r="NJK25" s="1117"/>
      <c r="NJL25" s="1117"/>
      <c r="NJM25" s="1117"/>
      <c r="NJN25" s="1117"/>
      <c r="NJO25" s="1117"/>
      <c r="NJP25" s="1117"/>
      <c r="NJQ25" s="1117"/>
      <c r="NJR25" s="1117"/>
      <c r="NJS25" s="1117"/>
      <c r="NJT25" s="1117"/>
      <c r="NJU25" s="1117"/>
      <c r="NJV25" s="1117"/>
      <c r="NJW25" s="1117"/>
      <c r="NJX25" s="1117"/>
      <c r="NJY25" s="1117"/>
      <c r="NJZ25" s="1117"/>
      <c r="NKA25" s="1117"/>
      <c r="NKB25" s="1117"/>
      <c r="NKC25" s="1117"/>
      <c r="NKD25" s="1117"/>
      <c r="NKE25" s="1117"/>
      <c r="NKF25" s="1117"/>
      <c r="NKG25" s="1117"/>
      <c r="NKH25" s="1117"/>
      <c r="NKI25" s="1117"/>
      <c r="NKJ25" s="1117"/>
      <c r="NKK25" s="1117"/>
      <c r="NKL25" s="1117"/>
      <c r="NKM25" s="1117"/>
      <c r="NKN25" s="1117"/>
      <c r="NKO25" s="1117"/>
      <c r="NKP25" s="1117"/>
      <c r="NKQ25" s="1117"/>
      <c r="NKR25" s="1117"/>
      <c r="NKS25" s="1117"/>
      <c r="NKT25" s="1117"/>
      <c r="NKU25" s="1117"/>
      <c r="NKV25" s="1117"/>
      <c r="NKW25" s="1117"/>
      <c r="NKX25" s="1117"/>
      <c r="NKY25" s="1117"/>
      <c r="NKZ25" s="1117"/>
      <c r="NLA25" s="1117"/>
      <c r="NLB25" s="1117"/>
      <c r="NLC25" s="1117"/>
      <c r="NLD25" s="1117"/>
      <c r="NLE25" s="1117"/>
      <c r="NLF25" s="1117"/>
      <c r="NLG25" s="1117"/>
      <c r="NLH25" s="1117"/>
      <c r="NLI25" s="1117"/>
      <c r="NLJ25" s="1117"/>
      <c r="NLK25" s="1117"/>
      <c r="NLL25" s="1117"/>
      <c r="NLM25" s="1117"/>
      <c r="NLN25" s="1117"/>
      <c r="NLO25" s="1117"/>
      <c r="NLP25" s="1117"/>
      <c r="NLQ25" s="1117"/>
      <c r="NLR25" s="1117"/>
      <c r="NLS25" s="1117"/>
      <c r="NLT25" s="1117"/>
      <c r="NLU25" s="1117"/>
      <c r="NLV25" s="1117"/>
      <c r="NLW25" s="1117"/>
      <c r="NLX25" s="1117"/>
      <c r="NLY25" s="1117"/>
      <c r="NLZ25" s="1117"/>
      <c r="NMA25" s="1117"/>
      <c r="NMB25" s="1117"/>
      <c r="NMC25" s="1117"/>
      <c r="NMD25" s="1117"/>
      <c r="NME25" s="1117"/>
      <c r="NMF25" s="1117"/>
      <c r="NMG25" s="1117"/>
      <c r="NMH25" s="1117"/>
      <c r="NMI25" s="1117"/>
      <c r="NMJ25" s="1117"/>
      <c r="NMK25" s="1117"/>
      <c r="NML25" s="1117"/>
      <c r="NMM25" s="1117"/>
      <c r="NMN25" s="1117"/>
      <c r="NMO25" s="1117"/>
      <c r="NMP25" s="1117"/>
      <c r="NMQ25" s="1117"/>
      <c r="NMR25" s="1117"/>
      <c r="NMS25" s="1117"/>
      <c r="NMT25" s="1117"/>
      <c r="NMU25" s="1117"/>
      <c r="NMV25" s="1117"/>
      <c r="NMW25" s="1117"/>
      <c r="NMX25" s="1117"/>
      <c r="NMY25" s="1117"/>
      <c r="NMZ25" s="1117"/>
      <c r="NNA25" s="1117"/>
      <c r="NNB25" s="1117"/>
      <c r="NNC25" s="1117"/>
      <c r="NND25" s="1117"/>
      <c r="NNE25" s="1117"/>
      <c r="NNF25" s="1117"/>
      <c r="NNG25" s="1117"/>
      <c r="NNH25" s="1117"/>
      <c r="NNI25" s="1117"/>
      <c r="NNJ25" s="1117"/>
      <c r="NNK25" s="1117"/>
      <c r="NNL25" s="1117"/>
      <c r="NNM25" s="1117"/>
      <c r="NNN25" s="1117"/>
      <c r="NNO25" s="1117"/>
      <c r="NNP25" s="1117"/>
      <c r="NNQ25" s="1117"/>
      <c r="NNR25" s="1117"/>
      <c r="NNS25" s="1117"/>
      <c r="NNT25" s="1117"/>
      <c r="NNU25" s="1117"/>
      <c r="NNV25" s="1117"/>
      <c r="NNW25" s="1117"/>
      <c r="NNX25" s="1117"/>
      <c r="NNY25" s="1117"/>
      <c r="NNZ25" s="1117"/>
      <c r="NOA25" s="1117"/>
      <c r="NOB25" s="1117"/>
      <c r="NOC25" s="1117"/>
      <c r="NOD25" s="1117"/>
      <c r="NOE25" s="1117"/>
      <c r="NOF25" s="1117"/>
      <c r="NOG25" s="1117"/>
      <c r="NOH25" s="1117"/>
      <c r="NOI25" s="1117"/>
      <c r="NOJ25" s="1117"/>
      <c r="NOK25" s="1117"/>
      <c r="NOL25" s="1117"/>
      <c r="NOM25" s="1117"/>
      <c r="NON25" s="1117"/>
      <c r="NOO25" s="1117"/>
      <c r="NOP25" s="1117"/>
      <c r="NOQ25" s="1117"/>
      <c r="NOR25" s="1117"/>
      <c r="NOS25" s="1117"/>
      <c r="NOT25" s="1117"/>
      <c r="NOU25" s="1117"/>
      <c r="NOV25" s="1117"/>
      <c r="NOW25" s="1117"/>
      <c r="NOX25" s="1117"/>
      <c r="NOY25" s="1117"/>
      <c r="NOZ25" s="1117"/>
      <c r="NPA25" s="1117"/>
      <c r="NPB25" s="1117"/>
      <c r="NPC25" s="1117"/>
      <c r="NPD25" s="1117"/>
      <c r="NPE25" s="1117"/>
      <c r="NPF25" s="1117"/>
      <c r="NPG25" s="1117"/>
      <c r="NPH25" s="1117"/>
      <c r="NPI25" s="1117"/>
      <c r="NPJ25" s="1117"/>
      <c r="NPK25" s="1117"/>
      <c r="NPL25" s="1117"/>
      <c r="NPM25" s="1117"/>
      <c r="NPN25" s="1117"/>
      <c r="NPO25" s="1117"/>
      <c r="NPP25" s="1117"/>
      <c r="NPQ25" s="1117"/>
      <c r="NPR25" s="1117"/>
      <c r="NPS25" s="1117"/>
      <c r="NPT25" s="1117"/>
      <c r="NPU25" s="1117"/>
      <c r="NPV25" s="1117"/>
      <c r="NPW25" s="1117"/>
      <c r="NPX25" s="1117"/>
      <c r="NPY25" s="1117"/>
      <c r="NPZ25" s="1117"/>
      <c r="NQA25" s="1117"/>
      <c r="NQB25" s="1117"/>
      <c r="NQC25" s="1117"/>
      <c r="NQD25" s="1117"/>
      <c r="NQE25" s="1117"/>
      <c r="NQF25" s="1117"/>
      <c r="NQG25" s="1117"/>
      <c r="NQH25" s="1117"/>
      <c r="NQI25" s="1117"/>
      <c r="NQJ25" s="1117"/>
      <c r="NQK25" s="1117"/>
      <c r="NQL25" s="1117"/>
      <c r="NQM25" s="1117"/>
      <c r="NQN25" s="1117"/>
      <c r="NQO25" s="1117"/>
      <c r="NQP25" s="1117"/>
      <c r="NQQ25" s="1117"/>
      <c r="NQR25" s="1117"/>
      <c r="NQS25" s="1117"/>
      <c r="NQT25" s="1117"/>
      <c r="NQU25" s="1117"/>
      <c r="NQV25" s="1117"/>
      <c r="NQW25" s="1117"/>
      <c r="NQX25" s="1117"/>
      <c r="NQY25" s="1117"/>
      <c r="NQZ25" s="1117"/>
      <c r="NRA25" s="1117"/>
      <c r="NRB25" s="1117"/>
      <c r="NRC25" s="1117"/>
      <c r="NRD25" s="1117"/>
      <c r="NRE25" s="1117"/>
      <c r="NRF25" s="1117"/>
      <c r="NRG25" s="1117"/>
      <c r="NRH25" s="1117"/>
      <c r="NRI25" s="1117"/>
      <c r="NRJ25" s="1117"/>
      <c r="NRK25" s="1117"/>
      <c r="NRL25" s="1117"/>
      <c r="NRM25" s="1117"/>
      <c r="NRN25" s="1117"/>
      <c r="NRO25" s="1117"/>
      <c r="NRP25" s="1117"/>
      <c r="NRQ25" s="1117"/>
      <c r="NRR25" s="1117"/>
      <c r="NRS25" s="1117"/>
      <c r="NRT25" s="1117"/>
      <c r="NRU25" s="1117"/>
      <c r="NRV25" s="1117"/>
      <c r="NRW25" s="1117"/>
      <c r="NRX25" s="1117"/>
      <c r="NRY25" s="1117"/>
      <c r="NRZ25" s="1117"/>
      <c r="NSA25" s="1117"/>
      <c r="NSB25" s="1117"/>
      <c r="NSC25" s="1117"/>
      <c r="NSD25" s="1117"/>
      <c r="NSE25" s="1117"/>
      <c r="NSF25" s="1117"/>
      <c r="NSG25" s="1117"/>
      <c r="NSH25" s="1117"/>
      <c r="NSI25" s="1117"/>
      <c r="NSJ25" s="1117"/>
      <c r="NSK25" s="1117"/>
      <c r="NSL25" s="1117"/>
      <c r="NSM25" s="1117"/>
      <c r="NSN25" s="1117"/>
      <c r="NSO25" s="1117"/>
      <c r="NSP25" s="1117"/>
      <c r="NSQ25" s="1117"/>
      <c r="NSR25" s="1117"/>
      <c r="NSS25" s="1117"/>
      <c r="NST25" s="1117"/>
      <c r="NSU25" s="1117"/>
      <c r="NSV25" s="1117"/>
      <c r="NSW25" s="1117"/>
      <c r="NSX25" s="1117"/>
      <c r="NSY25" s="1117"/>
      <c r="NSZ25" s="1117"/>
      <c r="NTA25" s="1117"/>
      <c r="NTB25" s="1117"/>
      <c r="NTC25" s="1117"/>
      <c r="NTD25" s="1117"/>
      <c r="NTE25" s="1117"/>
      <c r="NTF25" s="1117"/>
      <c r="NTG25" s="1117"/>
      <c r="NTH25" s="1117"/>
      <c r="NTI25" s="1117"/>
      <c r="NTJ25" s="1117"/>
      <c r="NTK25" s="1117"/>
      <c r="NTL25" s="1117"/>
      <c r="NTM25" s="1117"/>
      <c r="NTN25" s="1117"/>
      <c r="NTO25" s="1117"/>
      <c r="NTP25" s="1117"/>
      <c r="NTQ25" s="1117"/>
      <c r="NTR25" s="1117"/>
      <c r="NTS25" s="1117"/>
      <c r="NTT25" s="1117"/>
      <c r="NTU25" s="1117"/>
      <c r="NTV25" s="1117"/>
      <c r="NTW25" s="1117"/>
      <c r="NTX25" s="1117"/>
      <c r="NTY25" s="1117"/>
      <c r="NTZ25" s="1117"/>
      <c r="NUA25" s="1117"/>
      <c r="NUB25" s="1117"/>
      <c r="NUC25" s="1117"/>
      <c r="NUD25" s="1117"/>
      <c r="NUE25" s="1117"/>
      <c r="NUF25" s="1117"/>
      <c r="NUG25" s="1117"/>
      <c r="NUH25" s="1117"/>
      <c r="NUI25" s="1117"/>
      <c r="NUJ25" s="1117"/>
      <c r="NUK25" s="1117"/>
      <c r="NUL25" s="1117"/>
      <c r="NUM25" s="1117"/>
      <c r="NUN25" s="1117"/>
      <c r="NUO25" s="1117"/>
      <c r="NUP25" s="1117"/>
      <c r="NUQ25" s="1117"/>
      <c r="NUR25" s="1117"/>
      <c r="NUS25" s="1117"/>
      <c r="NUT25" s="1117"/>
      <c r="NUU25" s="1117"/>
      <c r="NUV25" s="1117"/>
      <c r="NUW25" s="1117"/>
      <c r="NUX25" s="1117"/>
      <c r="NUY25" s="1117"/>
      <c r="NUZ25" s="1117"/>
      <c r="NVA25" s="1117"/>
      <c r="NVB25" s="1117"/>
      <c r="NVC25" s="1117"/>
      <c r="NVD25" s="1117"/>
      <c r="NVE25" s="1117"/>
      <c r="NVF25" s="1117"/>
      <c r="NVG25" s="1117"/>
      <c r="NVH25" s="1117"/>
      <c r="NVI25" s="1117"/>
      <c r="NVJ25" s="1117"/>
      <c r="NVK25" s="1117"/>
      <c r="NVL25" s="1117"/>
      <c r="NVM25" s="1117"/>
      <c r="NVN25" s="1117"/>
      <c r="NVO25" s="1117"/>
      <c r="NVP25" s="1117"/>
      <c r="NVQ25" s="1117"/>
      <c r="NVR25" s="1117"/>
      <c r="NVS25" s="1117"/>
      <c r="NVT25" s="1117"/>
      <c r="NVU25" s="1117"/>
      <c r="NVV25" s="1117"/>
      <c r="NVW25" s="1117"/>
      <c r="NVX25" s="1117"/>
      <c r="NVY25" s="1117"/>
      <c r="NVZ25" s="1117"/>
      <c r="NWA25" s="1117"/>
      <c r="NWB25" s="1117"/>
      <c r="NWC25" s="1117"/>
      <c r="NWD25" s="1117"/>
      <c r="NWE25" s="1117"/>
      <c r="NWF25" s="1117"/>
      <c r="NWG25" s="1117"/>
      <c r="NWH25" s="1117"/>
      <c r="NWI25" s="1117"/>
      <c r="NWJ25" s="1117"/>
      <c r="NWK25" s="1117"/>
      <c r="NWL25" s="1117"/>
      <c r="NWM25" s="1117"/>
      <c r="NWN25" s="1117"/>
      <c r="NWO25" s="1117"/>
      <c r="NWP25" s="1117"/>
      <c r="NWQ25" s="1117"/>
      <c r="NWR25" s="1117"/>
      <c r="NWS25" s="1117"/>
      <c r="NWT25" s="1117"/>
      <c r="NWU25" s="1117"/>
      <c r="NWV25" s="1117"/>
      <c r="NWW25" s="1117"/>
      <c r="NWX25" s="1117"/>
      <c r="NWY25" s="1117"/>
      <c r="NWZ25" s="1117"/>
      <c r="NXA25" s="1117"/>
      <c r="NXB25" s="1117"/>
      <c r="NXC25" s="1117"/>
      <c r="NXD25" s="1117"/>
      <c r="NXE25" s="1117"/>
      <c r="NXF25" s="1117"/>
      <c r="NXG25" s="1117"/>
      <c r="NXH25" s="1117"/>
      <c r="NXI25" s="1117"/>
      <c r="NXJ25" s="1117"/>
      <c r="NXK25" s="1117"/>
      <c r="NXL25" s="1117"/>
      <c r="NXM25" s="1117"/>
      <c r="NXN25" s="1117"/>
      <c r="NXO25" s="1117"/>
      <c r="NXP25" s="1117"/>
      <c r="NXQ25" s="1117"/>
      <c r="NXR25" s="1117"/>
      <c r="NXS25" s="1117"/>
      <c r="NXT25" s="1117"/>
      <c r="NXU25" s="1117"/>
      <c r="NXV25" s="1117"/>
      <c r="NXW25" s="1117"/>
      <c r="NXX25" s="1117"/>
      <c r="NXY25" s="1117"/>
      <c r="NXZ25" s="1117"/>
      <c r="NYA25" s="1117"/>
      <c r="NYB25" s="1117"/>
      <c r="NYC25" s="1117"/>
      <c r="NYD25" s="1117"/>
      <c r="NYE25" s="1117"/>
      <c r="NYF25" s="1117"/>
      <c r="NYG25" s="1117"/>
      <c r="NYH25" s="1117"/>
      <c r="NYI25" s="1117"/>
      <c r="NYJ25" s="1117"/>
      <c r="NYK25" s="1117"/>
      <c r="NYL25" s="1117"/>
      <c r="NYM25" s="1117"/>
      <c r="NYN25" s="1117"/>
      <c r="NYO25" s="1117"/>
      <c r="NYP25" s="1117"/>
      <c r="NYQ25" s="1117"/>
      <c r="NYR25" s="1117"/>
      <c r="NYS25" s="1117"/>
      <c r="NYT25" s="1117"/>
      <c r="NYU25" s="1117"/>
      <c r="NYV25" s="1117"/>
      <c r="NYW25" s="1117"/>
      <c r="NYX25" s="1117"/>
      <c r="NYY25" s="1117"/>
      <c r="NYZ25" s="1117"/>
      <c r="NZA25" s="1117"/>
      <c r="NZB25" s="1117"/>
      <c r="NZC25" s="1117"/>
      <c r="NZD25" s="1117"/>
      <c r="NZE25" s="1117"/>
      <c r="NZF25" s="1117"/>
      <c r="NZG25" s="1117"/>
      <c r="NZH25" s="1117"/>
      <c r="NZI25" s="1117"/>
      <c r="NZJ25" s="1117"/>
      <c r="NZK25" s="1117"/>
      <c r="NZL25" s="1117"/>
      <c r="NZM25" s="1117"/>
      <c r="NZN25" s="1117"/>
      <c r="NZO25" s="1117"/>
      <c r="NZP25" s="1117"/>
      <c r="NZQ25" s="1117"/>
      <c r="NZR25" s="1117"/>
      <c r="NZS25" s="1117"/>
      <c r="NZT25" s="1117"/>
      <c r="NZU25" s="1117"/>
      <c r="NZV25" s="1117"/>
      <c r="NZW25" s="1117"/>
      <c r="NZX25" s="1117"/>
      <c r="NZY25" s="1117"/>
      <c r="NZZ25" s="1117"/>
      <c r="OAA25" s="1117"/>
      <c r="OAB25" s="1117"/>
      <c r="OAC25" s="1117"/>
      <c r="OAD25" s="1117"/>
      <c r="OAE25" s="1117"/>
      <c r="OAF25" s="1117"/>
      <c r="OAG25" s="1117"/>
      <c r="OAH25" s="1117"/>
      <c r="OAI25" s="1117"/>
      <c r="OAJ25" s="1117"/>
      <c r="OAK25" s="1117"/>
      <c r="OAL25" s="1117"/>
      <c r="OAM25" s="1117"/>
      <c r="OAN25" s="1117"/>
      <c r="OAO25" s="1117"/>
      <c r="OAP25" s="1117"/>
      <c r="OAQ25" s="1117"/>
      <c r="OAR25" s="1117"/>
      <c r="OAS25" s="1117"/>
      <c r="OAT25" s="1117"/>
      <c r="OAU25" s="1117"/>
      <c r="OAV25" s="1117"/>
      <c r="OAW25" s="1117"/>
      <c r="OAX25" s="1117"/>
      <c r="OAY25" s="1117"/>
      <c r="OAZ25" s="1117"/>
      <c r="OBA25" s="1117"/>
      <c r="OBB25" s="1117"/>
      <c r="OBC25" s="1117"/>
      <c r="OBD25" s="1117"/>
      <c r="OBE25" s="1117"/>
      <c r="OBF25" s="1117"/>
      <c r="OBG25" s="1117"/>
      <c r="OBH25" s="1117"/>
      <c r="OBI25" s="1117"/>
      <c r="OBJ25" s="1117"/>
      <c r="OBK25" s="1117"/>
      <c r="OBL25" s="1117"/>
      <c r="OBM25" s="1117"/>
      <c r="OBN25" s="1117"/>
      <c r="OBO25" s="1117"/>
      <c r="OBP25" s="1117"/>
      <c r="OBQ25" s="1117"/>
      <c r="OBR25" s="1117"/>
      <c r="OBS25" s="1117"/>
      <c r="OBT25" s="1117"/>
      <c r="OBU25" s="1117"/>
      <c r="OBV25" s="1117"/>
      <c r="OBW25" s="1117"/>
      <c r="OBX25" s="1117"/>
      <c r="OBY25" s="1117"/>
      <c r="OBZ25" s="1117"/>
      <c r="OCA25" s="1117"/>
      <c r="OCB25" s="1117"/>
      <c r="OCC25" s="1117"/>
      <c r="OCD25" s="1117"/>
      <c r="OCE25" s="1117"/>
      <c r="OCF25" s="1117"/>
      <c r="OCG25" s="1117"/>
      <c r="OCH25" s="1117"/>
      <c r="OCI25" s="1117"/>
      <c r="OCJ25" s="1117"/>
      <c r="OCK25" s="1117"/>
      <c r="OCL25" s="1117"/>
      <c r="OCM25" s="1117"/>
      <c r="OCN25" s="1117"/>
      <c r="OCO25" s="1117"/>
      <c r="OCP25" s="1117"/>
      <c r="OCQ25" s="1117"/>
      <c r="OCR25" s="1117"/>
      <c r="OCS25" s="1117"/>
      <c r="OCT25" s="1117"/>
      <c r="OCU25" s="1117"/>
      <c r="OCV25" s="1117"/>
      <c r="OCW25" s="1117"/>
      <c r="OCX25" s="1117"/>
      <c r="OCY25" s="1117"/>
      <c r="OCZ25" s="1117"/>
      <c r="ODA25" s="1117"/>
      <c r="ODB25" s="1117"/>
      <c r="ODC25" s="1117"/>
      <c r="ODD25" s="1117"/>
      <c r="ODE25" s="1117"/>
      <c r="ODF25" s="1117"/>
      <c r="ODG25" s="1117"/>
      <c r="ODH25" s="1117"/>
      <c r="ODI25" s="1117"/>
      <c r="ODJ25" s="1117"/>
      <c r="ODK25" s="1117"/>
      <c r="ODL25" s="1117"/>
      <c r="ODM25" s="1117"/>
      <c r="ODN25" s="1117"/>
      <c r="ODO25" s="1117"/>
      <c r="ODP25" s="1117"/>
      <c r="ODQ25" s="1117"/>
      <c r="ODR25" s="1117"/>
      <c r="ODS25" s="1117"/>
      <c r="ODT25" s="1117"/>
      <c r="ODU25" s="1117"/>
      <c r="ODV25" s="1117"/>
      <c r="ODW25" s="1117"/>
      <c r="ODX25" s="1117"/>
      <c r="ODY25" s="1117"/>
      <c r="ODZ25" s="1117"/>
      <c r="OEA25" s="1117"/>
      <c r="OEB25" s="1117"/>
      <c r="OEC25" s="1117"/>
      <c r="OED25" s="1117"/>
      <c r="OEE25" s="1117"/>
      <c r="OEF25" s="1117"/>
      <c r="OEG25" s="1117"/>
      <c r="OEH25" s="1117"/>
      <c r="OEI25" s="1117"/>
      <c r="OEJ25" s="1117"/>
      <c r="OEK25" s="1117"/>
      <c r="OEL25" s="1117"/>
      <c r="OEM25" s="1117"/>
      <c r="OEN25" s="1117"/>
      <c r="OEO25" s="1117"/>
      <c r="OEP25" s="1117"/>
      <c r="OEQ25" s="1117"/>
      <c r="OER25" s="1117"/>
      <c r="OES25" s="1117"/>
      <c r="OET25" s="1117"/>
      <c r="OEU25" s="1117"/>
      <c r="OEV25" s="1117"/>
      <c r="OEW25" s="1117"/>
      <c r="OEX25" s="1117"/>
      <c r="OEY25" s="1117"/>
      <c r="OEZ25" s="1117"/>
      <c r="OFA25" s="1117"/>
      <c r="OFB25" s="1117"/>
      <c r="OFC25" s="1117"/>
      <c r="OFD25" s="1117"/>
      <c r="OFE25" s="1117"/>
      <c r="OFF25" s="1117"/>
      <c r="OFG25" s="1117"/>
      <c r="OFH25" s="1117"/>
      <c r="OFI25" s="1117"/>
      <c r="OFJ25" s="1117"/>
      <c r="OFK25" s="1117"/>
      <c r="OFL25" s="1117"/>
      <c r="OFM25" s="1117"/>
      <c r="OFN25" s="1117"/>
      <c r="OFO25" s="1117"/>
      <c r="OFP25" s="1117"/>
      <c r="OFQ25" s="1117"/>
      <c r="OFR25" s="1117"/>
      <c r="OFS25" s="1117"/>
      <c r="OFT25" s="1117"/>
      <c r="OFU25" s="1117"/>
      <c r="OFV25" s="1117"/>
      <c r="OFW25" s="1117"/>
      <c r="OFX25" s="1117"/>
      <c r="OFY25" s="1117"/>
      <c r="OFZ25" s="1117"/>
      <c r="OGA25" s="1117"/>
      <c r="OGB25" s="1117"/>
      <c r="OGC25" s="1117"/>
      <c r="OGD25" s="1117"/>
      <c r="OGE25" s="1117"/>
      <c r="OGF25" s="1117"/>
      <c r="OGG25" s="1117"/>
      <c r="OGH25" s="1117"/>
      <c r="OGI25" s="1117"/>
      <c r="OGJ25" s="1117"/>
      <c r="OGK25" s="1117"/>
      <c r="OGL25" s="1117"/>
      <c r="OGM25" s="1117"/>
      <c r="OGN25" s="1117"/>
      <c r="OGO25" s="1117"/>
      <c r="OGP25" s="1117"/>
      <c r="OGQ25" s="1117"/>
      <c r="OGR25" s="1117"/>
      <c r="OGS25" s="1117"/>
      <c r="OGT25" s="1117"/>
      <c r="OGU25" s="1117"/>
      <c r="OGV25" s="1117"/>
      <c r="OGW25" s="1117"/>
      <c r="OGX25" s="1117"/>
      <c r="OGY25" s="1117"/>
      <c r="OGZ25" s="1117"/>
      <c r="OHA25" s="1117"/>
      <c r="OHB25" s="1117"/>
      <c r="OHC25" s="1117"/>
      <c r="OHD25" s="1117"/>
      <c r="OHE25" s="1117"/>
      <c r="OHF25" s="1117"/>
      <c r="OHG25" s="1117"/>
      <c r="OHH25" s="1117"/>
      <c r="OHI25" s="1117"/>
      <c r="OHJ25" s="1117"/>
      <c r="OHK25" s="1117"/>
      <c r="OHL25" s="1117"/>
      <c r="OHM25" s="1117"/>
      <c r="OHN25" s="1117"/>
      <c r="OHO25" s="1117"/>
      <c r="OHP25" s="1117"/>
      <c r="OHQ25" s="1117"/>
      <c r="OHR25" s="1117"/>
      <c r="OHS25" s="1117"/>
      <c r="OHT25" s="1117"/>
      <c r="OHU25" s="1117"/>
      <c r="OHV25" s="1117"/>
      <c r="OHW25" s="1117"/>
      <c r="OHX25" s="1117"/>
      <c r="OHY25" s="1117"/>
      <c r="OHZ25" s="1117"/>
      <c r="OIA25" s="1117"/>
      <c r="OIB25" s="1117"/>
      <c r="OIC25" s="1117"/>
      <c r="OID25" s="1117"/>
      <c r="OIE25" s="1117"/>
      <c r="OIF25" s="1117"/>
      <c r="OIG25" s="1117"/>
      <c r="OIH25" s="1117"/>
      <c r="OII25" s="1117"/>
      <c r="OIJ25" s="1117"/>
      <c r="OIK25" s="1117"/>
      <c r="OIL25" s="1117"/>
      <c r="OIM25" s="1117"/>
      <c r="OIN25" s="1117"/>
      <c r="OIO25" s="1117"/>
      <c r="OIP25" s="1117"/>
      <c r="OIQ25" s="1117"/>
      <c r="OIR25" s="1117"/>
      <c r="OIS25" s="1117"/>
      <c r="OIT25" s="1117"/>
      <c r="OIU25" s="1117"/>
      <c r="OIV25" s="1117"/>
      <c r="OIW25" s="1117"/>
      <c r="OIX25" s="1117"/>
      <c r="OIY25" s="1117"/>
      <c r="OIZ25" s="1117"/>
      <c r="OJA25" s="1117"/>
      <c r="OJB25" s="1117"/>
      <c r="OJC25" s="1117"/>
      <c r="OJD25" s="1117"/>
      <c r="OJE25" s="1117"/>
      <c r="OJF25" s="1117"/>
      <c r="OJG25" s="1117"/>
      <c r="OJH25" s="1117"/>
      <c r="OJI25" s="1117"/>
      <c r="OJJ25" s="1117"/>
      <c r="OJK25" s="1117"/>
      <c r="OJL25" s="1117"/>
      <c r="OJM25" s="1117"/>
      <c r="OJN25" s="1117"/>
      <c r="OJO25" s="1117"/>
      <c r="OJP25" s="1117"/>
      <c r="OJQ25" s="1117"/>
      <c r="OJR25" s="1117"/>
      <c r="OJS25" s="1117"/>
      <c r="OJT25" s="1117"/>
      <c r="OJU25" s="1117"/>
      <c r="OJV25" s="1117"/>
      <c r="OJW25" s="1117"/>
      <c r="OJX25" s="1117"/>
      <c r="OJY25" s="1117"/>
      <c r="OJZ25" s="1117"/>
      <c r="OKA25" s="1117"/>
      <c r="OKB25" s="1117"/>
      <c r="OKC25" s="1117"/>
      <c r="OKD25" s="1117"/>
      <c r="OKE25" s="1117"/>
      <c r="OKF25" s="1117"/>
      <c r="OKG25" s="1117"/>
      <c r="OKH25" s="1117"/>
      <c r="OKI25" s="1117"/>
      <c r="OKJ25" s="1117"/>
      <c r="OKK25" s="1117"/>
      <c r="OKL25" s="1117"/>
      <c r="OKM25" s="1117"/>
      <c r="OKN25" s="1117"/>
      <c r="OKO25" s="1117"/>
      <c r="OKP25" s="1117"/>
      <c r="OKQ25" s="1117"/>
      <c r="OKR25" s="1117"/>
      <c r="OKS25" s="1117"/>
      <c r="OKT25" s="1117"/>
      <c r="OKU25" s="1117"/>
      <c r="OKV25" s="1117"/>
      <c r="OKW25" s="1117"/>
      <c r="OKX25" s="1117"/>
      <c r="OKY25" s="1117"/>
      <c r="OKZ25" s="1117"/>
      <c r="OLA25" s="1117"/>
      <c r="OLB25" s="1117"/>
      <c r="OLC25" s="1117"/>
      <c r="OLD25" s="1117"/>
      <c r="OLE25" s="1117"/>
      <c r="OLF25" s="1117"/>
      <c r="OLG25" s="1117"/>
      <c r="OLH25" s="1117"/>
      <c r="OLI25" s="1117"/>
      <c r="OLJ25" s="1117"/>
      <c r="OLK25" s="1117"/>
      <c r="OLL25" s="1117"/>
      <c r="OLM25" s="1117"/>
      <c r="OLN25" s="1117"/>
      <c r="OLO25" s="1117"/>
      <c r="OLP25" s="1117"/>
      <c r="OLQ25" s="1117"/>
      <c r="OLR25" s="1117"/>
      <c r="OLS25" s="1117"/>
      <c r="OLT25" s="1117"/>
      <c r="OLU25" s="1117"/>
      <c r="OLV25" s="1117"/>
      <c r="OLW25" s="1117"/>
      <c r="OLX25" s="1117"/>
      <c r="OLY25" s="1117"/>
      <c r="OLZ25" s="1117"/>
      <c r="OMA25" s="1117"/>
      <c r="OMB25" s="1117"/>
      <c r="OMC25" s="1117"/>
      <c r="OMD25" s="1117"/>
      <c r="OME25" s="1117"/>
      <c r="OMF25" s="1117"/>
      <c r="OMG25" s="1117"/>
      <c r="OMH25" s="1117"/>
      <c r="OMI25" s="1117"/>
      <c r="OMJ25" s="1117"/>
      <c r="OMK25" s="1117"/>
      <c r="OML25" s="1117"/>
      <c r="OMM25" s="1117"/>
      <c r="OMN25" s="1117"/>
      <c r="OMO25" s="1117"/>
      <c r="OMP25" s="1117"/>
      <c r="OMQ25" s="1117"/>
      <c r="OMR25" s="1117"/>
      <c r="OMS25" s="1117"/>
      <c r="OMT25" s="1117"/>
      <c r="OMU25" s="1117"/>
      <c r="OMV25" s="1117"/>
      <c r="OMW25" s="1117"/>
      <c r="OMX25" s="1117"/>
      <c r="OMY25" s="1117"/>
      <c r="OMZ25" s="1117"/>
      <c r="ONA25" s="1117"/>
      <c r="ONB25" s="1117"/>
      <c r="ONC25" s="1117"/>
      <c r="OND25" s="1117"/>
      <c r="ONE25" s="1117"/>
      <c r="ONF25" s="1117"/>
      <c r="ONG25" s="1117"/>
      <c r="ONH25" s="1117"/>
      <c r="ONI25" s="1117"/>
      <c r="ONJ25" s="1117"/>
      <c r="ONK25" s="1117"/>
      <c r="ONL25" s="1117"/>
      <c r="ONM25" s="1117"/>
      <c r="ONN25" s="1117"/>
      <c r="ONO25" s="1117"/>
      <c r="ONP25" s="1117"/>
      <c r="ONQ25" s="1117"/>
      <c r="ONR25" s="1117"/>
      <c r="ONS25" s="1117"/>
      <c r="ONT25" s="1117"/>
      <c r="ONU25" s="1117"/>
      <c r="ONV25" s="1117"/>
      <c r="ONW25" s="1117"/>
      <c r="ONX25" s="1117"/>
      <c r="ONY25" s="1117"/>
      <c r="ONZ25" s="1117"/>
      <c r="OOA25" s="1117"/>
      <c r="OOB25" s="1117"/>
      <c r="OOC25" s="1117"/>
      <c r="OOD25" s="1117"/>
      <c r="OOE25" s="1117"/>
      <c r="OOF25" s="1117"/>
      <c r="OOG25" s="1117"/>
      <c r="OOH25" s="1117"/>
      <c r="OOI25" s="1117"/>
      <c r="OOJ25" s="1117"/>
      <c r="OOK25" s="1117"/>
      <c r="OOL25" s="1117"/>
      <c r="OOM25" s="1117"/>
      <c r="OON25" s="1117"/>
      <c r="OOO25" s="1117"/>
      <c r="OOP25" s="1117"/>
      <c r="OOQ25" s="1117"/>
      <c r="OOR25" s="1117"/>
      <c r="OOS25" s="1117"/>
      <c r="OOT25" s="1117"/>
      <c r="OOU25" s="1117"/>
      <c r="OOV25" s="1117"/>
      <c r="OOW25" s="1117"/>
      <c r="OOX25" s="1117"/>
      <c r="OOY25" s="1117"/>
      <c r="OOZ25" s="1117"/>
      <c r="OPA25" s="1117"/>
      <c r="OPB25" s="1117"/>
      <c r="OPC25" s="1117"/>
      <c r="OPD25" s="1117"/>
      <c r="OPE25" s="1117"/>
      <c r="OPF25" s="1117"/>
      <c r="OPG25" s="1117"/>
      <c r="OPH25" s="1117"/>
      <c r="OPI25" s="1117"/>
      <c r="OPJ25" s="1117"/>
      <c r="OPK25" s="1117"/>
      <c r="OPL25" s="1117"/>
      <c r="OPM25" s="1117"/>
      <c r="OPN25" s="1117"/>
      <c r="OPO25" s="1117"/>
      <c r="OPP25" s="1117"/>
      <c r="OPQ25" s="1117"/>
      <c r="OPR25" s="1117"/>
      <c r="OPS25" s="1117"/>
      <c r="OPT25" s="1117"/>
      <c r="OPU25" s="1117"/>
      <c r="OPV25" s="1117"/>
      <c r="OPW25" s="1117"/>
      <c r="OPX25" s="1117"/>
      <c r="OPY25" s="1117"/>
      <c r="OPZ25" s="1117"/>
      <c r="OQA25" s="1117"/>
      <c r="OQB25" s="1117"/>
      <c r="OQC25" s="1117"/>
      <c r="OQD25" s="1117"/>
      <c r="OQE25" s="1117"/>
      <c r="OQF25" s="1117"/>
      <c r="OQG25" s="1117"/>
      <c r="OQH25" s="1117"/>
      <c r="OQI25" s="1117"/>
      <c r="OQJ25" s="1117"/>
      <c r="OQK25" s="1117"/>
      <c r="OQL25" s="1117"/>
      <c r="OQM25" s="1117"/>
      <c r="OQN25" s="1117"/>
      <c r="OQO25" s="1117"/>
      <c r="OQP25" s="1117"/>
      <c r="OQQ25" s="1117"/>
      <c r="OQR25" s="1117"/>
      <c r="OQS25" s="1117"/>
      <c r="OQT25" s="1117"/>
      <c r="OQU25" s="1117"/>
      <c r="OQV25" s="1117"/>
      <c r="OQW25" s="1117"/>
      <c r="OQX25" s="1117"/>
      <c r="OQY25" s="1117"/>
      <c r="OQZ25" s="1117"/>
      <c r="ORA25" s="1117"/>
      <c r="ORB25" s="1117"/>
      <c r="ORC25" s="1117"/>
      <c r="ORD25" s="1117"/>
      <c r="ORE25" s="1117"/>
      <c r="ORF25" s="1117"/>
      <c r="ORG25" s="1117"/>
      <c r="ORH25" s="1117"/>
      <c r="ORI25" s="1117"/>
      <c r="ORJ25" s="1117"/>
      <c r="ORK25" s="1117"/>
      <c r="ORL25" s="1117"/>
      <c r="ORM25" s="1117"/>
      <c r="ORN25" s="1117"/>
      <c r="ORO25" s="1117"/>
      <c r="ORP25" s="1117"/>
      <c r="ORQ25" s="1117"/>
      <c r="ORR25" s="1117"/>
      <c r="ORS25" s="1117"/>
      <c r="ORT25" s="1117"/>
      <c r="ORU25" s="1117"/>
      <c r="ORV25" s="1117"/>
      <c r="ORW25" s="1117"/>
      <c r="ORX25" s="1117"/>
      <c r="ORY25" s="1117"/>
      <c r="ORZ25" s="1117"/>
      <c r="OSA25" s="1117"/>
      <c r="OSB25" s="1117"/>
      <c r="OSC25" s="1117"/>
      <c r="OSD25" s="1117"/>
      <c r="OSE25" s="1117"/>
      <c r="OSF25" s="1117"/>
      <c r="OSG25" s="1117"/>
      <c r="OSH25" s="1117"/>
      <c r="OSI25" s="1117"/>
      <c r="OSJ25" s="1117"/>
      <c r="OSK25" s="1117"/>
      <c r="OSL25" s="1117"/>
      <c r="OSM25" s="1117"/>
      <c r="OSN25" s="1117"/>
      <c r="OSO25" s="1117"/>
      <c r="OSP25" s="1117"/>
      <c r="OSQ25" s="1117"/>
      <c r="OSR25" s="1117"/>
      <c r="OSS25" s="1117"/>
      <c r="OST25" s="1117"/>
      <c r="OSU25" s="1117"/>
      <c r="OSV25" s="1117"/>
      <c r="OSW25" s="1117"/>
      <c r="OSX25" s="1117"/>
      <c r="OSY25" s="1117"/>
      <c r="OSZ25" s="1117"/>
      <c r="OTA25" s="1117"/>
      <c r="OTB25" s="1117"/>
      <c r="OTC25" s="1117"/>
      <c r="OTD25" s="1117"/>
      <c r="OTE25" s="1117"/>
      <c r="OTF25" s="1117"/>
      <c r="OTG25" s="1117"/>
      <c r="OTH25" s="1117"/>
      <c r="OTI25" s="1117"/>
      <c r="OTJ25" s="1117"/>
      <c r="OTK25" s="1117"/>
      <c r="OTL25" s="1117"/>
      <c r="OTM25" s="1117"/>
      <c r="OTN25" s="1117"/>
      <c r="OTO25" s="1117"/>
      <c r="OTP25" s="1117"/>
      <c r="OTQ25" s="1117"/>
      <c r="OTR25" s="1117"/>
      <c r="OTS25" s="1117"/>
      <c r="OTT25" s="1117"/>
      <c r="OTU25" s="1117"/>
      <c r="OTV25" s="1117"/>
      <c r="OTW25" s="1117"/>
      <c r="OTX25" s="1117"/>
      <c r="OTY25" s="1117"/>
      <c r="OTZ25" s="1117"/>
      <c r="OUA25" s="1117"/>
      <c r="OUB25" s="1117"/>
      <c r="OUC25" s="1117"/>
      <c r="OUD25" s="1117"/>
      <c r="OUE25" s="1117"/>
      <c r="OUF25" s="1117"/>
      <c r="OUG25" s="1117"/>
      <c r="OUH25" s="1117"/>
      <c r="OUI25" s="1117"/>
      <c r="OUJ25" s="1117"/>
      <c r="OUK25" s="1117"/>
      <c r="OUL25" s="1117"/>
      <c r="OUM25" s="1117"/>
      <c r="OUN25" s="1117"/>
      <c r="OUO25" s="1117"/>
      <c r="OUP25" s="1117"/>
      <c r="OUQ25" s="1117"/>
      <c r="OUR25" s="1117"/>
      <c r="OUS25" s="1117"/>
      <c r="OUT25" s="1117"/>
      <c r="OUU25" s="1117"/>
      <c r="OUV25" s="1117"/>
      <c r="OUW25" s="1117"/>
      <c r="OUX25" s="1117"/>
      <c r="OUY25" s="1117"/>
      <c r="OUZ25" s="1117"/>
      <c r="OVA25" s="1117"/>
      <c r="OVB25" s="1117"/>
      <c r="OVC25" s="1117"/>
      <c r="OVD25" s="1117"/>
      <c r="OVE25" s="1117"/>
      <c r="OVF25" s="1117"/>
      <c r="OVG25" s="1117"/>
      <c r="OVH25" s="1117"/>
      <c r="OVI25" s="1117"/>
      <c r="OVJ25" s="1117"/>
      <c r="OVK25" s="1117"/>
      <c r="OVL25" s="1117"/>
      <c r="OVM25" s="1117"/>
      <c r="OVN25" s="1117"/>
      <c r="OVO25" s="1117"/>
      <c r="OVP25" s="1117"/>
      <c r="OVQ25" s="1117"/>
      <c r="OVR25" s="1117"/>
      <c r="OVS25" s="1117"/>
      <c r="OVT25" s="1117"/>
      <c r="OVU25" s="1117"/>
      <c r="OVV25" s="1117"/>
      <c r="OVW25" s="1117"/>
      <c r="OVX25" s="1117"/>
      <c r="OVY25" s="1117"/>
      <c r="OVZ25" s="1117"/>
      <c r="OWA25" s="1117"/>
      <c r="OWB25" s="1117"/>
      <c r="OWC25" s="1117"/>
      <c r="OWD25" s="1117"/>
      <c r="OWE25" s="1117"/>
      <c r="OWF25" s="1117"/>
      <c r="OWG25" s="1117"/>
      <c r="OWH25" s="1117"/>
      <c r="OWI25" s="1117"/>
      <c r="OWJ25" s="1117"/>
      <c r="OWK25" s="1117"/>
      <c r="OWL25" s="1117"/>
      <c r="OWM25" s="1117"/>
      <c r="OWN25" s="1117"/>
      <c r="OWO25" s="1117"/>
      <c r="OWP25" s="1117"/>
      <c r="OWQ25" s="1117"/>
      <c r="OWR25" s="1117"/>
      <c r="OWS25" s="1117"/>
      <c r="OWT25" s="1117"/>
      <c r="OWU25" s="1117"/>
      <c r="OWV25" s="1117"/>
      <c r="OWW25" s="1117"/>
      <c r="OWX25" s="1117"/>
      <c r="OWY25" s="1117"/>
      <c r="OWZ25" s="1117"/>
      <c r="OXA25" s="1117"/>
      <c r="OXB25" s="1117"/>
      <c r="OXC25" s="1117"/>
      <c r="OXD25" s="1117"/>
      <c r="OXE25" s="1117"/>
      <c r="OXF25" s="1117"/>
      <c r="OXG25" s="1117"/>
      <c r="OXH25" s="1117"/>
      <c r="OXI25" s="1117"/>
      <c r="OXJ25" s="1117"/>
      <c r="OXK25" s="1117"/>
      <c r="OXL25" s="1117"/>
      <c r="OXM25" s="1117"/>
      <c r="OXN25" s="1117"/>
      <c r="OXO25" s="1117"/>
      <c r="OXP25" s="1117"/>
      <c r="OXQ25" s="1117"/>
      <c r="OXR25" s="1117"/>
      <c r="OXS25" s="1117"/>
      <c r="OXT25" s="1117"/>
      <c r="OXU25" s="1117"/>
      <c r="OXV25" s="1117"/>
      <c r="OXW25" s="1117"/>
      <c r="OXX25" s="1117"/>
      <c r="OXY25" s="1117"/>
      <c r="OXZ25" s="1117"/>
      <c r="OYA25" s="1117"/>
      <c r="OYB25" s="1117"/>
      <c r="OYC25" s="1117"/>
      <c r="OYD25" s="1117"/>
      <c r="OYE25" s="1117"/>
      <c r="OYF25" s="1117"/>
      <c r="OYG25" s="1117"/>
      <c r="OYH25" s="1117"/>
      <c r="OYI25" s="1117"/>
      <c r="OYJ25" s="1117"/>
      <c r="OYK25" s="1117"/>
      <c r="OYL25" s="1117"/>
      <c r="OYM25" s="1117"/>
      <c r="OYN25" s="1117"/>
      <c r="OYO25" s="1117"/>
      <c r="OYP25" s="1117"/>
      <c r="OYQ25" s="1117"/>
      <c r="OYR25" s="1117"/>
      <c r="OYS25" s="1117"/>
      <c r="OYT25" s="1117"/>
      <c r="OYU25" s="1117"/>
      <c r="OYV25" s="1117"/>
      <c r="OYW25" s="1117"/>
      <c r="OYX25" s="1117"/>
      <c r="OYY25" s="1117"/>
      <c r="OYZ25" s="1117"/>
      <c r="OZA25" s="1117"/>
      <c r="OZB25" s="1117"/>
      <c r="OZC25" s="1117"/>
      <c r="OZD25" s="1117"/>
      <c r="OZE25" s="1117"/>
      <c r="OZF25" s="1117"/>
      <c r="OZG25" s="1117"/>
      <c r="OZH25" s="1117"/>
      <c r="OZI25" s="1117"/>
      <c r="OZJ25" s="1117"/>
      <c r="OZK25" s="1117"/>
      <c r="OZL25" s="1117"/>
      <c r="OZM25" s="1117"/>
      <c r="OZN25" s="1117"/>
      <c r="OZO25" s="1117"/>
      <c r="OZP25" s="1117"/>
      <c r="OZQ25" s="1117"/>
      <c r="OZR25" s="1117"/>
      <c r="OZS25" s="1117"/>
      <c r="OZT25" s="1117"/>
      <c r="OZU25" s="1117"/>
      <c r="OZV25" s="1117"/>
      <c r="OZW25" s="1117"/>
      <c r="OZX25" s="1117"/>
      <c r="OZY25" s="1117"/>
      <c r="OZZ25" s="1117"/>
      <c r="PAA25" s="1117"/>
      <c r="PAB25" s="1117"/>
      <c r="PAC25" s="1117"/>
      <c r="PAD25" s="1117"/>
      <c r="PAE25" s="1117"/>
      <c r="PAF25" s="1117"/>
      <c r="PAG25" s="1117"/>
      <c r="PAH25" s="1117"/>
      <c r="PAI25" s="1117"/>
      <c r="PAJ25" s="1117"/>
      <c r="PAK25" s="1117"/>
      <c r="PAL25" s="1117"/>
      <c r="PAM25" s="1117"/>
      <c r="PAN25" s="1117"/>
      <c r="PAO25" s="1117"/>
      <c r="PAP25" s="1117"/>
      <c r="PAQ25" s="1117"/>
      <c r="PAR25" s="1117"/>
      <c r="PAS25" s="1117"/>
      <c r="PAT25" s="1117"/>
      <c r="PAU25" s="1117"/>
      <c r="PAV25" s="1117"/>
      <c r="PAW25" s="1117"/>
      <c r="PAX25" s="1117"/>
      <c r="PAY25" s="1117"/>
      <c r="PAZ25" s="1117"/>
      <c r="PBA25" s="1117"/>
      <c r="PBB25" s="1117"/>
      <c r="PBC25" s="1117"/>
      <c r="PBD25" s="1117"/>
      <c r="PBE25" s="1117"/>
      <c r="PBF25" s="1117"/>
      <c r="PBG25" s="1117"/>
      <c r="PBH25" s="1117"/>
      <c r="PBI25" s="1117"/>
      <c r="PBJ25" s="1117"/>
      <c r="PBK25" s="1117"/>
      <c r="PBL25" s="1117"/>
      <c r="PBM25" s="1117"/>
      <c r="PBN25" s="1117"/>
      <c r="PBO25" s="1117"/>
      <c r="PBP25" s="1117"/>
      <c r="PBQ25" s="1117"/>
      <c r="PBR25" s="1117"/>
      <c r="PBS25" s="1117"/>
      <c r="PBT25" s="1117"/>
      <c r="PBU25" s="1117"/>
      <c r="PBV25" s="1117"/>
      <c r="PBW25" s="1117"/>
      <c r="PBX25" s="1117"/>
      <c r="PBY25" s="1117"/>
      <c r="PBZ25" s="1117"/>
      <c r="PCA25" s="1117"/>
      <c r="PCB25" s="1117"/>
      <c r="PCC25" s="1117"/>
      <c r="PCD25" s="1117"/>
      <c r="PCE25" s="1117"/>
      <c r="PCF25" s="1117"/>
      <c r="PCG25" s="1117"/>
      <c r="PCH25" s="1117"/>
      <c r="PCI25" s="1117"/>
      <c r="PCJ25" s="1117"/>
      <c r="PCK25" s="1117"/>
      <c r="PCL25" s="1117"/>
      <c r="PCM25" s="1117"/>
      <c r="PCN25" s="1117"/>
      <c r="PCO25" s="1117"/>
      <c r="PCP25" s="1117"/>
      <c r="PCQ25" s="1117"/>
      <c r="PCR25" s="1117"/>
      <c r="PCS25" s="1117"/>
      <c r="PCT25" s="1117"/>
      <c r="PCU25" s="1117"/>
      <c r="PCV25" s="1117"/>
      <c r="PCW25" s="1117"/>
      <c r="PCX25" s="1117"/>
      <c r="PCY25" s="1117"/>
      <c r="PCZ25" s="1117"/>
      <c r="PDA25" s="1117"/>
      <c r="PDB25" s="1117"/>
      <c r="PDC25" s="1117"/>
      <c r="PDD25" s="1117"/>
      <c r="PDE25" s="1117"/>
      <c r="PDF25" s="1117"/>
      <c r="PDG25" s="1117"/>
      <c r="PDH25" s="1117"/>
      <c r="PDI25" s="1117"/>
      <c r="PDJ25" s="1117"/>
      <c r="PDK25" s="1117"/>
      <c r="PDL25" s="1117"/>
      <c r="PDM25" s="1117"/>
      <c r="PDN25" s="1117"/>
      <c r="PDO25" s="1117"/>
      <c r="PDP25" s="1117"/>
      <c r="PDQ25" s="1117"/>
      <c r="PDR25" s="1117"/>
      <c r="PDS25" s="1117"/>
      <c r="PDT25" s="1117"/>
      <c r="PDU25" s="1117"/>
      <c r="PDV25" s="1117"/>
      <c r="PDW25" s="1117"/>
      <c r="PDX25" s="1117"/>
      <c r="PDY25" s="1117"/>
      <c r="PDZ25" s="1117"/>
      <c r="PEA25" s="1117"/>
      <c r="PEB25" s="1117"/>
      <c r="PEC25" s="1117"/>
      <c r="PED25" s="1117"/>
      <c r="PEE25" s="1117"/>
      <c r="PEF25" s="1117"/>
      <c r="PEG25" s="1117"/>
      <c r="PEH25" s="1117"/>
      <c r="PEI25" s="1117"/>
      <c r="PEJ25" s="1117"/>
      <c r="PEK25" s="1117"/>
      <c r="PEL25" s="1117"/>
      <c r="PEM25" s="1117"/>
      <c r="PEN25" s="1117"/>
      <c r="PEO25" s="1117"/>
      <c r="PEP25" s="1117"/>
      <c r="PEQ25" s="1117"/>
      <c r="PER25" s="1117"/>
      <c r="PES25" s="1117"/>
      <c r="PET25" s="1117"/>
      <c r="PEU25" s="1117"/>
      <c r="PEV25" s="1117"/>
      <c r="PEW25" s="1117"/>
      <c r="PEX25" s="1117"/>
      <c r="PEY25" s="1117"/>
      <c r="PEZ25" s="1117"/>
      <c r="PFA25" s="1117"/>
      <c r="PFB25" s="1117"/>
      <c r="PFC25" s="1117"/>
      <c r="PFD25" s="1117"/>
      <c r="PFE25" s="1117"/>
      <c r="PFF25" s="1117"/>
      <c r="PFG25" s="1117"/>
      <c r="PFH25" s="1117"/>
      <c r="PFI25" s="1117"/>
      <c r="PFJ25" s="1117"/>
      <c r="PFK25" s="1117"/>
      <c r="PFL25" s="1117"/>
      <c r="PFM25" s="1117"/>
      <c r="PFN25" s="1117"/>
      <c r="PFO25" s="1117"/>
      <c r="PFP25" s="1117"/>
      <c r="PFQ25" s="1117"/>
      <c r="PFR25" s="1117"/>
      <c r="PFS25" s="1117"/>
      <c r="PFT25" s="1117"/>
      <c r="PFU25" s="1117"/>
      <c r="PFV25" s="1117"/>
      <c r="PFW25" s="1117"/>
      <c r="PFX25" s="1117"/>
      <c r="PFY25" s="1117"/>
      <c r="PFZ25" s="1117"/>
      <c r="PGA25" s="1117"/>
      <c r="PGB25" s="1117"/>
      <c r="PGC25" s="1117"/>
      <c r="PGD25" s="1117"/>
      <c r="PGE25" s="1117"/>
      <c r="PGF25" s="1117"/>
      <c r="PGG25" s="1117"/>
      <c r="PGH25" s="1117"/>
      <c r="PGI25" s="1117"/>
      <c r="PGJ25" s="1117"/>
      <c r="PGK25" s="1117"/>
      <c r="PGL25" s="1117"/>
      <c r="PGM25" s="1117"/>
      <c r="PGN25" s="1117"/>
      <c r="PGO25" s="1117"/>
      <c r="PGP25" s="1117"/>
      <c r="PGQ25" s="1117"/>
      <c r="PGR25" s="1117"/>
      <c r="PGS25" s="1117"/>
      <c r="PGT25" s="1117"/>
      <c r="PGU25" s="1117"/>
      <c r="PGV25" s="1117"/>
      <c r="PGW25" s="1117"/>
      <c r="PGX25" s="1117"/>
      <c r="PGY25" s="1117"/>
      <c r="PGZ25" s="1117"/>
      <c r="PHA25" s="1117"/>
      <c r="PHB25" s="1117"/>
      <c r="PHC25" s="1117"/>
      <c r="PHD25" s="1117"/>
      <c r="PHE25" s="1117"/>
      <c r="PHF25" s="1117"/>
      <c r="PHG25" s="1117"/>
      <c r="PHH25" s="1117"/>
      <c r="PHI25" s="1117"/>
      <c r="PHJ25" s="1117"/>
      <c r="PHK25" s="1117"/>
      <c r="PHL25" s="1117"/>
      <c r="PHM25" s="1117"/>
      <c r="PHN25" s="1117"/>
      <c r="PHO25" s="1117"/>
      <c r="PHP25" s="1117"/>
      <c r="PHQ25" s="1117"/>
      <c r="PHR25" s="1117"/>
      <c r="PHS25" s="1117"/>
      <c r="PHT25" s="1117"/>
      <c r="PHU25" s="1117"/>
      <c r="PHV25" s="1117"/>
      <c r="PHW25" s="1117"/>
      <c r="PHX25" s="1117"/>
      <c r="PHY25" s="1117"/>
      <c r="PHZ25" s="1117"/>
      <c r="PIA25" s="1117"/>
      <c r="PIB25" s="1117"/>
      <c r="PIC25" s="1117"/>
      <c r="PID25" s="1117"/>
      <c r="PIE25" s="1117"/>
      <c r="PIF25" s="1117"/>
      <c r="PIG25" s="1117"/>
      <c r="PIH25" s="1117"/>
      <c r="PII25" s="1117"/>
      <c r="PIJ25" s="1117"/>
      <c r="PIK25" s="1117"/>
      <c r="PIL25" s="1117"/>
      <c r="PIM25" s="1117"/>
      <c r="PIN25" s="1117"/>
      <c r="PIO25" s="1117"/>
      <c r="PIP25" s="1117"/>
      <c r="PIQ25" s="1117"/>
      <c r="PIR25" s="1117"/>
      <c r="PIS25" s="1117"/>
      <c r="PIT25" s="1117"/>
      <c r="PIU25" s="1117"/>
      <c r="PIV25" s="1117"/>
      <c r="PIW25" s="1117"/>
      <c r="PIX25" s="1117"/>
      <c r="PIY25" s="1117"/>
      <c r="PIZ25" s="1117"/>
      <c r="PJA25" s="1117"/>
      <c r="PJB25" s="1117"/>
      <c r="PJC25" s="1117"/>
      <c r="PJD25" s="1117"/>
      <c r="PJE25" s="1117"/>
      <c r="PJF25" s="1117"/>
      <c r="PJG25" s="1117"/>
      <c r="PJH25" s="1117"/>
      <c r="PJI25" s="1117"/>
      <c r="PJJ25" s="1117"/>
      <c r="PJK25" s="1117"/>
      <c r="PJL25" s="1117"/>
      <c r="PJM25" s="1117"/>
      <c r="PJN25" s="1117"/>
      <c r="PJO25" s="1117"/>
      <c r="PJP25" s="1117"/>
      <c r="PJQ25" s="1117"/>
      <c r="PJR25" s="1117"/>
      <c r="PJS25" s="1117"/>
      <c r="PJT25" s="1117"/>
      <c r="PJU25" s="1117"/>
      <c r="PJV25" s="1117"/>
      <c r="PJW25" s="1117"/>
      <c r="PJX25" s="1117"/>
      <c r="PJY25" s="1117"/>
      <c r="PJZ25" s="1117"/>
      <c r="PKA25" s="1117"/>
      <c r="PKB25" s="1117"/>
      <c r="PKC25" s="1117"/>
      <c r="PKD25" s="1117"/>
      <c r="PKE25" s="1117"/>
      <c r="PKF25" s="1117"/>
      <c r="PKG25" s="1117"/>
      <c r="PKH25" s="1117"/>
      <c r="PKI25" s="1117"/>
      <c r="PKJ25" s="1117"/>
      <c r="PKK25" s="1117"/>
      <c r="PKL25" s="1117"/>
      <c r="PKM25" s="1117"/>
      <c r="PKN25" s="1117"/>
      <c r="PKO25" s="1117"/>
      <c r="PKP25" s="1117"/>
      <c r="PKQ25" s="1117"/>
      <c r="PKR25" s="1117"/>
      <c r="PKS25" s="1117"/>
      <c r="PKT25" s="1117"/>
      <c r="PKU25" s="1117"/>
      <c r="PKV25" s="1117"/>
      <c r="PKW25" s="1117"/>
      <c r="PKX25" s="1117"/>
      <c r="PKY25" s="1117"/>
      <c r="PKZ25" s="1117"/>
      <c r="PLA25" s="1117"/>
      <c r="PLB25" s="1117"/>
      <c r="PLC25" s="1117"/>
      <c r="PLD25" s="1117"/>
      <c r="PLE25" s="1117"/>
      <c r="PLF25" s="1117"/>
      <c r="PLG25" s="1117"/>
      <c r="PLH25" s="1117"/>
      <c r="PLI25" s="1117"/>
      <c r="PLJ25" s="1117"/>
      <c r="PLK25" s="1117"/>
      <c r="PLL25" s="1117"/>
      <c r="PLM25" s="1117"/>
      <c r="PLN25" s="1117"/>
      <c r="PLO25" s="1117"/>
      <c r="PLP25" s="1117"/>
      <c r="PLQ25" s="1117"/>
      <c r="PLR25" s="1117"/>
      <c r="PLS25" s="1117"/>
      <c r="PLT25" s="1117"/>
      <c r="PLU25" s="1117"/>
      <c r="PLV25" s="1117"/>
      <c r="PLW25" s="1117"/>
      <c r="PLX25" s="1117"/>
      <c r="PLY25" s="1117"/>
      <c r="PLZ25" s="1117"/>
      <c r="PMA25" s="1117"/>
      <c r="PMB25" s="1117"/>
      <c r="PMC25" s="1117"/>
      <c r="PMD25" s="1117"/>
      <c r="PME25" s="1117"/>
      <c r="PMF25" s="1117"/>
      <c r="PMG25" s="1117"/>
      <c r="PMH25" s="1117"/>
      <c r="PMI25" s="1117"/>
      <c r="PMJ25" s="1117"/>
      <c r="PMK25" s="1117"/>
      <c r="PML25" s="1117"/>
      <c r="PMM25" s="1117"/>
      <c r="PMN25" s="1117"/>
      <c r="PMO25" s="1117"/>
      <c r="PMP25" s="1117"/>
      <c r="PMQ25" s="1117"/>
      <c r="PMR25" s="1117"/>
      <c r="PMS25" s="1117"/>
      <c r="PMT25" s="1117"/>
      <c r="PMU25" s="1117"/>
      <c r="PMV25" s="1117"/>
      <c r="PMW25" s="1117"/>
      <c r="PMX25" s="1117"/>
      <c r="PMY25" s="1117"/>
      <c r="PMZ25" s="1117"/>
      <c r="PNA25" s="1117"/>
      <c r="PNB25" s="1117"/>
      <c r="PNC25" s="1117"/>
      <c r="PND25" s="1117"/>
      <c r="PNE25" s="1117"/>
      <c r="PNF25" s="1117"/>
      <c r="PNG25" s="1117"/>
      <c r="PNH25" s="1117"/>
      <c r="PNI25" s="1117"/>
      <c r="PNJ25" s="1117"/>
      <c r="PNK25" s="1117"/>
      <c r="PNL25" s="1117"/>
      <c r="PNM25" s="1117"/>
      <c r="PNN25" s="1117"/>
      <c r="PNO25" s="1117"/>
      <c r="PNP25" s="1117"/>
      <c r="PNQ25" s="1117"/>
      <c r="PNR25" s="1117"/>
      <c r="PNS25" s="1117"/>
      <c r="PNT25" s="1117"/>
      <c r="PNU25" s="1117"/>
      <c r="PNV25" s="1117"/>
      <c r="PNW25" s="1117"/>
      <c r="PNX25" s="1117"/>
      <c r="PNY25" s="1117"/>
      <c r="PNZ25" s="1117"/>
      <c r="POA25" s="1117"/>
      <c r="POB25" s="1117"/>
      <c r="POC25" s="1117"/>
      <c r="POD25" s="1117"/>
      <c r="POE25" s="1117"/>
      <c r="POF25" s="1117"/>
      <c r="POG25" s="1117"/>
      <c r="POH25" s="1117"/>
      <c r="POI25" s="1117"/>
      <c r="POJ25" s="1117"/>
      <c r="POK25" s="1117"/>
      <c r="POL25" s="1117"/>
      <c r="POM25" s="1117"/>
      <c r="PON25" s="1117"/>
      <c r="POO25" s="1117"/>
      <c r="POP25" s="1117"/>
      <c r="POQ25" s="1117"/>
      <c r="POR25" s="1117"/>
      <c r="POS25" s="1117"/>
      <c r="POT25" s="1117"/>
      <c r="POU25" s="1117"/>
      <c r="POV25" s="1117"/>
      <c r="POW25" s="1117"/>
      <c r="POX25" s="1117"/>
      <c r="POY25" s="1117"/>
      <c r="POZ25" s="1117"/>
      <c r="PPA25" s="1117"/>
      <c r="PPB25" s="1117"/>
      <c r="PPC25" s="1117"/>
      <c r="PPD25" s="1117"/>
      <c r="PPE25" s="1117"/>
      <c r="PPF25" s="1117"/>
      <c r="PPG25" s="1117"/>
      <c r="PPH25" s="1117"/>
      <c r="PPI25" s="1117"/>
      <c r="PPJ25" s="1117"/>
      <c r="PPK25" s="1117"/>
      <c r="PPL25" s="1117"/>
      <c r="PPM25" s="1117"/>
      <c r="PPN25" s="1117"/>
      <c r="PPO25" s="1117"/>
      <c r="PPP25" s="1117"/>
      <c r="PPQ25" s="1117"/>
      <c r="PPR25" s="1117"/>
      <c r="PPS25" s="1117"/>
      <c r="PPT25" s="1117"/>
      <c r="PPU25" s="1117"/>
      <c r="PPV25" s="1117"/>
      <c r="PPW25" s="1117"/>
      <c r="PPX25" s="1117"/>
      <c r="PPY25" s="1117"/>
      <c r="PPZ25" s="1117"/>
      <c r="PQA25" s="1117"/>
      <c r="PQB25" s="1117"/>
      <c r="PQC25" s="1117"/>
      <c r="PQD25" s="1117"/>
      <c r="PQE25" s="1117"/>
      <c r="PQF25" s="1117"/>
      <c r="PQG25" s="1117"/>
      <c r="PQH25" s="1117"/>
      <c r="PQI25" s="1117"/>
      <c r="PQJ25" s="1117"/>
      <c r="PQK25" s="1117"/>
      <c r="PQL25" s="1117"/>
      <c r="PQM25" s="1117"/>
      <c r="PQN25" s="1117"/>
      <c r="PQO25" s="1117"/>
      <c r="PQP25" s="1117"/>
      <c r="PQQ25" s="1117"/>
      <c r="PQR25" s="1117"/>
      <c r="PQS25" s="1117"/>
      <c r="PQT25" s="1117"/>
      <c r="PQU25" s="1117"/>
      <c r="PQV25" s="1117"/>
      <c r="PQW25" s="1117"/>
      <c r="PQX25" s="1117"/>
      <c r="PQY25" s="1117"/>
      <c r="PQZ25" s="1117"/>
      <c r="PRA25" s="1117"/>
      <c r="PRB25" s="1117"/>
      <c r="PRC25" s="1117"/>
      <c r="PRD25" s="1117"/>
      <c r="PRE25" s="1117"/>
      <c r="PRF25" s="1117"/>
      <c r="PRG25" s="1117"/>
      <c r="PRH25" s="1117"/>
      <c r="PRI25" s="1117"/>
      <c r="PRJ25" s="1117"/>
      <c r="PRK25" s="1117"/>
      <c r="PRL25" s="1117"/>
      <c r="PRM25" s="1117"/>
      <c r="PRN25" s="1117"/>
      <c r="PRO25" s="1117"/>
      <c r="PRP25" s="1117"/>
      <c r="PRQ25" s="1117"/>
      <c r="PRR25" s="1117"/>
      <c r="PRS25" s="1117"/>
      <c r="PRT25" s="1117"/>
      <c r="PRU25" s="1117"/>
      <c r="PRV25" s="1117"/>
      <c r="PRW25" s="1117"/>
      <c r="PRX25" s="1117"/>
      <c r="PRY25" s="1117"/>
      <c r="PRZ25" s="1117"/>
      <c r="PSA25" s="1117"/>
      <c r="PSB25" s="1117"/>
      <c r="PSC25" s="1117"/>
      <c r="PSD25" s="1117"/>
      <c r="PSE25" s="1117"/>
      <c r="PSF25" s="1117"/>
      <c r="PSG25" s="1117"/>
      <c r="PSH25" s="1117"/>
      <c r="PSI25" s="1117"/>
      <c r="PSJ25" s="1117"/>
      <c r="PSK25" s="1117"/>
      <c r="PSL25" s="1117"/>
      <c r="PSM25" s="1117"/>
      <c r="PSN25" s="1117"/>
      <c r="PSO25" s="1117"/>
      <c r="PSP25" s="1117"/>
      <c r="PSQ25" s="1117"/>
      <c r="PSR25" s="1117"/>
      <c r="PSS25" s="1117"/>
      <c r="PST25" s="1117"/>
      <c r="PSU25" s="1117"/>
      <c r="PSV25" s="1117"/>
      <c r="PSW25" s="1117"/>
      <c r="PSX25" s="1117"/>
      <c r="PSY25" s="1117"/>
      <c r="PSZ25" s="1117"/>
      <c r="PTA25" s="1117"/>
      <c r="PTB25" s="1117"/>
      <c r="PTC25" s="1117"/>
      <c r="PTD25" s="1117"/>
      <c r="PTE25" s="1117"/>
      <c r="PTF25" s="1117"/>
      <c r="PTG25" s="1117"/>
      <c r="PTH25" s="1117"/>
      <c r="PTI25" s="1117"/>
      <c r="PTJ25" s="1117"/>
      <c r="PTK25" s="1117"/>
      <c r="PTL25" s="1117"/>
      <c r="PTM25" s="1117"/>
      <c r="PTN25" s="1117"/>
      <c r="PTO25" s="1117"/>
      <c r="PTP25" s="1117"/>
      <c r="PTQ25" s="1117"/>
      <c r="PTR25" s="1117"/>
      <c r="PTS25" s="1117"/>
      <c r="PTT25" s="1117"/>
      <c r="PTU25" s="1117"/>
      <c r="PTV25" s="1117"/>
      <c r="PTW25" s="1117"/>
      <c r="PTX25" s="1117"/>
      <c r="PTY25" s="1117"/>
      <c r="PTZ25" s="1117"/>
      <c r="PUA25" s="1117"/>
      <c r="PUB25" s="1117"/>
      <c r="PUC25" s="1117"/>
      <c r="PUD25" s="1117"/>
      <c r="PUE25" s="1117"/>
      <c r="PUF25" s="1117"/>
      <c r="PUG25" s="1117"/>
      <c r="PUH25" s="1117"/>
      <c r="PUI25" s="1117"/>
      <c r="PUJ25" s="1117"/>
      <c r="PUK25" s="1117"/>
      <c r="PUL25" s="1117"/>
      <c r="PUM25" s="1117"/>
      <c r="PUN25" s="1117"/>
      <c r="PUO25" s="1117"/>
      <c r="PUP25" s="1117"/>
      <c r="PUQ25" s="1117"/>
      <c r="PUR25" s="1117"/>
      <c r="PUS25" s="1117"/>
      <c r="PUT25" s="1117"/>
      <c r="PUU25" s="1117"/>
      <c r="PUV25" s="1117"/>
      <c r="PUW25" s="1117"/>
      <c r="PUX25" s="1117"/>
      <c r="PUY25" s="1117"/>
      <c r="PUZ25" s="1117"/>
      <c r="PVA25" s="1117"/>
      <c r="PVB25" s="1117"/>
      <c r="PVC25" s="1117"/>
      <c r="PVD25" s="1117"/>
      <c r="PVE25" s="1117"/>
      <c r="PVF25" s="1117"/>
      <c r="PVG25" s="1117"/>
      <c r="PVH25" s="1117"/>
      <c r="PVI25" s="1117"/>
      <c r="PVJ25" s="1117"/>
      <c r="PVK25" s="1117"/>
      <c r="PVL25" s="1117"/>
      <c r="PVM25" s="1117"/>
      <c r="PVN25" s="1117"/>
      <c r="PVO25" s="1117"/>
      <c r="PVP25" s="1117"/>
      <c r="PVQ25" s="1117"/>
      <c r="PVR25" s="1117"/>
      <c r="PVS25" s="1117"/>
      <c r="PVT25" s="1117"/>
      <c r="PVU25" s="1117"/>
      <c r="PVV25" s="1117"/>
      <c r="PVW25" s="1117"/>
      <c r="PVX25" s="1117"/>
      <c r="PVY25" s="1117"/>
      <c r="PVZ25" s="1117"/>
      <c r="PWA25" s="1117"/>
      <c r="PWB25" s="1117"/>
      <c r="PWC25" s="1117"/>
      <c r="PWD25" s="1117"/>
      <c r="PWE25" s="1117"/>
      <c r="PWF25" s="1117"/>
      <c r="PWG25" s="1117"/>
      <c r="PWH25" s="1117"/>
      <c r="PWI25" s="1117"/>
      <c r="PWJ25" s="1117"/>
      <c r="PWK25" s="1117"/>
      <c r="PWL25" s="1117"/>
      <c r="PWM25" s="1117"/>
      <c r="PWN25" s="1117"/>
      <c r="PWO25" s="1117"/>
      <c r="PWP25" s="1117"/>
      <c r="PWQ25" s="1117"/>
      <c r="PWR25" s="1117"/>
      <c r="PWS25" s="1117"/>
      <c r="PWT25" s="1117"/>
      <c r="PWU25" s="1117"/>
      <c r="PWV25" s="1117"/>
      <c r="PWW25" s="1117"/>
      <c r="PWX25" s="1117"/>
      <c r="PWY25" s="1117"/>
      <c r="PWZ25" s="1117"/>
      <c r="PXA25" s="1117"/>
      <c r="PXB25" s="1117"/>
      <c r="PXC25" s="1117"/>
      <c r="PXD25" s="1117"/>
      <c r="PXE25" s="1117"/>
      <c r="PXF25" s="1117"/>
      <c r="PXG25" s="1117"/>
      <c r="PXH25" s="1117"/>
      <c r="PXI25" s="1117"/>
      <c r="PXJ25" s="1117"/>
      <c r="PXK25" s="1117"/>
      <c r="PXL25" s="1117"/>
      <c r="PXM25" s="1117"/>
      <c r="PXN25" s="1117"/>
      <c r="PXO25" s="1117"/>
      <c r="PXP25" s="1117"/>
      <c r="PXQ25" s="1117"/>
      <c r="PXR25" s="1117"/>
      <c r="PXS25" s="1117"/>
      <c r="PXT25" s="1117"/>
      <c r="PXU25" s="1117"/>
      <c r="PXV25" s="1117"/>
      <c r="PXW25" s="1117"/>
      <c r="PXX25" s="1117"/>
      <c r="PXY25" s="1117"/>
      <c r="PXZ25" s="1117"/>
      <c r="PYA25" s="1117"/>
      <c r="PYB25" s="1117"/>
      <c r="PYC25" s="1117"/>
      <c r="PYD25" s="1117"/>
      <c r="PYE25" s="1117"/>
      <c r="PYF25" s="1117"/>
      <c r="PYG25" s="1117"/>
      <c r="PYH25" s="1117"/>
      <c r="PYI25" s="1117"/>
      <c r="PYJ25" s="1117"/>
      <c r="PYK25" s="1117"/>
      <c r="PYL25" s="1117"/>
      <c r="PYM25" s="1117"/>
      <c r="PYN25" s="1117"/>
      <c r="PYO25" s="1117"/>
      <c r="PYP25" s="1117"/>
      <c r="PYQ25" s="1117"/>
      <c r="PYR25" s="1117"/>
      <c r="PYS25" s="1117"/>
      <c r="PYT25" s="1117"/>
      <c r="PYU25" s="1117"/>
      <c r="PYV25" s="1117"/>
      <c r="PYW25" s="1117"/>
      <c r="PYX25" s="1117"/>
      <c r="PYY25" s="1117"/>
      <c r="PYZ25" s="1117"/>
      <c r="PZA25" s="1117"/>
      <c r="PZB25" s="1117"/>
      <c r="PZC25" s="1117"/>
      <c r="PZD25" s="1117"/>
      <c r="PZE25" s="1117"/>
      <c r="PZF25" s="1117"/>
      <c r="PZG25" s="1117"/>
      <c r="PZH25" s="1117"/>
      <c r="PZI25" s="1117"/>
      <c r="PZJ25" s="1117"/>
      <c r="PZK25" s="1117"/>
      <c r="PZL25" s="1117"/>
      <c r="PZM25" s="1117"/>
      <c r="PZN25" s="1117"/>
      <c r="PZO25" s="1117"/>
      <c r="PZP25" s="1117"/>
      <c r="PZQ25" s="1117"/>
      <c r="PZR25" s="1117"/>
      <c r="PZS25" s="1117"/>
      <c r="PZT25" s="1117"/>
      <c r="PZU25" s="1117"/>
      <c r="PZV25" s="1117"/>
      <c r="PZW25" s="1117"/>
      <c r="PZX25" s="1117"/>
      <c r="PZY25" s="1117"/>
      <c r="PZZ25" s="1117"/>
      <c r="QAA25" s="1117"/>
      <c r="QAB25" s="1117"/>
      <c r="QAC25" s="1117"/>
      <c r="QAD25" s="1117"/>
      <c r="QAE25" s="1117"/>
      <c r="QAF25" s="1117"/>
      <c r="QAG25" s="1117"/>
      <c r="QAH25" s="1117"/>
      <c r="QAI25" s="1117"/>
      <c r="QAJ25" s="1117"/>
      <c r="QAK25" s="1117"/>
      <c r="QAL25" s="1117"/>
      <c r="QAM25" s="1117"/>
      <c r="QAN25" s="1117"/>
      <c r="QAO25" s="1117"/>
      <c r="QAP25" s="1117"/>
      <c r="QAQ25" s="1117"/>
      <c r="QAR25" s="1117"/>
      <c r="QAS25" s="1117"/>
      <c r="QAT25" s="1117"/>
      <c r="QAU25" s="1117"/>
      <c r="QAV25" s="1117"/>
      <c r="QAW25" s="1117"/>
      <c r="QAX25" s="1117"/>
      <c r="QAY25" s="1117"/>
      <c r="QAZ25" s="1117"/>
      <c r="QBA25" s="1117"/>
      <c r="QBB25" s="1117"/>
      <c r="QBC25" s="1117"/>
      <c r="QBD25" s="1117"/>
      <c r="QBE25" s="1117"/>
      <c r="QBF25" s="1117"/>
      <c r="QBG25" s="1117"/>
      <c r="QBH25" s="1117"/>
      <c r="QBI25" s="1117"/>
      <c r="QBJ25" s="1117"/>
      <c r="QBK25" s="1117"/>
      <c r="QBL25" s="1117"/>
      <c r="QBM25" s="1117"/>
      <c r="QBN25" s="1117"/>
      <c r="QBO25" s="1117"/>
      <c r="QBP25" s="1117"/>
      <c r="QBQ25" s="1117"/>
      <c r="QBR25" s="1117"/>
      <c r="QBS25" s="1117"/>
      <c r="QBT25" s="1117"/>
      <c r="QBU25" s="1117"/>
      <c r="QBV25" s="1117"/>
      <c r="QBW25" s="1117"/>
      <c r="QBX25" s="1117"/>
      <c r="QBY25" s="1117"/>
      <c r="QBZ25" s="1117"/>
      <c r="QCA25" s="1117"/>
      <c r="QCB25" s="1117"/>
      <c r="QCC25" s="1117"/>
      <c r="QCD25" s="1117"/>
      <c r="QCE25" s="1117"/>
      <c r="QCF25" s="1117"/>
      <c r="QCG25" s="1117"/>
      <c r="QCH25" s="1117"/>
      <c r="QCI25" s="1117"/>
      <c r="QCJ25" s="1117"/>
      <c r="QCK25" s="1117"/>
      <c r="QCL25" s="1117"/>
      <c r="QCM25" s="1117"/>
      <c r="QCN25" s="1117"/>
      <c r="QCO25" s="1117"/>
      <c r="QCP25" s="1117"/>
      <c r="QCQ25" s="1117"/>
      <c r="QCR25" s="1117"/>
      <c r="QCS25" s="1117"/>
      <c r="QCT25" s="1117"/>
      <c r="QCU25" s="1117"/>
      <c r="QCV25" s="1117"/>
      <c r="QCW25" s="1117"/>
      <c r="QCX25" s="1117"/>
      <c r="QCY25" s="1117"/>
      <c r="QCZ25" s="1117"/>
      <c r="QDA25" s="1117"/>
      <c r="QDB25" s="1117"/>
      <c r="QDC25" s="1117"/>
      <c r="QDD25" s="1117"/>
      <c r="QDE25" s="1117"/>
      <c r="QDF25" s="1117"/>
      <c r="QDG25" s="1117"/>
      <c r="QDH25" s="1117"/>
      <c r="QDI25" s="1117"/>
      <c r="QDJ25" s="1117"/>
      <c r="QDK25" s="1117"/>
      <c r="QDL25" s="1117"/>
      <c r="QDM25" s="1117"/>
      <c r="QDN25" s="1117"/>
      <c r="QDO25" s="1117"/>
      <c r="QDP25" s="1117"/>
      <c r="QDQ25" s="1117"/>
      <c r="QDR25" s="1117"/>
      <c r="QDS25" s="1117"/>
      <c r="QDT25" s="1117"/>
      <c r="QDU25" s="1117"/>
      <c r="QDV25" s="1117"/>
      <c r="QDW25" s="1117"/>
      <c r="QDX25" s="1117"/>
      <c r="QDY25" s="1117"/>
      <c r="QDZ25" s="1117"/>
      <c r="QEA25" s="1117"/>
      <c r="QEB25" s="1117"/>
      <c r="QEC25" s="1117"/>
      <c r="QED25" s="1117"/>
      <c r="QEE25" s="1117"/>
      <c r="QEF25" s="1117"/>
      <c r="QEG25" s="1117"/>
      <c r="QEH25" s="1117"/>
      <c r="QEI25" s="1117"/>
      <c r="QEJ25" s="1117"/>
      <c r="QEK25" s="1117"/>
      <c r="QEL25" s="1117"/>
      <c r="QEM25" s="1117"/>
      <c r="QEN25" s="1117"/>
      <c r="QEO25" s="1117"/>
      <c r="QEP25" s="1117"/>
      <c r="QEQ25" s="1117"/>
      <c r="QER25" s="1117"/>
      <c r="QES25" s="1117"/>
      <c r="QET25" s="1117"/>
      <c r="QEU25" s="1117"/>
      <c r="QEV25" s="1117"/>
      <c r="QEW25" s="1117"/>
      <c r="QEX25" s="1117"/>
      <c r="QEY25" s="1117"/>
      <c r="QEZ25" s="1117"/>
      <c r="QFA25" s="1117"/>
      <c r="QFB25" s="1117"/>
      <c r="QFC25" s="1117"/>
      <c r="QFD25" s="1117"/>
      <c r="QFE25" s="1117"/>
      <c r="QFF25" s="1117"/>
      <c r="QFG25" s="1117"/>
      <c r="QFH25" s="1117"/>
      <c r="QFI25" s="1117"/>
      <c r="QFJ25" s="1117"/>
      <c r="QFK25" s="1117"/>
      <c r="QFL25" s="1117"/>
      <c r="QFM25" s="1117"/>
      <c r="QFN25" s="1117"/>
      <c r="QFO25" s="1117"/>
      <c r="QFP25" s="1117"/>
      <c r="QFQ25" s="1117"/>
      <c r="QFR25" s="1117"/>
      <c r="QFS25" s="1117"/>
      <c r="QFT25" s="1117"/>
      <c r="QFU25" s="1117"/>
      <c r="QFV25" s="1117"/>
      <c r="QFW25" s="1117"/>
      <c r="QFX25" s="1117"/>
      <c r="QFY25" s="1117"/>
      <c r="QFZ25" s="1117"/>
      <c r="QGA25" s="1117"/>
      <c r="QGB25" s="1117"/>
      <c r="QGC25" s="1117"/>
      <c r="QGD25" s="1117"/>
      <c r="QGE25" s="1117"/>
      <c r="QGF25" s="1117"/>
      <c r="QGG25" s="1117"/>
      <c r="QGH25" s="1117"/>
      <c r="QGI25" s="1117"/>
      <c r="QGJ25" s="1117"/>
      <c r="QGK25" s="1117"/>
      <c r="QGL25" s="1117"/>
      <c r="QGM25" s="1117"/>
      <c r="QGN25" s="1117"/>
      <c r="QGO25" s="1117"/>
      <c r="QGP25" s="1117"/>
      <c r="QGQ25" s="1117"/>
      <c r="QGR25" s="1117"/>
      <c r="QGS25" s="1117"/>
      <c r="QGT25" s="1117"/>
      <c r="QGU25" s="1117"/>
      <c r="QGV25" s="1117"/>
      <c r="QGW25" s="1117"/>
      <c r="QGX25" s="1117"/>
      <c r="QGY25" s="1117"/>
      <c r="QGZ25" s="1117"/>
      <c r="QHA25" s="1117"/>
      <c r="QHB25" s="1117"/>
      <c r="QHC25" s="1117"/>
      <c r="QHD25" s="1117"/>
      <c r="QHE25" s="1117"/>
      <c r="QHF25" s="1117"/>
      <c r="QHG25" s="1117"/>
      <c r="QHH25" s="1117"/>
      <c r="QHI25" s="1117"/>
      <c r="QHJ25" s="1117"/>
      <c r="QHK25" s="1117"/>
      <c r="QHL25" s="1117"/>
      <c r="QHM25" s="1117"/>
      <c r="QHN25" s="1117"/>
      <c r="QHO25" s="1117"/>
      <c r="QHP25" s="1117"/>
      <c r="QHQ25" s="1117"/>
      <c r="QHR25" s="1117"/>
      <c r="QHS25" s="1117"/>
      <c r="QHT25" s="1117"/>
      <c r="QHU25" s="1117"/>
      <c r="QHV25" s="1117"/>
      <c r="QHW25" s="1117"/>
      <c r="QHX25" s="1117"/>
      <c r="QHY25" s="1117"/>
      <c r="QHZ25" s="1117"/>
      <c r="QIA25" s="1117"/>
      <c r="QIB25" s="1117"/>
      <c r="QIC25" s="1117"/>
      <c r="QID25" s="1117"/>
      <c r="QIE25" s="1117"/>
      <c r="QIF25" s="1117"/>
      <c r="QIG25" s="1117"/>
      <c r="QIH25" s="1117"/>
      <c r="QII25" s="1117"/>
      <c r="QIJ25" s="1117"/>
      <c r="QIK25" s="1117"/>
      <c r="QIL25" s="1117"/>
      <c r="QIM25" s="1117"/>
      <c r="QIN25" s="1117"/>
      <c r="QIO25" s="1117"/>
      <c r="QIP25" s="1117"/>
      <c r="QIQ25" s="1117"/>
      <c r="QIR25" s="1117"/>
      <c r="QIS25" s="1117"/>
      <c r="QIT25" s="1117"/>
      <c r="QIU25" s="1117"/>
      <c r="QIV25" s="1117"/>
      <c r="QIW25" s="1117"/>
      <c r="QIX25" s="1117"/>
      <c r="QIY25" s="1117"/>
      <c r="QIZ25" s="1117"/>
      <c r="QJA25" s="1117"/>
      <c r="QJB25" s="1117"/>
      <c r="QJC25" s="1117"/>
      <c r="QJD25" s="1117"/>
      <c r="QJE25" s="1117"/>
      <c r="QJF25" s="1117"/>
      <c r="QJG25" s="1117"/>
      <c r="QJH25" s="1117"/>
      <c r="QJI25" s="1117"/>
      <c r="QJJ25" s="1117"/>
      <c r="QJK25" s="1117"/>
      <c r="QJL25" s="1117"/>
      <c r="QJM25" s="1117"/>
      <c r="QJN25" s="1117"/>
      <c r="QJO25" s="1117"/>
      <c r="QJP25" s="1117"/>
      <c r="QJQ25" s="1117"/>
      <c r="QJR25" s="1117"/>
      <c r="QJS25" s="1117"/>
      <c r="QJT25" s="1117"/>
      <c r="QJU25" s="1117"/>
      <c r="QJV25" s="1117"/>
      <c r="QJW25" s="1117"/>
      <c r="QJX25" s="1117"/>
      <c r="QJY25" s="1117"/>
      <c r="QJZ25" s="1117"/>
      <c r="QKA25" s="1117"/>
      <c r="QKB25" s="1117"/>
      <c r="QKC25" s="1117"/>
      <c r="QKD25" s="1117"/>
      <c r="QKE25" s="1117"/>
      <c r="QKF25" s="1117"/>
      <c r="QKG25" s="1117"/>
      <c r="QKH25" s="1117"/>
      <c r="QKI25" s="1117"/>
      <c r="QKJ25" s="1117"/>
      <c r="QKK25" s="1117"/>
      <c r="QKL25" s="1117"/>
      <c r="QKM25" s="1117"/>
      <c r="QKN25" s="1117"/>
      <c r="QKO25" s="1117"/>
      <c r="QKP25" s="1117"/>
      <c r="QKQ25" s="1117"/>
      <c r="QKR25" s="1117"/>
      <c r="QKS25" s="1117"/>
      <c r="QKT25" s="1117"/>
      <c r="QKU25" s="1117"/>
      <c r="QKV25" s="1117"/>
      <c r="QKW25" s="1117"/>
      <c r="QKX25" s="1117"/>
      <c r="QKY25" s="1117"/>
      <c r="QKZ25" s="1117"/>
      <c r="QLA25" s="1117"/>
      <c r="QLB25" s="1117"/>
      <c r="QLC25" s="1117"/>
      <c r="QLD25" s="1117"/>
      <c r="QLE25" s="1117"/>
      <c r="QLF25" s="1117"/>
      <c r="QLG25" s="1117"/>
      <c r="QLH25" s="1117"/>
      <c r="QLI25" s="1117"/>
      <c r="QLJ25" s="1117"/>
      <c r="QLK25" s="1117"/>
      <c r="QLL25" s="1117"/>
      <c r="QLM25" s="1117"/>
      <c r="QLN25" s="1117"/>
      <c r="QLO25" s="1117"/>
      <c r="QLP25" s="1117"/>
      <c r="QLQ25" s="1117"/>
      <c r="QLR25" s="1117"/>
      <c r="QLS25" s="1117"/>
      <c r="QLT25" s="1117"/>
      <c r="QLU25" s="1117"/>
      <c r="QLV25" s="1117"/>
      <c r="QLW25" s="1117"/>
      <c r="QLX25" s="1117"/>
      <c r="QLY25" s="1117"/>
      <c r="QLZ25" s="1117"/>
      <c r="QMA25" s="1117"/>
      <c r="QMB25" s="1117"/>
      <c r="QMC25" s="1117"/>
      <c r="QMD25" s="1117"/>
      <c r="QME25" s="1117"/>
      <c r="QMF25" s="1117"/>
      <c r="QMG25" s="1117"/>
      <c r="QMH25" s="1117"/>
      <c r="QMI25" s="1117"/>
      <c r="QMJ25" s="1117"/>
      <c r="QMK25" s="1117"/>
      <c r="QML25" s="1117"/>
      <c r="QMM25" s="1117"/>
      <c r="QMN25" s="1117"/>
      <c r="QMO25" s="1117"/>
      <c r="QMP25" s="1117"/>
      <c r="QMQ25" s="1117"/>
      <c r="QMR25" s="1117"/>
      <c r="QMS25" s="1117"/>
      <c r="QMT25" s="1117"/>
      <c r="QMU25" s="1117"/>
      <c r="QMV25" s="1117"/>
      <c r="QMW25" s="1117"/>
      <c r="QMX25" s="1117"/>
      <c r="QMY25" s="1117"/>
      <c r="QMZ25" s="1117"/>
      <c r="QNA25" s="1117"/>
      <c r="QNB25" s="1117"/>
      <c r="QNC25" s="1117"/>
      <c r="QND25" s="1117"/>
      <c r="QNE25" s="1117"/>
      <c r="QNF25" s="1117"/>
      <c r="QNG25" s="1117"/>
      <c r="QNH25" s="1117"/>
      <c r="QNI25" s="1117"/>
      <c r="QNJ25" s="1117"/>
      <c r="QNK25" s="1117"/>
      <c r="QNL25" s="1117"/>
      <c r="QNM25" s="1117"/>
      <c r="QNN25" s="1117"/>
      <c r="QNO25" s="1117"/>
      <c r="QNP25" s="1117"/>
      <c r="QNQ25" s="1117"/>
      <c r="QNR25" s="1117"/>
      <c r="QNS25" s="1117"/>
      <c r="QNT25" s="1117"/>
      <c r="QNU25" s="1117"/>
      <c r="QNV25" s="1117"/>
      <c r="QNW25" s="1117"/>
      <c r="QNX25" s="1117"/>
      <c r="QNY25" s="1117"/>
      <c r="QNZ25" s="1117"/>
      <c r="QOA25" s="1117"/>
      <c r="QOB25" s="1117"/>
      <c r="QOC25" s="1117"/>
      <c r="QOD25" s="1117"/>
      <c r="QOE25" s="1117"/>
      <c r="QOF25" s="1117"/>
      <c r="QOG25" s="1117"/>
      <c r="QOH25" s="1117"/>
      <c r="QOI25" s="1117"/>
      <c r="QOJ25" s="1117"/>
      <c r="QOK25" s="1117"/>
      <c r="QOL25" s="1117"/>
      <c r="QOM25" s="1117"/>
      <c r="QON25" s="1117"/>
      <c r="QOO25" s="1117"/>
      <c r="QOP25" s="1117"/>
      <c r="QOQ25" s="1117"/>
      <c r="QOR25" s="1117"/>
      <c r="QOS25" s="1117"/>
      <c r="QOT25" s="1117"/>
      <c r="QOU25" s="1117"/>
      <c r="QOV25" s="1117"/>
      <c r="QOW25" s="1117"/>
      <c r="QOX25" s="1117"/>
      <c r="QOY25" s="1117"/>
      <c r="QOZ25" s="1117"/>
      <c r="QPA25" s="1117"/>
      <c r="QPB25" s="1117"/>
      <c r="QPC25" s="1117"/>
      <c r="QPD25" s="1117"/>
      <c r="QPE25" s="1117"/>
      <c r="QPF25" s="1117"/>
      <c r="QPG25" s="1117"/>
      <c r="QPH25" s="1117"/>
      <c r="QPI25" s="1117"/>
      <c r="QPJ25" s="1117"/>
      <c r="QPK25" s="1117"/>
      <c r="QPL25" s="1117"/>
      <c r="QPM25" s="1117"/>
      <c r="QPN25" s="1117"/>
      <c r="QPO25" s="1117"/>
      <c r="QPP25" s="1117"/>
      <c r="QPQ25" s="1117"/>
      <c r="QPR25" s="1117"/>
      <c r="QPS25" s="1117"/>
      <c r="QPT25" s="1117"/>
      <c r="QPU25" s="1117"/>
      <c r="QPV25" s="1117"/>
      <c r="QPW25" s="1117"/>
      <c r="QPX25" s="1117"/>
      <c r="QPY25" s="1117"/>
      <c r="QPZ25" s="1117"/>
      <c r="QQA25" s="1117"/>
      <c r="QQB25" s="1117"/>
      <c r="QQC25" s="1117"/>
      <c r="QQD25" s="1117"/>
      <c r="QQE25" s="1117"/>
      <c r="QQF25" s="1117"/>
      <c r="QQG25" s="1117"/>
      <c r="QQH25" s="1117"/>
      <c r="QQI25" s="1117"/>
      <c r="QQJ25" s="1117"/>
      <c r="QQK25" s="1117"/>
      <c r="QQL25" s="1117"/>
      <c r="QQM25" s="1117"/>
      <c r="QQN25" s="1117"/>
      <c r="QQO25" s="1117"/>
      <c r="QQP25" s="1117"/>
      <c r="QQQ25" s="1117"/>
      <c r="QQR25" s="1117"/>
      <c r="QQS25" s="1117"/>
      <c r="QQT25" s="1117"/>
      <c r="QQU25" s="1117"/>
      <c r="QQV25" s="1117"/>
      <c r="QQW25" s="1117"/>
      <c r="QQX25" s="1117"/>
      <c r="QQY25" s="1117"/>
      <c r="QQZ25" s="1117"/>
      <c r="QRA25" s="1117"/>
      <c r="QRB25" s="1117"/>
      <c r="QRC25" s="1117"/>
      <c r="QRD25" s="1117"/>
      <c r="QRE25" s="1117"/>
      <c r="QRF25" s="1117"/>
      <c r="QRG25" s="1117"/>
      <c r="QRH25" s="1117"/>
      <c r="QRI25" s="1117"/>
      <c r="QRJ25" s="1117"/>
      <c r="QRK25" s="1117"/>
      <c r="QRL25" s="1117"/>
      <c r="QRM25" s="1117"/>
      <c r="QRN25" s="1117"/>
      <c r="QRO25" s="1117"/>
      <c r="QRP25" s="1117"/>
      <c r="QRQ25" s="1117"/>
      <c r="QRR25" s="1117"/>
      <c r="QRS25" s="1117"/>
      <c r="QRT25" s="1117"/>
      <c r="QRU25" s="1117"/>
      <c r="QRV25" s="1117"/>
      <c r="QRW25" s="1117"/>
      <c r="QRX25" s="1117"/>
      <c r="QRY25" s="1117"/>
      <c r="QRZ25" s="1117"/>
      <c r="QSA25" s="1117"/>
      <c r="QSB25" s="1117"/>
      <c r="QSC25" s="1117"/>
      <c r="QSD25" s="1117"/>
      <c r="QSE25" s="1117"/>
      <c r="QSF25" s="1117"/>
      <c r="QSG25" s="1117"/>
      <c r="QSH25" s="1117"/>
      <c r="QSI25" s="1117"/>
      <c r="QSJ25" s="1117"/>
      <c r="QSK25" s="1117"/>
      <c r="QSL25" s="1117"/>
      <c r="QSM25" s="1117"/>
      <c r="QSN25" s="1117"/>
      <c r="QSO25" s="1117"/>
      <c r="QSP25" s="1117"/>
      <c r="QSQ25" s="1117"/>
      <c r="QSR25" s="1117"/>
      <c r="QSS25" s="1117"/>
      <c r="QST25" s="1117"/>
      <c r="QSU25" s="1117"/>
      <c r="QSV25" s="1117"/>
      <c r="QSW25" s="1117"/>
      <c r="QSX25" s="1117"/>
      <c r="QSY25" s="1117"/>
      <c r="QSZ25" s="1117"/>
      <c r="QTA25" s="1117"/>
      <c r="QTB25" s="1117"/>
      <c r="QTC25" s="1117"/>
      <c r="QTD25" s="1117"/>
      <c r="QTE25" s="1117"/>
      <c r="QTF25" s="1117"/>
      <c r="QTG25" s="1117"/>
      <c r="QTH25" s="1117"/>
      <c r="QTI25" s="1117"/>
      <c r="QTJ25" s="1117"/>
      <c r="QTK25" s="1117"/>
      <c r="QTL25" s="1117"/>
      <c r="QTM25" s="1117"/>
      <c r="QTN25" s="1117"/>
      <c r="QTO25" s="1117"/>
      <c r="QTP25" s="1117"/>
      <c r="QTQ25" s="1117"/>
      <c r="QTR25" s="1117"/>
      <c r="QTS25" s="1117"/>
      <c r="QTT25" s="1117"/>
      <c r="QTU25" s="1117"/>
      <c r="QTV25" s="1117"/>
      <c r="QTW25" s="1117"/>
      <c r="QTX25" s="1117"/>
      <c r="QTY25" s="1117"/>
      <c r="QTZ25" s="1117"/>
      <c r="QUA25" s="1117"/>
      <c r="QUB25" s="1117"/>
      <c r="QUC25" s="1117"/>
      <c r="QUD25" s="1117"/>
      <c r="QUE25" s="1117"/>
      <c r="QUF25" s="1117"/>
      <c r="QUG25" s="1117"/>
      <c r="QUH25" s="1117"/>
      <c r="QUI25" s="1117"/>
      <c r="QUJ25" s="1117"/>
      <c r="QUK25" s="1117"/>
      <c r="QUL25" s="1117"/>
      <c r="QUM25" s="1117"/>
      <c r="QUN25" s="1117"/>
      <c r="QUO25" s="1117"/>
      <c r="QUP25" s="1117"/>
      <c r="QUQ25" s="1117"/>
      <c r="QUR25" s="1117"/>
      <c r="QUS25" s="1117"/>
      <c r="QUT25" s="1117"/>
      <c r="QUU25" s="1117"/>
      <c r="QUV25" s="1117"/>
      <c r="QUW25" s="1117"/>
      <c r="QUX25" s="1117"/>
      <c r="QUY25" s="1117"/>
      <c r="QUZ25" s="1117"/>
      <c r="QVA25" s="1117"/>
      <c r="QVB25" s="1117"/>
      <c r="QVC25" s="1117"/>
      <c r="QVD25" s="1117"/>
      <c r="QVE25" s="1117"/>
      <c r="QVF25" s="1117"/>
      <c r="QVG25" s="1117"/>
      <c r="QVH25" s="1117"/>
      <c r="QVI25" s="1117"/>
      <c r="QVJ25" s="1117"/>
      <c r="QVK25" s="1117"/>
      <c r="QVL25" s="1117"/>
      <c r="QVM25" s="1117"/>
      <c r="QVN25" s="1117"/>
      <c r="QVO25" s="1117"/>
      <c r="QVP25" s="1117"/>
      <c r="QVQ25" s="1117"/>
      <c r="QVR25" s="1117"/>
      <c r="QVS25" s="1117"/>
      <c r="QVT25" s="1117"/>
      <c r="QVU25" s="1117"/>
      <c r="QVV25" s="1117"/>
      <c r="QVW25" s="1117"/>
      <c r="QVX25" s="1117"/>
      <c r="QVY25" s="1117"/>
      <c r="QVZ25" s="1117"/>
      <c r="QWA25" s="1117"/>
      <c r="QWB25" s="1117"/>
      <c r="QWC25" s="1117"/>
      <c r="QWD25" s="1117"/>
      <c r="QWE25" s="1117"/>
      <c r="QWF25" s="1117"/>
      <c r="QWG25" s="1117"/>
      <c r="QWH25" s="1117"/>
      <c r="QWI25" s="1117"/>
      <c r="QWJ25" s="1117"/>
      <c r="QWK25" s="1117"/>
      <c r="QWL25" s="1117"/>
      <c r="QWM25" s="1117"/>
      <c r="QWN25" s="1117"/>
      <c r="QWO25" s="1117"/>
      <c r="QWP25" s="1117"/>
      <c r="QWQ25" s="1117"/>
      <c r="QWR25" s="1117"/>
      <c r="QWS25" s="1117"/>
      <c r="QWT25" s="1117"/>
      <c r="QWU25" s="1117"/>
      <c r="QWV25" s="1117"/>
      <c r="QWW25" s="1117"/>
      <c r="QWX25" s="1117"/>
      <c r="QWY25" s="1117"/>
      <c r="QWZ25" s="1117"/>
      <c r="QXA25" s="1117"/>
      <c r="QXB25" s="1117"/>
      <c r="QXC25" s="1117"/>
      <c r="QXD25" s="1117"/>
      <c r="QXE25" s="1117"/>
      <c r="QXF25" s="1117"/>
      <c r="QXG25" s="1117"/>
      <c r="QXH25" s="1117"/>
      <c r="QXI25" s="1117"/>
      <c r="QXJ25" s="1117"/>
      <c r="QXK25" s="1117"/>
      <c r="QXL25" s="1117"/>
      <c r="QXM25" s="1117"/>
      <c r="QXN25" s="1117"/>
      <c r="QXO25" s="1117"/>
      <c r="QXP25" s="1117"/>
      <c r="QXQ25" s="1117"/>
      <c r="QXR25" s="1117"/>
      <c r="QXS25" s="1117"/>
      <c r="QXT25" s="1117"/>
      <c r="QXU25" s="1117"/>
      <c r="QXV25" s="1117"/>
      <c r="QXW25" s="1117"/>
      <c r="QXX25" s="1117"/>
      <c r="QXY25" s="1117"/>
      <c r="QXZ25" s="1117"/>
      <c r="QYA25" s="1117"/>
      <c r="QYB25" s="1117"/>
      <c r="QYC25" s="1117"/>
      <c r="QYD25" s="1117"/>
      <c r="QYE25" s="1117"/>
      <c r="QYF25" s="1117"/>
      <c r="QYG25" s="1117"/>
      <c r="QYH25" s="1117"/>
      <c r="QYI25" s="1117"/>
      <c r="QYJ25" s="1117"/>
      <c r="QYK25" s="1117"/>
      <c r="QYL25" s="1117"/>
      <c r="QYM25" s="1117"/>
      <c r="QYN25" s="1117"/>
      <c r="QYO25" s="1117"/>
      <c r="QYP25" s="1117"/>
      <c r="QYQ25" s="1117"/>
      <c r="QYR25" s="1117"/>
      <c r="QYS25" s="1117"/>
      <c r="QYT25" s="1117"/>
      <c r="QYU25" s="1117"/>
      <c r="QYV25" s="1117"/>
      <c r="QYW25" s="1117"/>
      <c r="QYX25" s="1117"/>
      <c r="QYY25" s="1117"/>
      <c r="QYZ25" s="1117"/>
      <c r="QZA25" s="1117"/>
      <c r="QZB25" s="1117"/>
      <c r="QZC25" s="1117"/>
      <c r="QZD25" s="1117"/>
      <c r="QZE25" s="1117"/>
      <c r="QZF25" s="1117"/>
      <c r="QZG25" s="1117"/>
      <c r="QZH25" s="1117"/>
      <c r="QZI25" s="1117"/>
      <c r="QZJ25" s="1117"/>
      <c r="QZK25" s="1117"/>
      <c r="QZL25" s="1117"/>
      <c r="QZM25" s="1117"/>
      <c r="QZN25" s="1117"/>
      <c r="QZO25" s="1117"/>
      <c r="QZP25" s="1117"/>
      <c r="QZQ25" s="1117"/>
      <c r="QZR25" s="1117"/>
      <c r="QZS25" s="1117"/>
      <c r="QZT25" s="1117"/>
      <c r="QZU25" s="1117"/>
      <c r="QZV25" s="1117"/>
      <c r="QZW25" s="1117"/>
      <c r="QZX25" s="1117"/>
      <c r="QZY25" s="1117"/>
      <c r="QZZ25" s="1117"/>
      <c r="RAA25" s="1117"/>
      <c r="RAB25" s="1117"/>
      <c r="RAC25" s="1117"/>
      <c r="RAD25" s="1117"/>
      <c r="RAE25" s="1117"/>
      <c r="RAF25" s="1117"/>
      <c r="RAG25" s="1117"/>
      <c r="RAH25" s="1117"/>
      <c r="RAI25" s="1117"/>
      <c r="RAJ25" s="1117"/>
      <c r="RAK25" s="1117"/>
      <c r="RAL25" s="1117"/>
      <c r="RAM25" s="1117"/>
      <c r="RAN25" s="1117"/>
      <c r="RAO25" s="1117"/>
      <c r="RAP25" s="1117"/>
      <c r="RAQ25" s="1117"/>
      <c r="RAR25" s="1117"/>
      <c r="RAS25" s="1117"/>
      <c r="RAT25" s="1117"/>
      <c r="RAU25" s="1117"/>
      <c r="RAV25" s="1117"/>
      <c r="RAW25" s="1117"/>
      <c r="RAX25" s="1117"/>
      <c r="RAY25" s="1117"/>
      <c r="RAZ25" s="1117"/>
      <c r="RBA25" s="1117"/>
      <c r="RBB25" s="1117"/>
      <c r="RBC25" s="1117"/>
      <c r="RBD25" s="1117"/>
      <c r="RBE25" s="1117"/>
      <c r="RBF25" s="1117"/>
      <c r="RBG25" s="1117"/>
      <c r="RBH25" s="1117"/>
      <c r="RBI25" s="1117"/>
      <c r="RBJ25" s="1117"/>
      <c r="RBK25" s="1117"/>
      <c r="RBL25" s="1117"/>
      <c r="RBM25" s="1117"/>
      <c r="RBN25" s="1117"/>
      <c r="RBO25" s="1117"/>
      <c r="RBP25" s="1117"/>
      <c r="RBQ25" s="1117"/>
      <c r="RBR25" s="1117"/>
      <c r="RBS25" s="1117"/>
      <c r="RBT25" s="1117"/>
      <c r="RBU25" s="1117"/>
      <c r="RBV25" s="1117"/>
      <c r="RBW25" s="1117"/>
      <c r="RBX25" s="1117"/>
      <c r="RBY25" s="1117"/>
      <c r="RBZ25" s="1117"/>
      <c r="RCA25" s="1117"/>
      <c r="RCB25" s="1117"/>
      <c r="RCC25" s="1117"/>
      <c r="RCD25" s="1117"/>
      <c r="RCE25" s="1117"/>
      <c r="RCF25" s="1117"/>
      <c r="RCG25" s="1117"/>
      <c r="RCH25" s="1117"/>
      <c r="RCI25" s="1117"/>
      <c r="RCJ25" s="1117"/>
      <c r="RCK25" s="1117"/>
      <c r="RCL25" s="1117"/>
      <c r="RCM25" s="1117"/>
      <c r="RCN25" s="1117"/>
      <c r="RCO25" s="1117"/>
      <c r="RCP25" s="1117"/>
      <c r="RCQ25" s="1117"/>
      <c r="RCR25" s="1117"/>
      <c r="RCS25" s="1117"/>
      <c r="RCT25" s="1117"/>
      <c r="RCU25" s="1117"/>
      <c r="RCV25" s="1117"/>
      <c r="RCW25" s="1117"/>
      <c r="RCX25" s="1117"/>
      <c r="RCY25" s="1117"/>
      <c r="RCZ25" s="1117"/>
      <c r="RDA25" s="1117"/>
      <c r="RDB25" s="1117"/>
      <c r="RDC25" s="1117"/>
      <c r="RDD25" s="1117"/>
      <c r="RDE25" s="1117"/>
      <c r="RDF25" s="1117"/>
      <c r="RDG25" s="1117"/>
      <c r="RDH25" s="1117"/>
      <c r="RDI25" s="1117"/>
      <c r="RDJ25" s="1117"/>
      <c r="RDK25" s="1117"/>
      <c r="RDL25" s="1117"/>
      <c r="RDM25" s="1117"/>
      <c r="RDN25" s="1117"/>
      <c r="RDO25" s="1117"/>
      <c r="RDP25" s="1117"/>
      <c r="RDQ25" s="1117"/>
      <c r="RDR25" s="1117"/>
      <c r="RDS25" s="1117"/>
      <c r="RDT25" s="1117"/>
      <c r="RDU25" s="1117"/>
      <c r="RDV25" s="1117"/>
      <c r="RDW25" s="1117"/>
      <c r="RDX25" s="1117"/>
      <c r="RDY25" s="1117"/>
      <c r="RDZ25" s="1117"/>
      <c r="REA25" s="1117"/>
      <c r="REB25" s="1117"/>
      <c r="REC25" s="1117"/>
      <c r="RED25" s="1117"/>
      <c r="REE25" s="1117"/>
      <c r="REF25" s="1117"/>
      <c r="REG25" s="1117"/>
      <c r="REH25" s="1117"/>
      <c r="REI25" s="1117"/>
      <c r="REJ25" s="1117"/>
      <c r="REK25" s="1117"/>
      <c r="REL25" s="1117"/>
      <c r="REM25" s="1117"/>
      <c r="REN25" s="1117"/>
      <c r="REO25" s="1117"/>
      <c r="REP25" s="1117"/>
      <c r="REQ25" s="1117"/>
      <c r="RER25" s="1117"/>
      <c r="RES25" s="1117"/>
      <c r="RET25" s="1117"/>
      <c r="REU25" s="1117"/>
      <c r="REV25" s="1117"/>
      <c r="REW25" s="1117"/>
      <c r="REX25" s="1117"/>
      <c r="REY25" s="1117"/>
      <c r="REZ25" s="1117"/>
      <c r="RFA25" s="1117"/>
      <c r="RFB25" s="1117"/>
      <c r="RFC25" s="1117"/>
      <c r="RFD25" s="1117"/>
      <c r="RFE25" s="1117"/>
      <c r="RFF25" s="1117"/>
      <c r="RFG25" s="1117"/>
      <c r="RFH25" s="1117"/>
      <c r="RFI25" s="1117"/>
      <c r="RFJ25" s="1117"/>
      <c r="RFK25" s="1117"/>
      <c r="RFL25" s="1117"/>
      <c r="RFM25" s="1117"/>
      <c r="RFN25" s="1117"/>
      <c r="RFO25" s="1117"/>
      <c r="RFP25" s="1117"/>
      <c r="RFQ25" s="1117"/>
      <c r="RFR25" s="1117"/>
      <c r="RFS25" s="1117"/>
      <c r="RFT25" s="1117"/>
      <c r="RFU25" s="1117"/>
      <c r="RFV25" s="1117"/>
      <c r="RFW25" s="1117"/>
      <c r="RFX25" s="1117"/>
      <c r="RFY25" s="1117"/>
      <c r="RFZ25" s="1117"/>
      <c r="RGA25" s="1117"/>
      <c r="RGB25" s="1117"/>
      <c r="RGC25" s="1117"/>
      <c r="RGD25" s="1117"/>
      <c r="RGE25" s="1117"/>
      <c r="RGF25" s="1117"/>
      <c r="RGG25" s="1117"/>
      <c r="RGH25" s="1117"/>
      <c r="RGI25" s="1117"/>
      <c r="RGJ25" s="1117"/>
      <c r="RGK25" s="1117"/>
      <c r="RGL25" s="1117"/>
      <c r="RGM25" s="1117"/>
      <c r="RGN25" s="1117"/>
      <c r="RGO25" s="1117"/>
      <c r="RGP25" s="1117"/>
      <c r="RGQ25" s="1117"/>
      <c r="RGR25" s="1117"/>
      <c r="RGS25" s="1117"/>
      <c r="RGT25" s="1117"/>
      <c r="RGU25" s="1117"/>
      <c r="RGV25" s="1117"/>
      <c r="RGW25" s="1117"/>
      <c r="RGX25" s="1117"/>
      <c r="RGY25" s="1117"/>
      <c r="RGZ25" s="1117"/>
      <c r="RHA25" s="1117"/>
      <c r="RHB25" s="1117"/>
      <c r="RHC25" s="1117"/>
      <c r="RHD25" s="1117"/>
      <c r="RHE25" s="1117"/>
      <c r="RHF25" s="1117"/>
      <c r="RHG25" s="1117"/>
      <c r="RHH25" s="1117"/>
      <c r="RHI25" s="1117"/>
      <c r="RHJ25" s="1117"/>
      <c r="RHK25" s="1117"/>
      <c r="RHL25" s="1117"/>
      <c r="RHM25" s="1117"/>
      <c r="RHN25" s="1117"/>
      <c r="RHO25" s="1117"/>
      <c r="RHP25" s="1117"/>
      <c r="RHQ25" s="1117"/>
      <c r="RHR25" s="1117"/>
      <c r="RHS25" s="1117"/>
      <c r="RHT25" s="1117"/>
      <c r="RHU25" s="1117"/>
      <c r="RHV25" s="1117"/>
      <c r="RHW25" s="1117"/>
      <c r="RHX25" s="1117"/>
      <c r="RHY25" s="1117"/>
      <c r="RHZ25" s="1117"/>
      <c r="RIA25" s="1117"/>
      <c r="RIB25" s="1117"/>
      <c r="RIC25" s="1117"/>
      <c r="RID25" s="1117"/>
      <c r="RIE25" s="1117"/>
      <c r="RIF25" s="1117"/>
      <c r="RIG25" s="1117"/>
      <c r="RIH25" s="1117"/>
      <c r="RII25" s="1117"/>
      <c r="RIJ25" s="1117"/>
      <c r="RIK25" s="1117"/>
      <c r="RIL25" s="1117"/>
      <c r="RIM25" s="1117"/>
      <c r="RIN25" s="1117"/>
      <c r="RIO25" s="1117"/>
      <c r="RIP25" s="1117"/>
      <c r="RIQ25" s="1117"/>
      <c r="RIR25" s="1117"/>
      <c r="RIS25" s="1117"/>
      <c r="RIT25" s="1117"/>
      <c r="RIU25" s="1117"/>
      <c r="RIV25" s="1117"/>
      <c r="RIW25" s="1117"/>
      <c r="RIX25" s="1117"/>
      <c r="RIY25" s="1117"/>
      <c r="RIZ25" s="1117"/>
      <c r="RJA25" s="1117"/>
      <c r="RJB25" s="1117"/>
      <c r="RJC25" s="1117"/>
      <c r="RJD25" s="1117"/>
      <c r="RJE25" s="1117"/>
      <c r="RJF25" s="1117"/>
      <c r="RJG25" s="1117"/>
      <c r="RJH25" s="1117"/>
      <c r="RJI25" s="1117"/>
      <c r="RJJ25" s="1117"/>
      <c r="RJK25" s="1117"/>
      <c r="RJL25" s="1117"/>
      <c r="RJM25" s="1117"/>
      <c r="RJN25" s="1117"/>
      <c r="RJO25" s="1117"/>
      <c r="RJP25" s="1117"/>
      <c r="RJQ25" s="1117"/>
      <c r="RJR25" s="1117"/>
      <c r="RJS25" s="1117"/>
      <c r="RJT25" s="1117"/>
      <c r="RJU25" s="1117"/>
      <c r="RJV25" s="1117"/>
      <c r="RJW25" s="1117"/>
      <c r="RJX25" s="1117"/>
      <c r="RJY25" s="1117"/>
      <c r="RJZ25" s="1117"/>
      <c r="RKA25" s="1117"/>
      <c r="RKB25" s="1117"/>
      <c r="RKC25" s="1117"/>
      <c r="RKD25" s="1117"/>
      <c r="RKE25" s="1117"/>
      <c r="RKF25" s="1117"/>
      <c r="RKG25" s="1117"/>
      <c r="RKH25" s="1117"/>
      <c r="RKI25" s="1117"/>
      <c r="RKJ25" s="1117"/>
      <c r="RKK25" s="1117"/>
      <c r="RKL25" s="1117"/>
      <c r="RKM25" s="1117"/>
      <c r="RKN25" s="1117"/>
      <c r="RKO25" s="1117"/>
      <c r="RKP25" s="1117"/>
      <c r="RKQ25" s="1117"/>
      <c r="RKR25" s="1117"/>
      <c r="RKS25" s="1117"/>
      <c r="RKT25" s="1117"/>
      <c r="RKU25" s="1117"/>
      <c r="RKV25" s="1117"/>
      <c r="RKW25" s="1117"/>
      <c r="RKX25" s="1117"/>
      <c r="RKY25" s="1117"/>
      <c r="RKZ25" s="1117"/>
      <c r="RLA25" s="1117"/>
      <c r="RLB25" s="1117"/>
      <c r="RLC25" s="1117"/>
      <c r="RLD25" s="1117"/>
      <c r="RLE25" s="1117"/>
      <c r="RLF25" s="1117"/>
      <c r="RLG25" s="1117"/>
      <c r="RLH25" s="1117"/>
      <c r="RLI25" s="1117"/>
      <c r="RLJ25" s="1117"/>
      <c r="RLK25" s="1117"/>
      <c r="RLL25" s="1117"/>
      <c r="RLM25" s="1117"/>
      <c r="RLN25" s="1117"/>
      <c r="RLO25" s="1117"/>
      <c r="RLP25" s="1117"/>
      <c r="RLQ25" s="1117"/>
      <c r="RLR25" s="1117"/>
      <c r="RLS25" s="1117"/>
      <c r="RLT25" s="1117"/>
      <c r="RLU25" s="1117"/>
      <c r="RLV25" s="1117"/>
      <c r="RLW25" s="1117"/>
      <c r="RLX25" s="1117"/>
      <c r="RLY25" s="1117"/>
      <c r="RLZ25" s="1117"/>
      <c r="RMA25" s="1117"/>
      <c r="RMB25" s="1117"/>
      <c r="RMC25" s="1117"/>
      <c r="RMD25" s="1117"/>
      <c r="RME25" s="1117"/>
      <c r="RMF25" s="1117"/>
      <c r="RMG25" s="1117"/>
      <c r="RMH25" s="1117"/>
      <c r="RMI25" s="1117"/>
      <c r="RMJ25" s="1117"/>
      <c r="RMK25" s="1117"/>
      <c r="RML25" s="1117"/>
      <c r="RMM25" s="1117"/>
      <c r="RMN25" s="1117"/>
      <c r="RMO25" s="1117"/>
      <c r="RMP25" s="1117"/>
      <c r="RMQ25" s="1117"/>
      <c r="RMR25" s="1117"/>
      <c r="RMS25" s="1117"/>
      <c r="RMT25" s="1117"/>
      <c r="RMU25" s="1117"/>
      <c r="RMV25" s="1117"/>
      <c r="RMW25" s="1117"/>
      <c r="RMX25" s="1117"/>
      <c r="RMY25" s="1117"/>
      <c r="RMZ25" s="1117"/>
      <c r="RNA25" s="1117"/>
      <c r="RNB25" s="1117"/>
      <c r="RNC25" s="1117"/>
      <c r="RND25" s="1117"/>
      <c r="RNE25" s="1117"/>
      <c r="RNF25" s="1117"/>
      <c r="RNG25" s="1117"/>
      <c r="RNH25" s="1117"/>
      <c r="RNI25" s="1117"/>
      <c r="RNJ25" s="1117"/>
      <c r="RNK25" s="1117"/>
      <c r="RNL25" s="1117"/>
      <c r="RNM25" s="1117"/>
      <c r="RNN25" s="1117"/>
      <c r="RNO25" s="1117"/>
      <c r="RNP25" s="1117"/>
      <c r="RNQ25" s="1117"/>
      <c r="RNR25" s="1117"/>
      <c r="RNS25" s="1117"/>
      <c r="RNT25" s="1117"/>
      <c r="RNU25" s="1117"/>
      <c r="RNV25" s="1117"/>
      <c r="RNW25" s="1117"/>
      <c r="RNX25" s="1117"/>
      <c r="RNY25" s="1117"/>
      <c r="RNZ25" s="1117"/>
      <c r="ROA25" s="1117"/>
      <c r="ROB25" s="1117"/>
      <c r="ROC25" s="1117"/>
      <c r="ROD25" s="1117"/>
      <c r="ROE25" s="1117"/>
      <c r="ROF25" s="1117"/>
      <c r="ROG25" s="1117"/>
      <c r="ROH25" s="1117"/>
      <c r="ROI25" s="1117"/>
      <c r="ROJ25" s="1117"/>
      <c r="ROK25" s="1117"/>
      <c r="ROL25" s="1117"/>
      <c r="ROM25" s="1117"/>
      <c r="RON25" s="1117"/>
      <c r="ROO25" s="1117"/>
      <c r="ROP25" s="1117"/>
      <c r="ROQ25" s="1117"/>
      <c r="ROR25" s="1117"/>
      <c r="ROS25" s="1117"/>
      <c r="ROT25" s="1117"/>
      <c r="ROU25" s="1117"/>
      <c r="ROV25" s="1117"/>
      <c r="ROW25" s="1117"/>
      <c r="ROX25" s="1117"/>
      <c r="ROY25" s="1117"/>
      <c r="ROZ25" s="1117"/>
      <c r="RPA25" s="1117"/>
      <c r="RPB25" s="1117"/>
      <c r="RPC25" s="1117"/>
      <c r="RPD25" s="1117"/>
      <c r="RPE25" s="1117"/>
      <c r="RPF25" s="1117"/>
      <c r="RPG25" s="1117"/>
      <c r="RPH25" s="1117"/>
      <c r="RPI25" s="1117"/>
      <c r="RPJ25" s="1117"/>
      <c r="RPK25" s="1117"/>
      <c r="RPL25" s="1117"/>
      <c r="RPM25" s="1117"/>
      <c r="RPN25" s="1117"/>
      <c r="RPO25" s="1117"/>
      <c r="RPP25" s="1117"/>
      <c r="RPQ25" s="1117"/>
      <c r="RPR25" s="1117"/>
      <c r="RPS25" s="1117"/>
      <c r="RPT25" s="1117"/>
      <c r="RPU25" s="1117"/>
      <c r="RPV25" s="1117"/>
      <c r="RPW25" s="1117"/>
      <c r="RPX25" s="1117"/>
      <c r="RPY25" s="1117"/>
      <c r="RPZ25" s="1117"/>
      <c r="RQA25" s="1117"/>
      <c r="RQB25" s="1117"/>
      <c r="RQC25" s="1117"/>
      <c r="RQD25" s="1117"/>
      <c r="RQE25" s="1117"/>
      <c r="RQF25" s="1117"/>
      <c r="RQG25" s="1117"/>
      <c r="RQH25" s="1117"/>
      <c r="RQI25" s="1117"/>
      <c r="RQJ25" s="1117"/>
      <c r="RQK25" s="1117"/>
      <c r="RQL25" s="1117"/>
      <c r="RQM25" s="1117"/>
      <c r="RQN25" s="1117"/>
      <c r="RQO25" s="1117"/>
      <c r="RQP25" s="1117"/>
      <c r="RQQ25" s="1117"/>
      <c r="RQR25" s="1117"/>
      <c r="RQS25" s="1117"/>
      <c r="RQT25" s="1117"/>
      <c r="RQU25" s="1117"/>
      <c r="RQV25" s="1117"/>
      <c r="RQW25" s="1117"/>
      <c r="RQX25" s="1117"/>
      <c r="RQY25" s="1117"/>
      <c r="RQZ25" s="1117"/>
      <c r="RRA25" s="1117"/>
      <c r="RRB25" s="1117"/>
      <c r="RRC25" s="1117"/>
      <c r="RRD25" s="1117"/>
      <c r="RRE25" s="1117"/>
      <c r="RRF25" s="1117"/>
      <c r="RRG25" s="1117"/>
      <c r="RRH25" s="1117"/>
      <c r="RRI25" s="1117"/>
      <c r="RRJ25" s="1117"/>
      <c r="RRK25" s="1117"/>
      <c r="RRL25" s="1117"/>
      <c r="RRM25" s="1117"/>
      <c r="RRN25" s="1117"/>
      <c r="RRO25" s="1117"/>
      <c r="RRP25" s="1117"/>
      <c r="RRQ25" s="1117"/>
      <c r="RRR25" s="1117"/>
      <c r="RRS25" s="1117"/>
      <c r="RRT25" s="1117"/>
      <c r="RRU25" s="1117"/>
      <c r="RRV25" s="1117"/>
      <c r="RRW25" s="1117"/>
      <c r="RRX25" s="1117"/>
      <c r="RRY25" s="1117"/>
      <c r="RRZ25" s="1117"/>
      <c r="RSA25" s="1117"/>
      <c r="RSB25" s="1117"/>
      <c r="RSC25" s="1117"/>
      <c r="RSD25" s="1117"/>
      <c r="RSE25" s="1117"/>
      <c r="RSF25" s="1117"/>
      <c r="RSG25" s="1117"/>
      <c r="RSH25" s="1117"/>
      <c r="RSI25" s="1117"/>
      <c r="RSJ25" s="1117"/>
      <c r="RSK25" s="1117"/>
      <c r="RSL25" s="1117"/>
      <c r="RSM25" s="1117"/>
      <c r="RSN25" s="1117"/>
      <c r="RSO25" s="1117"/>
      <c r="RSP25" s="1117"/>
      <c r="RSQ25" s="1117"/>
      <c r="RSR25" s="1117"/>
      <c r="RSS25" s="1117"/>
      <c r="RST25" s="1117"/>
      <c r="RSU25" s="1117"/>
      <c r="RSV25" s="1117"/>
      <c r="RSW25" s="1117"/>
      <c r="RSX25" s="1117"/>
      <c r="RSY25" s="1117"/>
      <c r="RSZ25" s="1117"/>
      <c r="RTA25" s="1117"/>
      <c r="RTB25" s="1117"/>
      <c r="RTC25" s="1117"/>
      <c r="RTD25" s="1117"/>
      <c r="RTE25" s="1117"/>
      <c r="RTF25" s="1117"/>
      <c r="RTG25" s="1117"/>
      <c r="RTH25" s="1117"/>
      <c r="RTI25" s="1117"/>
      <c r="RTJ25" s="1117"/>
      <c r="RTK25" s="1117"/>
      <c r="RTL25" s="1117"/>
      <c r="RTM25" s="1117"/>
      <c r="RTN25" s="1117"/>
      <c r="RTO25" s="1117"/>
      <c r="RTP25" s="1117"/>
      <c r="RTQ25" s="1117"/>
      <c r="RTR25" s="1117"/>
      <c r="RTS25" s="1117"/>
      <c r="RTT25" s="1117"/>
      <c r="RTU25" s="1117"/>
      <c r="RTV25" s="1117"/>
      <c r="RTW25" s="1117"/>
      <c r="RTX25" s="1117"/>
      <c r="RTY25" s="1117"/>
      <c r="RTZ25" s="1117"/>
      <c r="RUA25" s="1117"/>
      <c r="RUB25" s="1117"/>
      <c r="RUC25" s="1117"/>
      <c r="RUD25" s="1117"/>
      <c r="RUE25" s="1117"/>
      <c r="RUF25" s="1117"/>
      <c r="RUG25" s="1117"/>
      <c r="RUH25" s="1117"/>
      <c r="RUI25" s="1117"/>
      <c r="RUJ25" s="1117"/>
      <c r="RUK25" s="1117"/>
      <c r="RUL25" s="1117"/>
      <c r="RUM25" s="1117"/>
      <c r="RUN25" s="1117"/>
      <c r="RUO25" s="1117"/>
      <c r="RUP25" s="1117"/>
      <c r="RUQ25" s="1117"/>
      <c r="RUR25" s="1117"/>
      <c r="RUS25" s="1117"/>
      <c r="RUT25" s="1117"/>
      <c r="RUU25" s="1117"/>
      <c r="RUV25" s="1117"/>
      <c r="RUW25" s="1117"/>
      <c r="RUX25" s="1117"/>
      <c r="RUY25" s="1117"/>
      <c r="RUZ25" s="1117"/>
      <c r="RVA25" s="1117"/>
      <c r="RVB25" s="1117"/>
      <c r="RVC25" s="1117"/>
      <c r="RVD25" s="1117"/>
      <c r="RVE25" s="1117"/>
      <c r="RVF25" s="1117"/>
      <c r="RVG25" s="1117"/>
      <c r="RVH25" s="1117"/>
      <c r="RVI25" s="1117"/>
      <c r="RVJ25" s="1117"/>
      <c r="RVK25" s="1117"/>
      <c r="RVL25" s="1117"/>
      <c r="RVM25" s="1117"/>
      <c r="RVN25" s="1117"/>
      <c r="RVO25" s="1117"/>
      <c r="RVP25" s="1117"/>
      <c r="RVQ25" s="1117"/>
      <c r="RVR25" s="1117"/>
      <c r="RVS25" s="1117"/>
      <c r="RVT25" s="1117"/>
      <c r="RVU25" s="1117"/>
      <c r="RVV25" s="1117"/>
      <c r="RVW25" s="1117"/>
      <c r="RVX25" s="1117"/>
      <c r="RVY25" s="1117"/>
      <c r="RVZ25" s="1117"/>
      <c r="RWA25" s="1117"/>
      <c r="RWB25" s="1117"/>
      <c r="RWC25" s="1117"/>
      <c r="RWD25" s="1117"/>
      <c r="RWE25" s="1117"/>
      <c r="RWF25" s="1117"/>
      <c r="RWG25" s="1117"/>
      <c r="RWH25" s="1117"/>
      <c r="RWI25" s="1117"/>
      <c r="RWJ25" s="1117"/>
      <c r="RWK25" s="1117"/>
      <c r="RWL25" s="1117"/>
      <c r="RWM25" s="1117"/>
      <c r="RWN25" s="1117"/>
      <c r="RWO25" s="1117"/>
      <c r="RWP25" s="1117"/>
      <c r="RWQ25" s="1117"/>
      <c r="RWR25" s="1117"/>
      <c r="RWS25" s="1117"/>
      <c r="RWT25" s="1117"/>
      <c r="RWU25" s="1117"/>
      <c r="RWV25" s="1117"/>
      <c r="RWW25" s="1117"/>
      <c r="RWX25" s="1117"/>
      <c r="RWY25" s="1117"/>
      <c r="RWZ25" s="1117"/>
      <c r="RXA25" s="1117"/>
      <c r="RXB25" s="1117"/>
      <c r="RXC25" s="1117"/>
      <c r="RXD25" s="1117"/>
      <c r="RXE25" s="1117"/>
      <c r="RXF25" s="1117"/>
      <c r="RXG25" s="1117"/>
      <c r="RXH25" s="1117"/>
      <c r="RXI25" s="1117"/>
      <c r="RXJ25" s="1117"/>
      <c r="RXK25" s="1117"/>
      <c r="RXL25" s="1117"/>
      <c r="RXM25" s="1117"/>
      <c r="RXN25" s="1117"/>
      <c r="RXO25" s="1117"/>
      <c r="RXP25" s="1117"/>
      <c r="RXQ25" s="1117"/>
      <c r="RXR25" s="1117"/>
      <c r="RXS25" s="1117"/>
      <c r="RXT25" s="1117"/>
      <c r="RXU25" s="1117"/>
      <c r="RXV25" s="1117"/>
      <c r="RXW25" s="1117"/>
      <c r="RXX25" s="1117"/>
      <c r="RXY25" s="1117"/>
      <c r="RXZ25" s="1117"/>
      <c r="RYA25" s="1117"/>
      <c r="RYB25" s="1117"/>
      <c r="RYC25" s="1117"/>
      <c r="RYD25" s="1117"/>
      <c r="RYE25" s="1117"/>
      <c r="RYF25" s="1117"/>
      <c r="RYG25" s="1117"/>
      <c r="RYH25" s="1117"/>
      <c r="RYI25" s="1117"/>
      <c r="RYJ25" s="1117"/>
      <c r="RYK25" s="1117"/>
      <c r="RYL25" s="1117"/>
      <c r="RYM25" s="1117"/>
      <c r="RYN25" s="1117"/>
      <c r="RYO25" s="1117"/>
      <c r="RYP25" s="1117"/>
      <c r="RYQ25" s="1117"/>
      <c r="RYR25" s="1117"/>
      <c r="RYS25" s="1117"/>
      <c r="RYT25" s="1117"/>
      <c r="RYU25" s="1117"/>
      <c r="RYV25" s="1117"/>
      <c r="RYW25" s="1117"/>
      <c r="RYX25" s="1117"/>
      <c r="RYY25" s="1117"/>
      <c r="RYZ25" s="1117"/>
      <c r="RZA25" s="1117"/>
      <c r="RZB25" s="1117"/>
      <c r="RZC25" s="1117"/>
      <c r="RZD25" s="1117"/>
      <c r="RZE25" s="1117"/>
      <c r="RZF25" s="1117"/>
      <c r="RZG25" s="1117"/>
      <c r="RZH25" s="1117"/>
      <c r="RZI25" s="1117"/>
      <c r="RZJ25" s="1117"/>
      <c r="RZK25" s="1117"/>
      <c r="RZL25" s="1117"/>
      <c r="RZM25" s="1117"/>
      <c r="RZN25" s="1117"/>
      <c r="RZO25" s="1117"/>
      <c r="RZP25" s="1117"/>
      <c r="RZQ25" s="1117"/>
      <c r="RZR25" s="1117"/>
      <c r="RZS25" s="1117"/>
      <c r="RZT25" s="1117"/>
      <c r="RZU25" s="1117"/>
      <c r="RZV25" s="1117"/>
      <c r="RZW25" s="1117"/>
      <c r="RZX25" s="1117"/>
      <c r="RZY25" s="1117"/>
      <c r="RZZ25" s="1117"/>
      <c r="SAA25" s="1117"/>
      <c r="SAB25" s="1117"/>
      <c r="SAC25" s="1117"/>
      <c r="SAD25" s="1117"/>
      <c r="SAE25" s="1117"/>
      <c r="SAF25" s="1117"/>
      <c r="SAG25" s="1117"/>
      <c r="SAH25" s="1117"/>
      <c r="SAI25" s="1117"/>
      <c r="SAJ25" s="1117"/>
      <c r="SAK25" s="1117"/>
      <c r="SAL25" s="1117"/>
      <c r="SAM25" s="1117"/>
      <c r="SAN25" s="1117"/>
      <c r="SAO25" s="1117"/>
      <c r="SAP25" s="1117"/>
      <c r="SAQ25" s="1117"/>
      <c r="SAR25" s="1117"/>
      <c r="SAS25" s="1117"/>
      <c r="SAT25" s="1117"/>
      <c r="SAU25" s="1117"/>
      <c r="SAV25" s="1117"/>
      <c r="SAW25" s="1117"/>
      <c r="SAX25" s="1117"/>
      <c r="SAY25" s="1117"/>
      <c r="SAZ25" s="1117"/>
      <c r="SBA25" s="1117"/>
      <c r="SBB25" s="1117"/>
      <c r="SBC25" s="1117"/>
      <c r="SBD25" s="1117"/>
      <c r="SBE25" s="1117"/>
      <c r="SBF25" s="1117"/>
      <c r="SBG25" s="1117"/>
      <c r="SBH25" s="1117"/>
      <c r="SBI25" s="1117"/>
      <c r="SBJ25" s="1117"/>
      <c r="SBK25" s="1117"/>
      <c r="SBL25" s="1117"/>
      <c r="SBM25" s="1117"/>
      <c r="SBN25" s="1117"/>
      <c r="SBO25" s="1117"/>
      <c r="SBP25" s="1117"/>
      <c r="SBQ25" s="1117"/>
      <c r="SBR25" s="1117"/>
      <c r="SBS25" s="1117"/>
      <c r="SBT25" s="1117"/>
      <c r="SBU25" s="1117"/>
      <c r="SBV25" s="1117"/>
      <c r="SBW25" s="1117"/>
      <c r="SBX25" s="1117"/>
      <c r="SBY25" s="1117"/>
      <c r="SBZ25" s="1117"/>
      <c r="SCA25" s="1117"/>
      <c r="SCB25" s="1117"/>
      <c r="SCC25" s="1117"/>
      <c r="SCD25" s="1117"/>
      <c r="SCE25" s="1117"/>
      <c r="SCF25" s="1117"/>
      <c r="SCG25" s="1117"/>
      <c r="SCH25" s="1117"/>
      <c r="SCI25" s="1117"/>
      <c r="SCJ25" s="1117"/>
      <c r="SCK25" s="1117"/>
      <c r="SCL25" s="1117"/>
      <c r="SCM25" s="1117"/>
      <c r="SCN25" s="1117"/>
      <c r="SCO25" s="1117"/>
      <c r="SCP25" s="1117"/>
      <c r="SCQ25" s="1117"/>
      <c r="SCR25" s="1117"/>
      <c r="SCS25" s="1117"/>
      <c r="SCT25" s="1117"/>
      <c r="SCU25" s="1117"/>
      <c r="SCV25" s="1117"/>
      <c r="SCW25" s="1117"/>
      <c r="SCX25" s="1117"/>
      <c r="SCY25" s="1117"/>
      <c r="SCZ25" s="1117"/>
      <c r="SDA25" s="1117"/>
      <c r="SDB25" s="1117"/>
      <c r="SDC25" s="1117"/>
      <c r="SDD25" s="1117"/>
      <c r="SDE25" s="1117"/>
      <c r="SDF25" s="1117"/>
      <c r="SDG25" s="1117"/>
      <c r="SDH25" s="1117"/>
      <c r="SDI25" s="1117"/>
      <c r="SDJ25" s="1117"/>
      <c r="SDK25" s="1117"/>
      <c r="SDL25" s="1117"/>
      <c r="SDM25" s="1117"/>
      <c r="SDN25" s="1117"/>
      <c r="SDO25" s="1117"/>
      <c r="SDP25" s="1117"/>
      <c r="SDQ25" s="1117"/>
      <c r="SDR25" s="1117"/>
      <c r="SDS25" s="1117"/>
      <c r="SDT25" s="1117"/>
      <c r="SDU25" s="1117"/>
      <c r="SDV25" s="1117"/>
      <c r="SDW25" s="1117"/>
      <c r="SDX25" s="1117"/>
      <c r="SDY25" s="1117"/>
      <c r="SDZ25" s="1117"/>
      <c r="SEA25" s="1117"/>
      <c r="SEB25" s="1117"/>
      <c r="SEC25" s="1117"/>
      <c r="SED25" s="1117"/>
      <c r="SEE25" s="1117"/>
      <c r="SEF25" s="1117"/>
      <c r="SEG25" s="1117"/>
      <c r="SEH25" s="1117"/>
      <c r="SEI25" s="1117"/>
      <c r="SEJ25" s="1117"/>
      <c r="SEK25" s="1117"/>
      <c r="SEL25" s="1117"/>
      <c r="SEM25" s="1117"/>
      <c r="SEN25" s="1117"/>
      <c r="SEO25" s="1117"/>
      <c r="SEP25" s="1117"/>
      <c r="SEQ25" s="1117"/>
      <c r="SER25" s="1117"/>
      <c r="SES25" s="1117"/>
      <c r="SET25" s="1117"/>
      <c r="SEU25" s="1117"/>
      <c r="SEV25" s="1117"/>
      <c r="SEW25" s="1117"/>
      <c r="SEX25" s="1117"/>
      <c r="SEY25" s="1117"/>
      <c r="SEZ25" s="1117"/>
      <c r="SFA25" s="1117"/>
      <c r="SFB25" s="1117"/>
      <c r="SFC25" s="1117"/>
      <c r="SFD25" s="1117"/>
      <c r="SFE25" s="1117"/>
      <c r="SFF25" s="1117"/>
      <c r="SFG25" s="1117"/>
      <c r="SFH25" s="1117"/>
      <c r="SFI25" s="1117"/>
      <c r="SFJ25" s="1117"/>
      <c r="SFK25" s="1117"/>
      <c r="SFL25" s="1117"/>
      <c r="SFM25" s="1117"/>
      <c r="SFN25" s="1117"/>
      <c r="SFO25" s="1117"/>
      <c r="SFP25" s="1117"/>
      <c r="SFQ25" s="1117"/>
      <c r="SFR25" s="1117"/>
      <c r="SFS25" s="1117"/>
      <c r="SFT25" s="1117"/>
      <c r="SFU25" s="1117"/>
      <c r="SFV25" s="1117"/>
      <c r="SFW25" s="1117"/>
      <c r="SFX25" s="1117"/>
      <c r="SFY25" s="1117"/>
      <c r="SFZ25" s="1117"/>
      <c r="SGA25" s="1117"/>
      <c r="SGB25" s="1117"/>
      <c r="SGC25" s="1117"/>
      <c r="SGD25" s="1117"/>
      <c r="SGE25" s="1117"/>
      <c r="SGF25" s="1117"/>
      <c r="SGG25" s="1117"/>
      <c r="SGH25" s="1117"/>
      <c r="SGI25" s="1117"/>
      <c r="SGJ25" s="1117"/>
      <c r="SGK25" s="1117"/>
      <c r="SGL25" s="1117"/>
      <c r="SGM25" s="1117"/>
      <c r="SGN25" s="1117"/>
      <c r="SGO25" s="1117"/>
      <c r="SGP25" s="1117"/>
      <c r="SGQ25" s="1117"/>
      <c r="SGR25" s="1117"/>
      <c r="SGS25" s="1117"/>
      <c r="SGT25" s="1117"/>
      <c r="SGU25" s="1117"/>
      <c r="SGV25" s="1117"/>
      <c r="SGW25" s="1117"/>
      <c r="SGX25" s="1117"/>
      <c r="SGY25" s="1117"/>
      <c r="SGZ25" s="1117"/>
      <c r="SHA25" s="1117"/>
      <c r="SHB25" s="1117"/>
      <c r="SHC25" s="1117"/>
      <c r="SHD25" s="1117"/>
      <c r="SHE25" s="1117"/>
      <c r="SHF25" s="1117"/>
      <c r="SHG25" s="1117"/>
      <c r="SHH25" s="1117"/>
      <c r="SHI25" s="1117"/>
      <c r="SHJ25" s="1117"/>
      <c r="SHK25" s="1117"/>
      <c r="SHL25" s="1117"/>
      <c r="SHM25" s="1117"/>
      <c r="SHN25" s="1117"/>
      <c r="SHO25" s="1117"/>
      <c r="SHP25" s="1117"/>
      <c r="SHQ25" s="1117"/>
      <c r="SHR25" s="1117"/>
      <c r="SHS25" s="1117"/>
      <c r="SHT25" s="1117"/>
      <c r="SHU25" s="1117"/>
      <c r="SHV25" s="1117"/>
      <c r="SHW25" s="1117"/>
      <c r="SHX25" s="1117"/>
      <c r="SHY25" s="1117"/>
      <c r="SHZ25" s="1117"/>
      <c r="SIA25" s="1117"/>
      <c r="SIB25" s="1117"/>
      <c r="SIC25" s="1117"/>
      <c r="SID25" s="1117"/>
      <c r="SIE25" s="1117"/>
      <c r="SIF25" s="1117"/>
      <c r="SIG25" s="1117"/>
      <c r="SIH25" s="1117"/>
      <c r="SII25" s="1117"/>
      <c r="SIJ25" s="1117"/>
      <c r="SIK25" s="1117"/>
      <c r="SIL25" s="1117"/>
      <c r="SIM25" s="1117"/>
      <c r="SIN25" s="1117"/>
      <c r="SIO25" s="1117"/>
      <c r="SIP25" s="1117"/>
      <c r="SIQ25" s="1117"/>
      <c r="SIR25" s="1117"/>
      <c r="SIS25" s="1117"/>
      <c r="SIT25" s="1117"/>
      <c r="SIU25" s="1117"/>
      <c r="SIV25" s="1117"/>
      <c r="SIW25" s="1117"/>
      <c r="SIX25" s="1117"/>
      <c r="SIY25" s="1117"/>
      <c r="SIZ25" s="1117"/>
      <c r="SJA25" s="1117"/>
      <c r="SJB25" s="1117"/>
      <c r="SJC25" s="1117"/>
      <c r="SJD25" s="1117"/>
      <c r="SJE25" s="1117"/>
      <c r="SJF25" s="1117"/>
      <c r="SJG25" s="1117"/>
      <c r="SJH25" s="1117"/>
      <c r="SJI25" s="1117"/>
      <c r="SJJ25" s="1117"/>
      <c r="SJK25" s="1117"/>
      <c r="SJL25" s="1117"/>
      <c r="SJM25" s="1117"/>
      <c r="SJN25" s="1117"/>
      <c r="SJO25" s="1117"/>
      <c r="SJP25" s="1117"/>
      <c r="SJQ25" s="1117"/>
      <c r="SJR25" s="1117"/>
      <c r="SJS25" s="1117"/>
      <c r="SJT25" s="1117"/>
      <c r="SJU25" s="1117"/>
      <c r="SJV25" s="1117"/>
      <c r="SJW25" s="1117"/>
      <c r="SJX25" s="1117"/>
      <c r="SJY25" s="1117"/>
      <c r="SJZ25" s="1117"/>
      <c r="SKA25" s="1117"/>
      <c r="SKB25" s="1117"/>
      <c r="SKC25" s="1117"/>
      <c r="SKD25" s="1117"/>
      <c r="SKE25" s="1117"/>
      <c r="SKF25" s="1117"/>
      <c r="SKG25" s="1117"/>
      <c r="SKH25" s="1117"/>
      <c r="SKI25" s="1117"/>
      <c r="SKJ25" s="1117"/>
      <c r="SKK25" s="1117"/>
      <c r="SKL25" s="1117"/>
      <c r="SKM25" s="1117"/>
      <c r="SKN25" s="1117"/>
      <c r="SKO25" s="1117"/>
      <c r="SKP25" s="1117"/>
      <c r="SKQ25" s="1117"/>
      <c r="SKR25" s="1117"/>
      <c r="SKS25" s="1117"/>
      <c r="SKT25" s="1117"/>
      <c r="SKU25" s="1117"/>
      <c r="SKV25" s="1117"/>
      <c r="SKW25" s="1117"/>
      <c r="SKX25" s="1117"/>
      <c r="SKY25" s="1117"/>
      <c r="SKZ25" s="1117"/>
      <c r="SLA25" s="1117"/>
      <c r="SLB25" s="1117"/>
      <c r="SLC25" s="1117"/>
      <c r="SLD25" s="1117"/>
      <c r="SLE25" s="1117"/>
      <c r="SLF25" s="1117"/>
      <c r="SLG25" s="1117"/>
      <c r="SLH25" s="1117"/>
      <c r="SLI25" s="1117"/>
      <c r="SLJ25" s="1117"/>
      <c r="SLK25" s="1117"/>
      <c r="SLL25" s="1117"/>
      <c r="SLM25" s="1117"/>
      <c r="SLN25" s="1117"/>
      <c r="SLO25" s="1117"/>
      <c r="SLP25" s="1117"/>
      <c r="SLQ25" s="1117"/>
      <c r="SLR25" s="1117"/>
      <c r="SLS25" s="1117"/>
      <c r="SLT25" s="1117"/>
      <c r="SLU25" s="1117"/>
      <c r="SLV25" s="1117"/>
      <c r="SLW25" s="1117"/>
      <c r="SLX25" s="1117"/>
      <c r="SLY25" s="1117"/>
      <c r="SLZ25" s="1117"/>
      <c r="SMA25" s="1117"/>
      <c r="SMB25" s="1117"/>
      <c r="SMC25" s="1117"/>
      <c r="SMD25" s="1117"/>
      <c r="SME25" s="1117"/>
      <c r="SMF25" s="1117"/>
      <c r="SMG25" s="1117"/>
      <c r="SMH25" s="1117"/>
      <c r="SMI25" s="1117"/>
      <c r="SMJ25" s="1117"/>
      <c r="SMK25" s="1117"/>
      <c r="SML25" s="1117"/>
      <c r="SMM25" s="1117"/>
      <c r="SMN25" s="1117"/>
      <c r="SMO25" s="1117"/>
      <c r="SMP25" s="1117"/>
      <c r="SMQ25" s="1117"/>
      <c r="SMR25" s="1117"/>
      <c r="SMS25" s="1117"/>
      <c r="SMT25" s="1117"/>
      <c r="SMU25" s="1117"/>
      <c r="SMV25" s="1117"/>
      <c r="SMW25" s="1117"/>
      <c r="SMX25" s="1117"/>
      <c r="SMY25" s="1117"/>
      <c r="SMZ25" s="1117"/>
      <c r="SNA25" s="1117"/>
      <c r="SNB25" s="1117"/>
      <c r="SNC25" s="1117"/>
      <c r="SND25" s="1117"/>
      <c r="SNE25" s="1117"/>
      <c r="SNF25" s="1117"/>
      <c r="SNG25" s="1117"/>
      <c r="SNH25" s="1117"/>
      <c r="SNI25" s="1117"/>
      <c r="SNJ25" s="1117"/>
      <c r="SNK25" s="1117"/>
      <c r="SNL25" s="1117"/>
      <c r="SNM25" s="1117"/>
      <c r="SNN25" s="1117"/>
      <c r="SNO25" s="1117"/>
      <c r="SNP25" s="1117"/>
      <c r="SNQ25" s="1117"/>
      <c r="SNR25" s="1117"/>
      <c r="SNS25" s="1117"/>
      <c r="SNT25" s="1117"/>
      <c r="SNU25" s="1117"/>
      <c r="SNV25" s="1117"/>
      <c r="SNW25" s="1117"/>
      <c r="SNX25" s="1117"/>
      <c r="SNY25" s="1117"/>
      <c r="SNZ25" s="1117"/>
      <c r="SOA25" s="1117"/>
      <c r="SOB25" s="1117"/>
      <c r="SOC25" s="1117"/>
      <c r="SOD25" s="1117"/>
      <c r="SOE25" s="1117"/>
      <c r="SOF25" s="1117"/>
      <c r="SOG25" s="1117"/>
      <c r="SOH25" s="1117"/>
      <c r="SOI25" s="1117"/>
      <c r="SOJ25" s="1117"/>
      <c r="SOK25" s="1117"/>
      <c r="SOL25" s="1117"/>
      <c r="SOM25" s="1117"/>
      <c r="SON25" s="1117"/>
      <c r="SOO25" s="1117"/>
      <c r="SOP25" s="1117"/>
      <c r="SOQ25" s="1117"/>
      <c r="SOR25" s="1117"/>
      <c r="SOS25" s="1117"/>
      <c r="SOT25" s="1117"/>
      <c r="SOU25" s="1117"/>
      <c r="SOV25" s="1117"/>
      <c r="SOW25" s="1117"/>
      <c r="SOX25" s="1117"/>
      <c r="SOY25" s="1117"/>
      <c r="SOZ25" s="1117"/>
      <c r="SPA25" s="1117"/>
      <c r="SPB25" s="1117"/>
      <c r="SPC25" s="1117"/>
      <c r="SPD25" s="1117"/>
      <c r="SPE25" s="1117"/>
      <c r="SPF25" s="1117"/>
      <c r="SPG25" s="1117"/>
      <c r="SPH25" s="1117"/>
      <c r="SPI25" s="1117"/>
      <c r="SPJ25" s="1117"/>
      <c r="SPK25" s="1117"/>
      <c r="SPL25" s="1117"/>
      <c r="SPM25" s="1117"/>
      <c r="SPN25" s="1117"/>
      <c r="SPO25" s="1117"/>
      <c r="SPP25" s="1117"/>
      <c r="SPQ25" s="1117"/>
      <c r="SPR25" s="1117"/>
      <c r="SPS25" s="1117"/>
      <c r="SPT25" s="1117"/>
      <c r="SPU25" s="1117"/>
      <c r="SPV25" s="1117"/>
      <c r="SPW25" s="1117"/>
      <c r="SPX25" s="1117"/>
      <c r="SPY25" s="1117"/>
      <c r="SPZ25" s="1117"/>
      <c r="SQA25" s="1117"/>
      <c r="SQB25" s="1117"/>
      <c r="SQC25" s="1117"/>
      <c r="SQD25" s="1117"/>
      <c r="SQE25" s="1117"/>
      <c r="SQF25" s="1117"/>
      <c r="SQG25" s="1117"/>
      <c r="SQH25" s="1117"/>
      <c r="SQI25" s="1117"/>
      <c r="SQJ25" s="1117"/>
      <c r="SQK25" s="1117"/>
      <c r="SQL25" s="1117"/>
      <c r="SQM25" s="1117"/>
      <c r="SQN25" s="1117"/>
      <c r="SQO25" s="1117"/>
      <c r="SQP25" s="1117"/>
      <c r="SQQ25" s="1117"/>
      <c r="SQR25" s="1117"/>
      <c r="SQS25" s="1117"/>
      <c r="SQT25" s="1117"/>
      <c r="SQU25" s="1117"/>
      <c r="SQV25" s="1117"/>
      <c r="SQW25" s="1117"/>
      <c r="SQX25" s="1117"/>
      <c r="SQY25" s="1117"/>
      <c r="SQZ25" s="1117"/>
      <c r="SRA25" s="1117"/>
      <c r="SRB25" s="1117"/>
      <c r="SRC25" s="1117"/>
      <c r="SRD25" s="1117"/>
      <c r="SRE25" s="1117"/>
      <c r="SRF25" s="1117"/>
      <c r="SRG25" s="1117"/>
      <c r="SRH25" s="1117"/>
      <c r="SRI25" s="1117"/>
      <c r="SRJ25" s="1117"/>
      <c r="SRK25" s="1117"/>
      <c r="SRL25" s="1117"/>
      <c r="SRM25" s="1117"/>
      <c r="SRN25" s="1117"/>
      <c r="SRO25" s="1117"/>
      <c r="SRP25" s="1117"/>
      <c r="SRQ25" s="1117"/>
      <c r="SRR25" s="1117"/>
      <c r="SRS25" s="1117"/>
      <c r="SRT25" s="1117"/>
      <c r="SRU25" s="1117"/>
      <c r="SRV25" s="1117"/>
      <c r="SRW25" s="1117"/>
      <c r="SRX25" s="1117"/>
      <c r="SRY25" s="1117"/>
      <c r="SRZ25" s="1117"/>
      <c r="SSA25" s="1117"/>
      <c r="SSB25" s="1117"/>
      <c r="SSC25" s="1117"/>
      <c r="SSD25" s="1117"/>
      <c r="SSE25" s="1117"/>
      <c r="SSF25" s="1117"/>
      <c r="SSG25" s="1117"/>
      <c r="SSH25" s="1117"/>
      <c r="SSI25" s="1117"/>
      <c r="SSJ25" s="1117"/>
      <c r="SSK25" s="1117"/>
      <c r="SSL25" s="1117"/>
      <c r="SSM25" s="1117"/>
      <c r="SSN25" s="1117"/>
      <c r="SSO25" s="1117"/>
      <c r="SSP25" s="1117"/>
      <c r="SSQ25" s="1117"/>
      <c r="SSR25" s="1117"/>
      <c r="SSS25" s="1117"/>
      <c r="SST25" s="1117"/>
      <c r="SSU25" s="1117"/>
      <c r="SSV25" s="1117"/>
      <c r="SSW25" s="1117"/>
      <c r="SSX25" s="1117"/>
      <c r="SSY25" s="1117"/>
      <c r="SSZ25" s="1117"/>
      <c r="STA25" s="1117"/>
      <c r="STB25" s="1117"/>
      <c r="STC25" s="1117"/>
      <c r="STD25" s="1117"/>
      <c r="STE25" s="1117"/>
      <c r="STF25" s="1117"/>
      <c r="STG25" s="1117"/>
      <c r="STH25" s="1117"/>
      <c r="STI25" s="1117"/>
      <c r="STJ25" s="1117"/>
      <c r="STK25" s="1117"/>
      <c r="STL25" s="1117"/>
      <c r="STM25" s="1117"/>
      <c r="STN25" s="1117"/>
      <c r="STO25" s="1117"/>
      <c r="STP25" s="1117"/>
      <c r="STQ25" s="1117"/>
      <c r="STR25" s="1117"/>
      <c r="STS25" s="1117"/>
      <c r="STT25" s="1117"/>
      <c r="STU25" s="1117"/>
      <c r="STV25" s="1117"/>
      <c r="STW25" s="1117"/>
      <c r="STX25" s="1117"/>
      <c r="STY25" s="1117"/>
      <c r="STZ25" s="1117"/>
      <c r="SUA25" s="1117"/>
      <c r="SUB25" s="1117"/>
      <c r="SUC25" s="1117"/>
      <c r="SUD25" s="1117"/>
      <c r="SUE25" s="1117"/>
      <c r="SUF25" s="1117"/>
      <c r="SUG25" s="1117"/>
      <c r="SUH25" s="1117"/>
      <c r="SUI25" s="1117"/>
      <c r="SUJ25" s="1117"/>
      <c r="SUK25" s="1117"/>
      <c r="SUL25" s="1117"/>
      <c r="SUM25" s="1117"/>
      <c r="SUN25" s="1117"/>
      <c r="SUO25" s="1117"/>
      <c r="SUP25" s="1117"/>
      <c r="SUQ25" s="1117"/>
      <c r="SUR25" s="1117"/>
      <c r="SUS25" s="1117"/>
      <c r="SUT25" s="1117"/>
      <c r="SUU25" s="1117"/>
      <c r="SUV25" s="1117"/>
      <c r="SUW25" s="1117"/>
      <c r="SUX25" s="1117"/>
      <c r="SUY25" s="1117"/>
      <c r="SUZ25" s="1117"/>
      <c r="SVA25" s="1117"/>
      <c r="SVB25" s="1117"/>
      <c r="SVC25" s="1117"/>
      <c r="SVD25" s="1117"/>
      <c r="SVE25" s="1117"/>
      <c r="SVF25" s="1117"/>
      <c r="SVG25" s="1117"/>
      <c r="SVH25" s="1117"/>
      <c r="SVI25" s="1117"/>
      <c r="SVJ25" s="1117"/>
      <c r="SVK25" s="1117"/>
      <c r="SVL25" s="1117"/>
      <c r="SVM25" s="1117"/>
      <c r="SVN25" s="1117"/>
      <c r="SVO25" s="1117"/>
      <c r="SVP25" s="1117"/>
      <c r="SVQ25" s="1117"/>
      <c r="SVR25" s="1117"/>
      <c r="SVS25" s="1117"/>
      <c r="SVT25" s="1117"/>
      <c r="SVU25" s="1117"/>
      <c r="SVV25" s="1117"/>
      <c r="SVW25" s="1117"/>
      <c r="SVX25" s="1117"/>
      <c r="SVY25" s="1117"/>
      <c r="SVZ25" s="1117"/>
      <c r="SWA25" s="1117"/>
      <c r="SWB25" s="1117"/>
      <c r="SWC25" s="1117"/>
      <c r="SWD25" s="1117"/>
      <c r="SWE25" s="1117"/>
      <c r="SWF25" s="1117"/>
      <c r="SWG25" s="1117"/>
      <c r="SWH25" s="1117"/>
      <c r="SWI25" s="1117"/>
      <c r="SWJ25" s="1117"/>
      <c r="SWK25" s="1117"/>
      <c r="SWL25" s="1117"/>
      <c r="SWM25" s="1117"/>
      <c r="SWN25" s="1117"/>
      <c r="SWO25" s="1117"/>
      <c r="SWP25" s="1117"/>
      <c r="SWQ25" s="1117"/>
      <c r="SWR25" s="1117"/>
      <c r="SWS25" s="1117"/>
      <c r="SWT25" s="1117"/>
      <c r="SWU25" s="1117"/>
      <c r="SWV25" s="1117"/>
      <c r="SWW25" s="1117"/>
      <c r="SWX25" s="1117"/>
      <c r="SWY25" s="1117"/>
      <c r="SWZ25" s="1117"/>
      <c r="SXA25" s="1117"/>
      <c r="SXB25" s="1117"/>
      <c r="SXC25" s="1117"/>
      <c r="SXD25" s="1117"/>
      <c r="SXE25" s="1117"/>
      <c r="SXF25" s="1117"/>
      <c r="SXG25" s="1117"/>
      <c r="SXH25" s="1117"/>
      <c r="SXI25" s="1117"/>
      <c r="SXJ25" s="1117"/>
      <c r="SXK25" s="1117"/>
      <c r="SXL25" s="1117"/>
      <c r="SXM25" s="1117"/>
      <c r="SXN25" s="1117"/>
      <c r="SXO25" s="1117"/>
      <c r="SXP25" s="1117"/>
      <c r="SXQ25" s="1117"/>
      <c r="SXR25" s="1117"/>
      <c r="SXS25" s="1117"/>
      <c r="SXT25" s="1117"/>
      <c r="SXU25" s="1117"/>
      <c r="SXV25" s="1117"/>
      <c r="SXW25" s="1117"/>
      <c r="SXX25" s="1117"/>
      <c r="SXY25" s="1117"/>
      <c r="SXZ25" s="1117"/>
      <c r="SYA25" s="1117"/>
      <c r="SYB25" s="1117"/>
      <c r="SYC25" s="1117"/>
      <c r="SYD25" s="1117"/>
      <c r="SYE25" s="1117"/>
      <c r="SYF25" s="1117"/>
      <c r="SYG25" s="1117"/>
      <c r="SYH25" s="1117"/>
      <c r="SYI25" s="1117"/>
      <c r="SYJ25" s="1117"/>
      <c r="SYK25" s="1117"/>
      <c r="SYL25" s="1117"/>
      <c r="SYM25" s="1117"/>
      <c r="SYN25" s="1117"/>
      <c r="SYO25" s="1117"/>
      <c r="SYP25" s="1117"/>
      <c r="SYQ25" s="1117"/>
      <c r="SYR25" s="1117"/>
      <c r="SYS25" s="1117"/>
      <c r="SYT25" s="1117"/>
      <c r="SYU25" s="1117"/>
      <c r="SYV25" s="1117"/>
      <c r="SYW25" s="1117"/>
      <c r="SYX25" s="1117"/>
      <c r="SYY25" s="1117"/>
      <c r="SYZ25" s="1117"/>
      <c r="SZA25" s="1117"/>
      <c r="SZB25" s="1117"/>
      <c r="SZC25" s="1117"/>
      <c r="SZD25" s="1117"/>
      <c r="SZE25" s="1117"/>
      <c r="SZF25" s="1117"/>
      <c r="SZG25" s="1117"/>
      <c r="SZH25" s="1117"/>
      <c r="SZI25" s="1117"/>
      <c r="SZJ25" s="1117"/>
      <c r="SZK25" s="1117"/>
      <c r="SZL25" s="1117"/>
      <c r="SZM25" s="1117"/>
      <c r="SZN25" s="1117"/>
      <c r="SZO25" s="1117"/>
      <c r="SZP25" s="1117"/>
      <c r="SZQ25" s="1117"/>
      <c r="SZR25" s="1117"/>
      <c r="SZS25" s="1117"/>
      <c r="SZT25" s="1117"/>
      <c r="SZU25" s="1117"/>
      <c r="SZV25" s="1117"/>
      <c r="SZW25" s="1117"/>
      <c r="SZX25" s="1117"/>
      <c r="SZY25" s="1117"/>
      <c r="SZZ25" s="1117"/>
      <c r="TAA25" s="1117"/>
      <c r="TAB25" s="1117"/>
      <c r="TAC25" s="1117"/>
      <c r="TAD25" s="1117"/>
      <c r="TAE25" s="1117"/>
      <c r="TAF25" s="1117"/>
      <c r="TAG25" s="1117"/>
      <c r="TAH25" s="1117"/>
      <c r="TAI25" s="1117"/>
      <c r="TAJ25" s="1117"/>
      <c r="TAK25" s="1117"/>
      <c r="TAL25" s="1117"/>
      <c r="TAM25" s="1117"/>
      <c r="TAN25" s="1117"/>
      <c r="TAO25" s="1117"/>
      <c r="TAP25" s="1117"/>
      <c r="TAQ25" s="1117"/>
      <c r="TAR25" s="1117"/>
      <c r="TAS25" s="1117"/>
      <c r="TAT25" s="1117"/>
      <c r="TAU25" s="1117"/>
      <c r="TAV25" s="1117"/>
      <c r="TAW25" s="1117"/>
      <c r="TAX25" s="1117"/>
      <c r="TAY25" s="1117"/>
      <c r="TAZ25" s="1117"/>
      <c r="TBA25" s="1117"/>
      <c r="TBB25" s="1117"/>
      <c r="TBC25" s="1117"/>
      <c r="TBD25" s="1117"/>
      <c r="TBE25" s="1117"/>
      <c r="TBF25" s="1117"/>
      <c r="TBG25" s="1117"/>
      <c r="TBH25" s="1117"/>
      <c r="TBI25" s="1117"/>
      <c r="TBJ25" s="1117"/>
      <c r="TBK25" s="1117"/>
      <c r="TBL25" s="1117"/>
      <c r="TBM25" s="1117"/>
      <c r="TBN25" s="1117"/>
      <c r="TBO25" s="1117"/>
      <c r="TBP25" s="1117"/>
      <c r="TBQ25" s="1117"/>
      <c r="TBR25" s="1117"/>
      <c r="TBS25" s="1117"/>
      <c r="TBT25" s="1117"/>
      <c r="TBU25" s="1117"/>
      <c r="TBV25" s="1117"/>
      <c r="TBW25" s="1117"/>
      <c r="TBX25" s="1117"/>
      <c r="TBY25" s="1117"/>
      <c r="TBZ25" s="1117"/>
      <c r="TCA25" s="1117"/>
      <c r="TCB25" s="1117"/>
      <c r="TCC25" s="1117"/>
      <c r="TCD25" s="1117"/>
      <c r="TCE25" s="1117"/>
      <c r="TCF25" s="1117"/>
      <c r="TCG25" s="1117"/>
      <c r="TCH25" s="1117"/>
      <c r="TCI25" s="1117"/>
      <c r="TCJ25" s="1117"/>
      <c r="TCK25" s="1117"/>
      <c r="TCL25" s="1117"/>
      <c r="TCM25" s="1117"/>
      <c r="TCN25" s="1117"/>
      <c r="TCO25" s="1117"/>
      <c r="TCP25" s="1117"/>
      <c r="TCQ25" s="1117"/>
      <c r="TCR25" s="1117"/>
      <c r="TCS25" s="1117"/>
      <c r="TCT25" s="1117"/>
      <c r="TCU25" s="1117"/>
      <c r="TCV25" s="1117"/>
      <c r="TCW25" s="1117"/>
      <c r="TCX25" s="1117"/>
      <c r="TCY25" s="1117"/>
      <c r="TCZ25" s="1117"/>
      <c r="TDA25" s="1117"/>
      <c r="TDB25" s="1117"/>
      <c r="TDC25" s="1117"/>
      <c r="TDD25" s="1117"/>
      <c r="TDE25" s="1117"/>
      <c r="TDF25" s="1117"/>
      <c r="TDG25" s="1117"/>
      <c r="TDH25" s="1117"/>
      <c r="TDI25" s="1117"/>
      <c r="TDJ25" s="1117"/>
      <c r="TDK25" s="1117"/>
      <c r="TDL25" s="1117"/>
      <c r="TDM25" s="1117"/>
      <c r="TDN25" s="1117"/>
      <c r="TDO25" s="1117"/>
      <c r="TDP25" s="1117"/>
      <c r="TDQ25" s="1117"/>
      <c r="TDR25" s="1117"/>
      <c r="TDS25" s="1117"/>
      <c r="TDT25" s="1117"/>
      <c r="TDU25" s="1117"/>
      <c r="TDV25" s="1117"/>
      <c r="TDW25" s="1117"/>
      <c r="TDX25" s="1117"/>
      <c r="TDY25" s="1117"/>
      <c r="TDZ25" s="1117"/>
      <c r="TEA25" s="1117"/>
      <c r="TEB25" s="1117"/>
      <c r="TEC25" s="1117"/>
      <c r="TED25" s="1117"/>
      <c r="TEE25" s="1117"/>
      <c r="TEF25" s="1117"/>
      <c r="TEG25" s="1117"/>
      <c r="TEH25" s="1117"/>
      <c r="TEI25" s="1117"/>
      <c r="TEJ25" s="1117"/>
      <c r="TEK25" s="1117"/>
      <c r="TEL25" s="1117"/>
      <c r="TEM25" s="1117"/>
      <c r="TEN25" s="1117"/>
      <c r="TEO25" s="1117"/>
      <c r="TEP25" s="1117"/>
      <c r="TEQ25" s="1117"/>
      <c r="TER25" s="1117"/>
      <c r="TES25" s="1117"/>
      <c r="TET25" s="1117"/>
      <c r="TEU25" s="1117"/>
      <c r="TEV25" s="1117"/>
      <c r="TEW25" s="1117"/>
      <c r="TEX25" s="1117"/>
      <c r="TEY25" s="1117"/>
      <c r="TEZ25" s="1117"/>
      <c r="TFA25" s="1117"/>
      <c r="TFB25" s="1117"/>
      <c r="TFC25" s="1117"/>
      <c r="TFD25" s="1117"/>
      <c r="TFE25" s="1117"/>
      <c r="TFF25" s="1117"/>
      <c r="TFG25" s="1117"/>
      <c r="TFH25" s="1117"/>
      <c r="TFI25" s="1117"/>
      <c r="TFJ25" s="1117"/>
      <c r="TFK25" s="1117"/>
      <c r="TFL25" s="1117"/>
      <c r="TFM25" s="1117"/>
      <c r="TFN25" s="1117"/>
      <c r="TFO25" s="1117"/>
      <c r="TFP25" s="1117"/>
      <c r="TFQ25" s="1117"/>
      <c r="TFR25" s="1117"/>
      <c r="TFS25" s="1117"/>
      <c r="TFT25" s="1117"/>
      <c r="TFU25" s="1117"/>
      <c r="TFV25" s="1117"/>
      <c r="TFW25" s="1117"/>
      <c r="TFX25" s="1117"/>
      <c r="TFY25" s="1117"/>
      <c r="TFZ25" s="1117"/>
      <c r="TGA25" s="1117"/>
      <c r="TGB25" s="1117"/>
      <c r="TGC25" s="1117"/>
      <c r="TGD25" s="1117"/>
      <c r="TGE25" s="1117"/>
      <c r="TGF25" s="1117"/>
      <c r="TGG25" s="1117"/>
      <c r="TGH25" s="1117"/>
      <c r="TGI25" s="1117"/>
      <c r="TGJ25" s="1117"/>
      <c r="TGK25" s="1117"/>
      <c r="TGL25" s="1117"/>
      <c r="TGM25" s="1117"/>
      <c r="TGN25" s="1117"/>
      <c r="TGO25" s="1117"/>
      <c r="TGP25" s="1117"/>
      <c r="TGQ25" s="1117"/>
      <c r="TGR25" s="1117"/>
      <c r="TGS25" s="1117"/>
      <c r="TGT25" s="1117"/>
      <c r="TGU25" s="1117"/>
      <c r="TGV25" s="1117"/>
      <c r="TGW25" s="1117"/>
      <c r="TGX25" s="1117"/>
      <c r="TGY25" s="1117"/>
      <c r="TGZ25" s="1117"/>
      <c r="THA25" s="1117"/>
      <c r="THB25" s="1117"/>
      <c r="THC25" s="1117"/>
      <c r="THD25" s="1117"/>
      <c r="THE25" s="1117"/>
      <c r="THF25" s="1117"/>
      <c r="THG25" s="1117"/>
      <c r="THH25" s="1117"/>
      <c r="THI25" s="1117"/>
      <c r="THJ25" s="1117"/>
      <c r="THK25" s="1117"/>
      <c r="THL25" s="1117"/>
      <c r="THM25" s="1117"/>
      <c r="THN25" s="1117"/>
      <c r="THO25" s="1117"/>
      <c r="THP25" s="1117"/>
      <c r="THQ25" s="1117"/>
      <c r="THR25" s="1117"/>
      <c r="THS25" s="1117"/>
      <c r="THT25" s="1117"/>
      <c r="THU25" s="1117"/>
      <c r="THV25" s="1117"/>
      <c r="THW25" s="1117"/>
      <c r="THX25" s="1117"/>
      <c r="THY25" s="1117"/>
      <c r="THZ25" s="1117"/>
      <c r="TIA25" s="1117"/>
      <c r="TIB25" s="1117"/>
      <c r="TIC25" s="1117"/>
      <c r="TID25" s="1117"/>
      <c r="TIE25" s="1117"/>
      <c r="TIF25" s="1117"/>
      <c r="TIG25" s="1117"/>
      <c r="TIH25" s="1117"/>
      <c r="TII25" s="1117"/>
      <c r="TIJ25" s="1117"/>
      <c r="TIK25" s="1117"/>
      <c r="TIL25" s="1117"/>
      <c r="TIM25" s="1117"/>
      <c r="TIN25" s="1117"/>
      <c r="TIO25" s="1117"/>
      <c r="TIP25" s="1117"/>
      <c r="TIQ25" s="1117"/>
      <c r="TIR25" s="1117"/>
      <c r="TIS25" s="1117"/>
      <c r="TIT25" s="1117"/>
      <c r="TIU25" s="1117"/>
      <c r="TIV25" s="1117"/>
      <c r="TIW25" s="1117"/>
      <c r="TIX25" s="1117"/>
      <c r="TIY25" s="1117"/>
      <c r="TIZ25" s="1117"/>
      <c r="TJA25" s="1117"/>
      <c r="TJB25" s="1117"/>
      <c r="TJC25" s="1117"/>
      <c r="TJD25" s="1117"/>
      <c r="TJE25" s="1117"/>
      <c r="TJF25" s="1117"/>
      <c r="TJG25" s="1117"/>
      <c r="TJH25" s="1117"/>
      <c r="TJI25" s="1117"/>
      <c r="TJJ25" s="1117"/>
      <c r="TJK25" s="1117"/>
      <c r="TJL25" s="1117"/>
      <c r="TJM25" s="1117"/>
      <c r="TJN25" s="1117"/>
      <c r="TJO25" s="1117"/>
      <c r="TJP25" s="1117"/>
      <c r="TJQ25" s="1117"/>
      <c r="TJR25" s="1117"/>
      <c r="TJS25" s="1117"/>
      <c r="TJT25" s="1117"/>
      <c r="TJU25" s="1117"/>
      <c r="TJV25" s="1117"/>
      <c r="TJW25" s="1117"/>
      <c r="TJX25" s="1117"/>
      <c r="TJY25" s="1117"/>
      <c r="TJZ25" s="1117"/>
      <c r="TKA25" s="1117"/>
      <c r="TKB25" s="1117"/>
      <c r="TKC25" s="1117"/>
      <c r="TKD25" s="1117"/>
      <c r="TKE25" s="1117"/>
      <c r="TKF25" s="1117"/>
      <c r="TKG25" s="1117"/>
      <c r="TKH25" s="1117"/>
      <c r="TKI25" s="1117"/>
      <c r="TKJ25" s="1117"/>
      <c r="TKK25" s="1117"/>
      <c r="TKL25" s="1117"/>
      <c r="TKM25" s="1117"/>
      <c r="TKN25" s="1117"/>
      <c r="TKO25" s="1117"/>
      <c r="TKP25" s="1117"/>
      <c r="TKQ25" s="1117"/>
      <c r="TKR25" s="1117"/>
      <c r="TKS25" s="1117"/>
      <c r="TKT25" s="1117"/>
      <c r="TKU25" s="1117"/>
      <c r="TKV25" s="1117"/>
      <c r="TKW25" s="1117"/>
      <c r="TKX25" s="1117"/>
      <c r="TKY25" s="1117"/>
      <c r="TKZ25" s="1117"/>
      <c r="TLA25" s="1117"/>
      <c r="TLB25" s="1117"/>
      <c r="TLC25" s="1117"/>
      <c r="TLD25" s="1117"/>
      <c r="TLE25" s="1117"/>
      <c r="TLF25" s="1117"/>
      <c r="TLG25" s="1117"/>
      <c r="TLH25" s="1117"/>
      <c r="TLI25" s="1117"/>
      <c r="TLJ25" s="1117"/>
      <c r="TLK25" s="1117"/>
      <c r="TLL25" s="1117"/>
      <c r="TLM25" s="1117"/>
      <c r="TLN25" s="1117"/>
      <c r="TLO25" s="1117"/>
      <c r="TLP25" s="1117"/>
      <c r="TLQ25" s="1117"/>
      <c r="TLR25" s="1117"/>
      <c r="TLS25" s="1117"/>
      <c r="TLT25" s="1117"/>
      <c r="TLU25" s="1117"/>
      <c r="TLV25" s="1117"/>
      <c r="TLW25" s="1117"/>
      <c r="TLX25" s="1117"/>
      <c r="TLY25" s="1117"/>
      <c r="TLZ25" s="1117"/>
      <c r="TMA25" s="1117"/>
      <c r="TMB25" s="1117"/>
      <c r="TMC25" s="1117"/>
      <c r="TMD25" s="1117"/>
      <c r="TME25" s="1117"/>
      <c r="TMF25" s="1117"/>
      <c r="TMG25" s="1117"/>
      <c r="TMH25" s="1117"/>
      <c r="TMI25" s="1117"/>
      <c r="TMJ25" s="1117"/>
      <c r="TMK25" s="1117"/>
      <c r="TML25" s="1117"/>
      <c r="TMM25" s="1117"/>
      <c r="TMN25" s="1117"/>
      <c r="TMO25" s="1117"/>
      <c r="TMP25" s="1117"/>
      <c r="TMQ25" s="1117"/>
      <c r="TMR25" s="1117"/>
      <c r="TMS25" s="1117"/>
      <c r="TMT25" s="1117"/>
      <c r="TMU25" s="1117"/>
      <c r="TMV25" s="1117"/>
      <c r="TMW25" s="1117"/>
      <c r="TMX25" s="1117"/>
      <c r="TMY25" s="1117"/>
      <c r="TMZ25" s="1117"/>
      <c r="TNA25" s="1117"/>
      <c r="TNB25" s="1117"/>
      <c r="TNC25" s="1117"/>
      <c r="TND25" s="1117"/>
      <c r="TNE25" s="1117"/>
      <c r="TNF25" s="1117"/>
      <c r="TNG25" s="1117"/>
      <c r="TNH25" s="1117"/>
      <c r="TNI25" s="1117"/>
      <c r="TNJ25" s="1117"/>
      <c r="TNK25" s="1117"/>
      <c r="TNL25" s="1117"/>
      <c r="TNM25" s="1117"/>
      <c r="TNN25" s="1117"/>
      <c r="TNO25" s="1117"/>
      <c r="TNP25" s="1117"/>
      <c r="TNQ25" s="1117"/>
      <c r="TNR25" s="1117"/>
      <c r="TNS25" s="1117"/>
      <c r="TNT25" s="1117"/>
      <c r="TNU25" s="1117"/>
      <c r="TNV25" s="1117"/>
      <c r="TNW25" s="1117"/>
      <c r="TNX25" s="1117"/>
      <c r="TNY25" s="1117"/>
      <c r="TNZ25" s="1117"/>
      <c r="TOA25" s="1117"/>
      <c r="TOB25" s="1117"/>
      <c r="TOC25" s="1117"/>
      <c r="TOD25" s="1117"/>
      <c r="TOE25" s="1117"/>
      <c r="TOF25" s="1117"/>
      <c r="TOG25" s="1117"/>
      <c r="TOH25" s="1117"/>
      <c r="TOI25" s="1117"/>
      <c r="TOJ25" s="1117"/>
      <c r="TOK25" s="1117"/>
      <c r="TOL25" s="1117"/>
      <c r="TOM25" s="1117"/>
      <c r="TON25" s="1117"/>
      <c r="TOO25" s="1117"/>
      <c r="TOP25" s="1117"/>
      <c r="TOQ25" s="1117"/>
      <c r="TOR25" s="1117"/>
      <c r="TOS25" s="1117"/>
      <c r="TOT25" s="1117"/>
      <c r="TOU25" s="1117"/>
      <c r="TOV25" s="1117"/>
      <c r="TOW25" s="1117"/>
      <c r="TOX25" s="1117"/>
      <c r="TOY25" s="1117"/>
      <c r="TOZ25" s="1117"/>
      <c r="TPA25" s="1117"/>
      <c r="TPB25" s="1117"/>
      <c r="TPC25" s="1117"/>
      <c r="TPD25" s="1117"/>
      <c r="TPE25" s="1117"/>
      <c r="TPF25" s="1117"/>
      <c r="TPG25" s="1117"/>
      <c r="TPH25" s="1117"/>
      <c r="TPI25" s="1117"/>
      <c r="TPJ25" s="1117"/>
      <c r="TPK25" s="1117"/>
      <c r="TPL25" s="1117"/>
      <c r="TPM25" s="1117"/>
      <c r="TPN25" s="1117"/>
      <c r="TPO25" s="1117"/>
      <c r="TPP25" s="1117"/>
      <c r="TPQ25" s="1117"/>
      <c r="TPR25" s="1117"/>
      <c r="TPS25" s="1117"/>
      <c r="TPT25" s="1117"/>
      <c r="TPU25" s="1117"/>
      <c r="TPV25" s="1117"/>
      <c r="TPW25" s="1117"/>
      <c r="TPX25" s="1117"/>
      <c r="TPY25" s="1117"/>
      <c r="TPZ25" s="1117"/>
      <c r="TQA25" s="1117"/>
      <c r="TQB25" s="1117"/>
      <c r="TQC25" s="1117"/>
      <c r="TQD25" s="1117"/>
      <c r="TQE25" s="1117"/>
      <c r="TQF25" s="1117"/>
      <c r="TQG25" s="1117"/>
      <c r="TQH25" s="1117"/>
      <c r="TQI25" s="1117"/>
      <c r="TQJ25" s="1117"/>
      <c r="TQK25" s="1117"/>
      <c r="TQL25" s="1117"/>
      <c r="TQM25" s="1117"/>
      <c r="TQN25" s="1117"/>
      <c r="TQO25" s="1117"/>
      <c r="TQP25" s="1117"/>
      <c r="TQQ25" s="1117"/>
      <c r="TQR25" s="1117"/>
      <c r="TQS25" s="1117"/>
      <c r="TQT25" s="1117"/>
      <c r="TQU25" s="1117"/>
      <c r="TQV25" s="1117"/>
      <c r="TQW25" s="1117"/>
      <c r="TQX25" s="1117"/>
      <c r="TQY25" s="1117"/>
      <c r="TQZ25" s="1117"/>
      <c r="TRA25" s="1117"/>
      <c r="TRB25" s="1117"/>
      <c r="TRC25" s="1117"/>
      <c r="TRD25" s="1117"/>
      <c r="TRE25" s="1117"/>
      <c r="TRF25" s="1117"/>
      <c r="TRG25" s="1117"/>
      <c r="TRH25" s="1117"/>
      <c r="TRI25" s="1117"/>
      <c r="TRJ25" s="1117"/>
      <c r="TRK25" s="1117"/>
      <c r="TRL25" s="1117"/>
      <c r="TRM25" s="1117"/>
      <c r="TRN25" s="1117"/>
      <c r="TRO25" s="1117"/>
      <c r="TRP25" s="1117"/>
      <c r="TRQ25" s="1117"/>
      <c r="TRR25" s="1117"/>
      <c r="TRS25" s="1117"/>
      <c r="TRT25" s="1117"/>
      <c r="TRU25" s="1117"/>
      <c r="TRV25" s="1117"/>
      <c r="TRW25" s="1117"/>
      <c r="TRX25" s="1117"/>
      <c r="TRY25" s="1117"/>
      <c r="TRZ25" s="1117"/>
      <c r="TSA25" s="1117"/>
      <c r="TSB25" s="1117"/>
      <c r="TSC25" s="1117"/>
      <c r="TSD25" s="1117"/>
      <c r="TSE25" s="1117"/>
      <c r="TSF25" s="1117"/>
      <c r="TSG25" s="1117"/>
      <c r="TSH25" s="1117"/>
      <c r="TSI25" s="1117"/>
      <c r="TSJ25" s="1117"/>
      <c r="TSK25" s="1117"/>
      <c r="TSL25" s="1117"/>
      <c r="TSM25" s="1117"/>
      <c r="TSN25" s="1117"/>
      <c r="TSO25" s="1117"/>
      <c r="TSP25" s="1117"/>
      <c r="TSQ25" s="1117"/>
      <c r="TSR25" s="1117"/>
      <c r="TSS25" s="1117"/>
      <c r="TST25" s="1117"/>
      <c r="TSU25" s="1117"/>
      <c r="TSV25" s="1117"/>
      <c r="TSW25" s="1117"/>
      <c r="TSX25" s="1117"/>
      <c r="TSY25" s="1117"/>
      <c r="TSZ25" s="1117"/>
      <c r="TTA25" s="1117"/>
      <c r="TTB25" s="1117"/>
      <c r="TTC25" s="1117"/>
      <c r="TTD25" s="1117"/>
      <c r="TTE25" s="1117"/>
      <c r="TTF25" s="1117"/>
      <c r="TTG25" s="1117"/>
      <c r="TTH25" s="1117"/>
      <c r="TTI25" s="1117"/>
      <c r="TTJ25" s="1117"/>
      <c r="TTK25" s="1117"/>
      <c r="TTL25" s="1117"/>
      <c r="TTM25" s="1117"/>
      <c r="TTN25" s="1117"/>
      <c r="TTO25" s="1117"/>
      <c r="TTP25" s="1117"/>
      <c r="TTQ25" s="1117"/>
      <c r="TTR25" s="1117"/>
      <c r="TTS25" s="1117"/>
      <c r="TTT25" s="1117"/>
      <c r="TTU25" s="1117"/>
      <c r="TTV25" s="1117"/>
      <c r="TTW25" s="1117"/>
      <c r="TTX25" s="1117"/>
      <c r="TTY25" s="1117"/>
      <c r="TTZ25" s="1117"/>
      <c r="TUA25" s="1117"/>
      <c r="TUB25" s="1117"/>
      <c r="TUC25" s="1117"/>
      <c r="TUD25" s="1117"/>
      <c r="TUE25" s="1117"/>
      <c r="TUF25" s="1117"/>
      <c r="TUG25" s="1117"/>
      <c r="TUH25" s="1117"/>
      <c r="TUI25" s="1117"/>
      <c r="TUJ25" s="1117"/>
      <c r="TUK25" s="1117"/>
      <c r="TUL25" s="1117"/>
      <c r="TUM25" s="1117"/>
      <c r="TUN25" s="1117"/>
      <c r="TUO25" s="1117"/>
      <c r="TUP25" s="1117"/>
      <c r="TUQ25" s="1117"/>
      <c r="TUR25" s="1117"/>
      <c r="TUS25" s="1117"/>
      <c r="TUT25" s="1117"/>
      <c r="TUU25" s="1117"/>
      <c r="TUV25" s="1117"/>
      <c r="TUW25" s="1117"/>
      <c r="TUX25" s="1117"/>
      <c r="TUY25" s="1117"/>
      <c r="TUZ25" s="1117"/>
      <c r="TVA25" s="1117"/>
      <c r="TVB25" s="1117"/>
      <c r="TVC25" s="1117"/>
      <c r="TVD25" s="1117"/>
      <c r="TVE25" s="1117"/>
      <c r="TVF25" s="1117"/>
      <c r="TVG25" s="1117"/>
      <c r="TVH25" s="1117"/>
      <c r="TVI25" s="1117"/>
      <c r="TVJ25" s="1117"/>
      <c r="TVK25" s="1117"/>
      <c r="TVL25" s="1117"/>
      <c r="TVM25" s="1117"/>
      <c r="TVN25" s="1117"/>
      <c r="TVO25" s="1117"/>
      <c r="TVP25" s="1117"/>
      <c r="TVQ25" s="1117"/>
      <c r="TVR25" s="1117"/>
      <c r="TVS25" s="1117"/>
      <c r="TVT25" s="1117"/>
      <c r="TVU25" s="1117"/>
      <c r="TVV25" s="1117"/>
      <c r="TVW25" s="1117"/>
      <c r="TVX25" s="1117"/>
      <c r="TVY25" s="1117"/>
      <c r="TVZ25" s="1117"/>
      <c r="TWA25" s="1117"/>
      <c r="TWB25" s="1117"/>
      <c r="TWC25" s="1117"/>
      <c r="TWD25" s="1117"/>
      <c r="TWE25" s="1117"/>
      <c r="TWF25" s="1117"/>
      <c r="TWG25" s="1117"/>
      <c r="TWH25" s="1117"/>
      <c r="TWI25" s="1117"/>
      <c r="TWJ25" s="1117"/>
      <c r="TWK25" s="1117"/>
      <c r="TWL25" s="1117"/>
      <c r="TWM25" s="1117"/>
      <c r="TWN25" s="1117"/>
      <c r="TWO25" s="1117"/>
      <c r="TWP25" s="1117"/>
      <c r="TWQ25" s="1117"/>
      <c r="TWR25" s="1117"/>
      <c r="TWS25" s="1117"/>
      <c r="TWT25" s="1117"/>
      <c r="TWU25" s="1117"/>
      <c r="TWV25" s="1117"/>
      <c r="TWW25" s="1117"/>
      <c r="TWX25" s="1117"/>
      <c r="TWY25" s="1117"/>
      <c r="TWZ25" s="1117"/>
      <c r="TXA25" s="1117"/>
      <c r="TXB25" s="1117"/>
      <c r="TXC25" s="1117"/>
      <c r="TXD25" s="1117"/>
      <c r="TXE25" s="1117"/>
      <c r="TXF25" s="1117"/>
      <c r="TXG25" s="1117"/>
      <c r="TXH25" s="1117"/>
      <c r="TXI25" s="1117"/>
      <c r="TXJ25" s="1117"/>
      <c r="TXK25" s="1117"/>
      <c r="TXL25" s="1117"/>
      <c r="TXM25" s="1117"/>
      <c r="TXN25" s="1117"/>
      <c r="TXO25" s="1117"/>
      <c r="TXP25" s="1117"/>
      <c r="TXQ25" s="1117"/>
      <c r="TXR25" s="1117"/>
      <c r="TXS25" s="1117"/>
      <c r="TXT25" s="1117"/>
      <c r="TXU25" s="1117"/>
      <c r="TXV25" s="1117"/>
      <c r="TXW25" s="1117"/>
      <c r="TXX25" s="1117"/>
      <c r="TXY25" s="1117"/>
      <c r="TXZ25" s="1117"/>
      <c r="TYA25" s="1117"/>
      <c r="TYB25" s="1117"/>
      <c r="TYC25" s="1117"/>
      <c r="TYD25" s="1117"/>
      <c r="TYE25" s="1117"/>
      <c r="TYF25" s="1117"/>
      <c r="TYG25" s="1117"/>
      <c r="TYH25" s="1117"/>
      <c r="TYI25" s="1117"/>
      <c r="TYJ25" s="1117"/>
      <c r="TYK25" s="1117"/>
      <c r="TYL25" s="1117"/>
      <c r="TYM25" s="1117"/>
      <c r="TYN25" s="1117"/>
      <c r="TYO25" s="1117"/>
      <c r="TYP25" s="1117"/>
      <c r="TYQ25" s="1117"/>
      <c r="TYR25" s="1117"/>
      <c r="TYS25" s="1117"/>
      <c r="TYT25" s="1117"/>
      <c r="TYU25" s="1117"/>
      <c r="TYV25" s="1117"/>
      <c r="TYW25" s="1117"/>
      <c r="TYX25" s="1117"/>
      <c r="TYY25" s="1117"/>
      <c r="TYZ25" s="1117"/>
      <c r="TZA25" s="1117"/>
      <c r="TZB25" s="1117"/>
      <c r="TZC25" s="1117"/>
      <c r="TZD25" s="1117"/>
      <c r="TZE25" s="1117"/>
      <c r="TZF25" s="1117"/>
      <c r="TZG25" s="1117"/>
      <c r="TZH25" s="1117"/>
      <c r="TZI25" s="1117"/>
      <c r="TZJ25" s="1117"/>
      <c r="TZK25" s="1117"/>
      <c r="TZL25" s="1117"/>
      <c r="TZM25" s="1117"/>
      <c r="TZN25" s="1117"/>
      <c r="TZO25" s="1117"/>
      <c r="TZP25" s="1117"/>
      <c r="TZQ25" s="1117"/>
      <c r="TZR25" s="1117"/>
      <c r="TZS25" s="1117"/>
      <c r="TZT25" s="1117"/>
      <c r="TZU25" s="1117"/>
      <c r="TZV25" s="1117"/>
      <c r="TZW25" s="1117"/>
      <c r="TZX25" s="1117"/>
      <c r="TZY25" s="1117"/>
      <c r="TZZ25" s="1117"/>
      <c r="UAA25" s="1117"/>
      <c r="UAB25" s="1117"/>
      <c r="UAC25" s="1117"/>
      <c r="UAD25" s="1117"/>
      <c r="UAE25" s="1117"/>
      <c r="UAF25" s="1117"/>
      <c r="UAG25" s="1117"/>
      <c r="UAH25" s="1117"/>
      <c r="UAI25" s="1117"/>
      <c r="UAJ25" s="1117"/>
      <c r="UAK25" s="1117"/>
      <c r="UAL25" s="1117"/>
      <c r="UAM25" s="1117"/>
      <c r="UAN25" s="1117"/>
      <c r="UAO25" s="1117"/>
      <c r="UAP25" s="1117"/>
      <c r="UAQ25" s="1117"/>
      <c r="UAR25" s="1117"/>
      <c r="UAS25" s="1117"/>
      <c r="UAT25" s="1117"/>
      <c r="UAU25" s="1117"/>
      <c r="UAV25" s="1117"/>
      <c r="UAW25" s="1117"/>
      <c r="UAX25" s="1117"/>
      <c r="UAY25" s="1117"/>
      <c r="UAZ25" s="1117"/>
      <c r="UBA25" s="1117"/>
      <c r="UBB25" s="1117"/>
      <c r="UBC25" s="1117"/>
      <c r="UBD25" s="1117"/>
      <c r="UBE25" s="1117"/>
      <c r="UBF25" s="1117"/>
      <c r="UBG25" s="1117"/>
      <c r="UBH25" s="1117"/>
      <c r="UBI25" s="1117"/>
      <c r="UBJ25" s="1117"/>
      <c r="UBK25" s="1117"/>
      <c r="UBL25" s="1117"/>
      <c r="UBM25" s="1117"/>
      <c r="UBN25" s="1117"/>
      <c r="UBO25" s="1117"/>
      <c r="UBP25" s="1117"/>
      <c r="UBQ25" s="1117"/>
      <c r="UBR25" s="1117"/>
      <c r="UBS25" s="1117"/>
      <c r="UBT25" s="1117"/>
      <c r="UBU25" s="1117"/>
      <c r="UBV25" s="1117"/>
      <c r="UBW25" s="1117"/>
      <c r="UBX25" s="1117"/>
      <c r="UBY25" s="1117"/>
      <c r="UBZ25" s="1117"/>
      <c r="UCA25" s="1117"/>
      <c r="UCB25" s="1117"/>
      <c r="UCC25" s="1117"/>
      <c r="UCD25" s="1117"/>
      <c r="UCE25" s="1117"/>
      <c r="UCF25" s="1117"/>
      <c r="UCG25" s="1117"/>
      <c r="UCH25" s="1117"/>
      <c r="UCI25" s="1117"/>
      <c r="UCJ25" s="1117"/>
      <c r="UCK25" s="1117"/>
      <c r="UCL25" s="1117"/>
      <c r="UCM25" s="1117"/>
      <c r="UCN25" s="1117"/>
      <c r="UCO25" s="1117"/>
      <c r="UCP25" s="1117"/>
      <c r="UCQ25" s="1117"/>
      <c r="UCR25" s="1117"/>
      <c r="UCS25" s="1117"/>
      <c r="UCT25" s="1117"/>
      <c r="UCU25" s="1117"/>
      <c r="UCV25" s="1117"/>
      <c r="UCW25" s="1117"/>
      <c r="UCX25" s="1117"/>
      <c r="UCY25" s="1117"/>
      <c r="UCZ25" s="1117"/>
      <c r="UDA25" s="1117"/>
      <c r="UDB25" s="1117"/>
      <c r="UDC25" s="1117"/>
      <c r="UDD25" s="1117"/>
      <c r="UDE25" s="1117"/>
      <c r="UDF25" s="1117"/>
      <c r="UDG25" s="1117"/>
      <c r="UDH25" s="1117"/>
      <c r="UDI25" s="1117"/>
      <c r="UDJ25" s="1117"/>
      <c r="UDK25" s="1117"/>
      <c r="UDL25" s="1117"/>
      <c r="UDM25" s="1117"/>
      <c r="UDN25" s="1117"/>
      <c r="UDO25" s="1117"/>
      <c r="UDP25" s="1117"/>
      <c r="UDQ25" s="1117"/>
      <c r="UDR25" s="1117"/>
      <c r="UDS25" s="1117"/>
      <c r="UDT25" s="1117"/>
      <c r="UDU25" s="1117"/>
      <c r="UDV25" s="1117"/>
      <c r="UDW25" s="1117"/>
      <c r="UDX25" s="1117"/>
      <c r="UDY25" s="1117"/>
      <c r="UDZ25" s="1117"/>
      <c r="UEA25" s="1117"/>
      <c r="UEB25" s="1117"/>
      <c r="UEC25" s="1117"/>
      <c r="UED25" s="1117"/>
      <c r="UEE25" s="1117"/>
      <c r="UEF25" s="1117"/>
      <c r="UEG25" s="1117"/>
      <c r="UEH25" s="1117"/>
      <c r="UEI25" s="1117"/>
      <c r="UEJ25" s="1117"/>
      <c r="UEK25" s="1117"/>
      <c r="UEL25" s="1117"/>
      <c r="UEM25" s="1117"/>
      <c r="UEN25" s="1117"/>
      <c r="UEO25" s="1117"/>
      <c r="UEP25" s="1117"/>
      <c r="UEQ25" s="1117"/>
      <c r="UER25" s="1117"/>
      <c r="UES25" s="1117"/>
      <c r="UET25" s="1117"/>
      <c r="UEU25" s="1117"/>
      <c r="UEV25" s="1117"/>
      <c r="UEW25" s="1117"/>
      <c r="UEX25" s="1117"/>
      <c r="UEY25" s="1117"/>
      <c r="UEZ25" s="1117"/>
      <c r="UFA25" s="1117"/>
      <c r="UFB25" s="1117"/>
      <c r="UFC25" s="1117"/>
      <c r="UFD25" s="1117"/>
      <c r="UFE25" s="1117"/>
      <c r="UFF25" s="1117"/>
      <c r="UFG25" s="1117"/>
      <c r="UFH25" s="1117"/>
      <c r="UFI25" s="1117"/>
      <c r="UFJ25" s="1117"/>
      <c r="UFK25" s="1117"/>
      <c r="UFL25" s="1117"/>
      <c r="UFM25" s="1117"/>
      <c r="UFN25" s="1117"/>
      <c r="UFO25" s="1117"/>
      <c r="UFP25" s="1117"/>
      <c r="UFQ25" s="1117"/>
      <c r="UFR25" s="1117"/>
      <c r="UFS25" s="1117"/>
      <c r="UFT25" s="1117"/>
      <c r="UFU25" s="1117"/>
      <c r="UFV25" s="1117"/>
      <c r="UFW25" s="1117"/>
      <c r="UFX25" s="1117"/>
      <c r="UFY25" s="1117"/>
      <c r="UFZ25" s="1117"/>
      <c r="UGA25" s="1117"/>
      <c r="UGB25" s="1117"/>
      <c r="UGC25" s="1117"/>
      <c r="UGD25" s="1117"/>
      <c r="UGE25" s="1117"/>
      <c r="UGF25" s="1117"/>
      <c r="UGG25" s="1117"/>
      <c r="UGH25" s="1117"/>
      <c r="UGI25" s="1117"/>
      <c r="UGJ25" s="1117"/>
      <c r="UGK25" s="1117"/>
      <c r="UGL25" s="1117"/>
      <c r="UGM25" s="1117"/>
      <c r="UGN25" s="1117"/>
      <c r="UGO25" s="1117"/>
      <c r="UGP25" s="1117"/>
      <c r="UGQ25" s="1117"/>
      <c r="UGR25" s="1117"/>
      <c r="UGS25" s="1117"/>
      <c r="UGT25" s="1117"/>
      <c r="UGU25" s="1117"/>
      <c r="UGV25" s="1117"/>
      <c r="UGW25" s="1117"/>
      <c r="UGX25" s="1117"/>
      <c r="UGY25" s="1117"/>
      <c r="UGZ25" s="1117"/>
      <c r="UHA25" s="1117"/>
      <c r="UHB25" s="1117"/>
      <c r="UHC25" s="1117"/>
      <c r="UHD25" s="1117"/>
      <c r="UHE25" s="1117"/>
      <c r="UHF25" s="1117"/>
      <c r="UHG25" s="1117"/>
      <c r="UHH25" s="1117"/>
      <c r="UHI25" s="1117"/>
      <c r="UHJ25" s="1117"/>
      <c r="UHK25" s="1117"/>
      <c r="UHL25" s="1117"/>
      <c r="UHM25" s="1117"/>
      <c r="UHN25" s="1117"/>
      <c r="UHO25" s="1117"/>
      <c r="UHP25" s="1117"/>
      <c r="UHQ25" s="1117"/>
      <c r="UHR25" s="1117"/>
      <c r="UHS25" s="1117"/>
      <c r="UHT25" s="1117"/>
      <c r="UHU25" s="1117"/>
      <c r="UHV25" s="1117"/>
      <c r="UHW25" s="1117"/>
      <c r="UHX25" s="1117"/>
      <c r="UHY25" s="1117"/>
      <c r="UHZ25" s="1117"/>
      <c r="UIA25" s="1117"/>
      <c r="UIB25" s="1117"/>
      <c r="UIC25" s="1117"/>
      <c r="UID25" s="1117"/>
      <c r="UIE25" s="1117"/>
      <c r="UIF25" s="1117"/>
      <c r="UIG25" s="1117"/>
      <c r="UIH25" s="1117"/>
      <c r="UII25" s="1117"/>
      <c r="UIJ25" s="1117"/>
      <c r="UIK25" s="1117"/>
      <c r="UIL25" s="1117"/>
      <c r="UIM25" s="1117"/>
      <c r="UIN25" s="1117"/>
      <c r="UIO25" s="1117"/>
      <c r="UIP25" s="1117"/>
      <c r="UIQ25" s="1117"/>
      <c r="UIR25" s="1117"/>
      <c r="UIS25" s="1117"/>
      <c r="UIT25" s="1117"/>
      <c r="UIU25" s="1117"/>
      <c r="UIV25" s="1117"/>
      <c r="UIW25" s="1117"/>
      <c r="UIX25" s="1117"/>
      <c r="UIY25" s="1117"/>
      <c r="UIZ25" s="1117"/>
      <c r="UJA25" s="1117"/>
      <c r="UJB25" s="1117"/>
      <c r="UJC25" s="1117"/>
      <c r="UJD25" s="1117"/>
      <c r="UJE25" s="1117"/>
      <c r="UJF25" s="1117"/>
      <c r="UJG25" s="1117"/>
      <c r="UJH25" s="1117"/>
      <c r="UJI25" s="1117"/>
      <c r="UJJ25" s="1117"/>
      <c r="UJK25" s="1117"/>
      <c r="UJL25" s="1117"/>
      <c r="UJM25" s="1117"/>
      <c r="UJN25" s="1117"/>
      <c r="UJO25" s="1117"/>
      <c r="UJP25" s="1117"/>
      <c r="UJQ25" s="1117"/>
      <c r="UJR25" s="1117"/>
      <c r="UJS25" s="1117"/>
      <c r="UJT25" s="1117"/>
      <c r="UJU25" s="1117"/>
      <c r="UJV25" s="1117"/>
      <c r="UJW25" s="1117"/>
      <c r="UJX25" s="1117"/>
      <c r="UJY25" s="1117"/>
      <c r="UJZ25" s="1117"/>
      <c r="UKA25" s="1117"/>
      <c r="UKB25" s="1117"/>
      <c r="UKC25" s="1117"/>
      <c r="UKD25" s="1117"/>
      <c r="UKE25" s="1117"/>
      <c r="UKF25" s="1117"/>
      <c r="UKG25" s="1117"/>
      <c r="UKH25" s="1117"/>
      <c r="UKI25" s="1117"/>
      <c r="UKJ25" s="1117"/>
      <c r="UKK25" s="1117"/>
      <c r="UKL25" s="1117"/>
      <c r="UKM25" s="1117"/>
      <c r="UKN25" s="1117"/>
      <c r="UKO25" s="1117"/>
      <c r="UKP25" s="1117"/>
      <c r="UKQ25" s="1117"/>
      <c r="UKR25" s="1117"/>
      <c r="UKS25" s="1117"/>
      <c r="UKT25" s="1117"/>
      <c r="UKU25" s="1117"/>
      <c r="UKV25" s="1117"/>
      <c r="UKW25" s="1117"/>
      <c r="UKX25" s="1117"/>
      <c r="UKY25" s="1117"/>
      <c r="UKZ25" s="1117"/>
      <c r="ULA25" s="1117"/>
      <c r="ULB25" s="1117"/>
      <c r="ULC25" s="1117"/>
      <c r="ULD25" s="1117"/>
      <c r="ULE25" s="1117"/>
      <c r="ULF25" s="1117"/>
      <c r="ULG25" s="1117"/>
      <c r="ULH25" s="1117"/>
      <c r="ULI25" s="1117"/>
      <c r="ULJ25" s="1117"/>
      <c r="ULK25" s="1117"/>
      <c r="ULL25" s="1117"/>
      <c r="ULM25" s="1117"/>
      <c r="ULN25" s="1117"/>
      <c r="ULO25" s="1117"/>
      <c r="ULP25" s="1117"/>
      <c r="ULQ25" s="1117"/>
      <c r="ULR25" s="1117"/>
      <c r="ULS25" s="1117"/>
      <c r="ULT25" s="1117"/>
      <c r="ULU25" s="1117"/>
      <c r="ULV25" s="1117"/>
      <c r="ULW25" s="1117"/>
      <c r="ULX25" s="1117"/>
      <c r="ULY25" s="1117"/>
      <c r="ULZ25" s="1117"/>
      <c r="UMA25" s="1117"/>
      <c r="UMB25" s="1117"/>
      <c r="UMC25" s="1117"/>
      <c r="UMD25" s="1117"/>
      <c r="UME25" s="1117"/>
      <c r="UMF25" s="1117"/>
      <c r="UMG25" s="1117"/>
      <c r="UMH25" s="1117"/>
      <c r="UMI25" s="1117"/>
      <c r="UMJ25" s="1117"/>
      <c r="UMK25" s="1117"/>
      <c r="UML25" s="1117"/>
      <c r="UMM25" s="1117"/>
      <c r="UMN25" s="1117"/>
      <c r="UMO25" s="1117"/>
      <c r="UMP25" s="1117"/>
      <c r="UMQ25" s="1117"/>
      <c r="UMR25" s="1117"/>
      <c r="UMS25" s="1117"/>
      <c r="UMT25" s="1117"/>
      <c r="UMU25" s="1117"/>
      <c r="UMV25" s="1117"/>
      <c r="UMW25" s="1117"/>
      <c r="UMX25" s="1117"/>
      <c r="UMY25" s="1117"/>
      <c r="UMZ25" s="1117"/>
      <c r="UNA25" s="1117"/>
      <c r="UNB25" s="1117"/>
      <c r="UNC25" s="1117"/>
      <c r="UND25" s="1117"/>
      <c r="UNE25" s="1117"/>
      <c r="UNF25" s="1117"/>
      <c r="UNG25" s="1117"/>
      <c r="UNH25" s="1117"/>
      <c r="UNI25" s="1117"/>
      <c r="UNJ25" s="1117"/>
      <c r="UNK25" s="1117"/>
      <c r="UNL25" s="1117"/>
      <c r="UNM25" s="1117"/>
      <c r="UNN25" s="1117"/>
      <c r="UNO25" s="1117"/>
      <c r="UNP25" s="1117"/>
      <c r="UNQ25" s="1117"/>
      <c r="UNR25" s="1117"/>
      <c r="UNS25" s="1117"/>
      <c r="UNT25" s="1117"/>
      <c r="UNU25" s="1117"/>
      <c r="UNV25" s="1117"/>
      <c r="UNW25" s="1117"/>
      <c r="UNX25" s="1117"/>
      <c r="UNY25" s="1117"/>
      <c r="UNZ25" s="1117"/>
      <c r="UOA25" s="1117"/>
      <c r="UOB25" s="1117"/>
      <c r="UOC25" s="1117"/>
      <c r="UOD25" s="1117"/>
      <c r="UOE25" s="1117"/>
      <c r="UOF25" s="1117"/>
      <c r="UOG25" s="1117"/>
      <c r="UOH25" s="1117"/>
      <c r="UOI25" s="1117"/>
      <c r="UOJ25" s="1117"/>
      <c r="UOK25" s="1117"/>
      <c r="UOL25" s="1117"/>
      <c r="UOM25" s="1117"/>
      <c r="UON25" s="1117"/>
      <c r="UOO25" s="1117"/>
      <c r="UOP25" s="1117"/>
      <c r="UOQ25" s="1117"/>
      <c r="UOR25" s="1117"/>
      <c r="UOS25" s="1117"/>
      <c r="UOT25" s="1117"/>
      <c r="UOU25" s="1117"/>
      <c r="UOV25" s="1117"/>
      <c r="UOW25" s="1117"/>
      <c r="UOX25" s="1117"/>
      <c r="UOY25" s="1117"/>
      <c r="UOZ25" s="1117"/>
      <c r="UPA25" s="1117"/>
      <c r="UPB25" s="1117"/>
      <c r="UPC25" s="1117"/>
      <c r="UPD25" s="1117"/>
      <c r="UPE25" s="1117"/>
      <c r="UPF25" s="1117"/>
      <c r="UPG25" s="1117"/>
      <c r="UPH25" s="1117"/>
      <c r="UPI25" s="1117"/>
      <c r="UPJ25" s="1117"/>
      <c r="UPK25" s="1117"/>
      <c r="UPL25" s="1117"/>
      <c r="UPM25" s="1117"/>
      <c r="UPN25" s="1117"/>
      <c r="UPO25" s="1117"/>
      <c r="UPP25" s="1117"/>
      <c r="UPQ25" s="1117"/>
      <c r="UPR25" s="1117"/>
      <c r="UPS25" s="1117"/>
      <c r="UPT25" s="1117"/>
      <c r="UPU25" s="1117"/>
      <c r="UPV25" s="1117"/>
      <c r="UPW25" s="1117"/>
      <c r="UPX25" s="1117"/>
      <c r="UPY25" s="1117"/>
      <c r="UPZ25" s="1117"/>
      <c r="UQA25" s="1117"/>
      <c r="UQB25" s="1117"/>
      <c r="UQC25" s="1117"/>
      <c r="UQD25" s="1117"/>
      <c r="UQE25" s="1117"/>
      <c r="UQF25" s="1117"/>
      <c r="UQG25" s="1117"/>
      <c r="UQH25" s="1117"/>
      <c r="UQI25" s="1117"/>
      <c r="UQJ25" s="1117"/>
      <c r="UQK25" s="1117"/>
      <c r="UQL25" s="1117"/>
      <c r="UQM25" s="1117"/>
      <c r="UQN25" s="1117"/>
      <c r="UQO25" s="1117"/>
      <c r="UQP25" s="1117"/>
      <c r="UQQ25" s="1117"/>
      <c r="UQR25" s="1117"/>
      <c r="UQS25" s="1117"/>
      <c r="UQT25" s="1117"/>
      <c r="UQU25" s="1117"/>
      <c r="UQV25" s="1117"/>
      <c r="UQW25" s="1117"/>
      <c r="UQX25" s="1117"/>
      <c r="UQY25" s="1117"/>
      <c r="UQZ25" s="1117"/>
      <c r="URA25" s="1117"/>
      <c r="URB25" s="1117"/>
      <c r="URC25" s="1117"/>
      <c r="URD25" s="1117"/>
      <c r="URE25" s="1117"/>
      <c r="URF25" s="1117"/>
      <c r="URG25" s="1117"/>
      <c r="URH25" s="1117"/>
      <c r="URI25" s="1117"/>
      <c r="URJ25" s="1117"/>
      <c r="URK25" s="1117"/>
      <c r="URL25" s="1117"/>
      <c r="URM25" s="1117"/>
      <c r="URN25" s="1117"/>
      <c r="URO25" s="1117"/>
      <c r="URP25" s="1117"/>
      <c r="URQ25" s="1117"/>
      <c r="URR25" s="1117"/>
      <c r="URS25" s="1117"/>
      <c r="URT25" s="1117"/>
      <c r="URU25" s="1117"/>
      <c r="URV25" s="1117"/>
      <c r="URW25" s="1117"/>
      <c r="URX25" s="1117"/>
      <c r="URY25" s="1117"/>
      <c r="URZ25" s="1117"/>
      <c r="USA25" s="1117"/>
      <c r="USB25" s="1117"/>
      <c r="USC25" s="1117"/>
      <c r="USD25" s="1117"/>
      <c r="USE25" s="1117"/>
      <c r="USF25" s="1117"/>
      <c r="USG25" s="1117"/>
      <c r="USH25" s="1117"/>
      <c r="USI25" s="1117"/>
      <c r="USJ25" s="1117"/>
      <c r="USK25" s="1117"/>
      <c r="USL25" s="1117"/>
      <c r="USM25" s="1117"/>
      <c r="USN25" s="1117"/>
      <c r="USO25" s="1117"/>
      <c r="USP25" s="1117"/>
      <c r="USQ25" s="1117"/>
      <c r="USR25" s="1117"/>
      <c r="USS25" s="1117"/>
      <c r="UST25" s="1117"/>
      <c r="USU25" s="1117"/>
      <c r="USV25" s="1117"/>
      <c r="USW25" s="1117"/>
      <c r="USX25" s="1117"/>
      <c r="USY25" s="1117"/>
      <c r="USZ25" s="1117"/>
      <c r="UTA25" s="1117"/>
      <c r="UTB25" s="1117"/>
      <c r="UTC25" s="1117"/>
      <c r="UTD25" s="1117"/>
      <c r="UTE25" s="1117"/>
      <c r="UTF25" s="1117"/>
      <c r="UTG25" s="1117"/>
      <c r="UTH25" s="1117"/>
      <c r="UTI25" s="1117"/>
      <c r="UTJ25" s="1117"/>
      <c r="UTK25" s="1117"/>
      <c r="UTL25" s="1117"/>
      <c r="UTM25" s="1117"/>
      <c r="UTN25" s="1117"/>
      <c r="UTO25" s="1117"/>
      <c r="UTP25" s="1117"/>
      <c r="UTQ25" s="1117"/>
      <c r="UTR25" s="1117"/>
      <c r="UTS25" s="1117"/>
      <c r="UTT25" s="1117"/>
      <c r="UTU25" s="1117"/>
      <c r="UTV25" s="1117"/>
      <c r="UTW25" s="1117"/>
      <c r="UTX25" s="1117"/>
      <c r="UTY25" s="1117"/>
      <c r="UTZ25" s="1117"/>
      <c r="UUA25" s="1117"/>
      <c r="UUB25" s="1117"/>
      <c r="UUC25" s="1117"/>
      <c r="UUD25" s="1117"/>
      <c r="UUE25" s="1117"/>
      <c r="UUF25" s="1117"/>
      <c r="UUG25" s="1117"/>
      <c r="UUH25" s="1117"/>
      <c r="UUI25" s="1117"/>
      <c r="UUJ25" s="1117"/>
      <c r="UUK25" s="1117"/>
      <c r="UUL25" s="1117"/>
      <c r="UUM25" s="1117"/>
      <c r="UUN25" s="1117"/>
      <c r="UUO25" s="1117"/>
      <c r="UUP25" s="1117"/>
      <c r="UUQ25" s="1117"/>
      <c r="UUR25" s="1117"/>
      <c r="UUS25" s="1117"/>
      <c r="UUT25" s="1117"/>
      <c r="UUU25" s="1117"/>
      <c r="UUV25" s="1117"/>
      <c r="UUW25" s="1117"/>
      <c r="UUX25" s="1117"/>
      <c r="UUY25" s="1117"/>
      <c r="UUZ25" s="1117"/>
      <c r="UVA25" s="1117"/>
      <c r="UVB25" s="1117"/>
      <c r="UVC25" s="1117"/>
      <c r="UVD25" s="1117"/>
      <c r="UVE25" s="1117"/>
      <c r="UVF25" s="1117"/>
      <c r="UVG25" s="1117"/>
      <c r="UVH25" s="1117"/>
      <c r="UVI25" s="1117"/>
      <c r="UVJ25" s="1117"/>
      <c r="UVK25" s="1117"/>
      <c r="UVL25" s="1117"/>
      <c r="UVM25" s="1117"/>
      <c r="UVN25" s="1117"/>
      <c r="UVO25" s="1117"/>
      <c r="UVP25" s="1117"/>
      <c r="UVQ25" s="1117"/>
      <c r="UVR25" s="1117"/>
      <c r="UVS25" s="1117"/>
      <c r="UVT25" s="1117"/>
      <c r="UVU25" s="1117"/>
      <c r="UVV25" s="1117"/>
      <c r="UVW25" s="1117"/>
      <c r="UVX25" s="1117"/>
      <c r="UVY25" s="1117"/>
      <c r="UVZ25" s="1117"/>
      <c r="UWA25" s="1117"/>
      <c r="UWB25" s="1117"/>
      <c r="UWC25" s="1117"/>
      <c r="UWD25" s="1117"/>
      <c r="UWE25" s="1117"/>
      <c r="UWF25" s="1117"/>
      <c r="UWG25" s="1117"/>
      <c r="UWH25" s="1117"/>
      <c r="UWI25" s="1117"/>
      <c r="UWJ25" s="1117"/>
      <c r="UWK25" s="1117"/>
      <c r="UWL25" s="1117"/>
      <c r="UWM25" s="1117"/>
      <c r="UWN25" s="1117"/>
      <c r="UWO25" s="1117"/>
      <c r="UWP25" s="1117"/>
      <c r="UWQ25" s="1117"/>
      <c r="UWR25" s="1117"/>
      <c r="UWS25" s="1117"/>
      <c r="UWT25" s="1117"/>
      <c r="UWU25" s="1117"/>
      <c r="UWV25" s="1117"/>
      <c r="UWW25" s="1117"/>
      <c r="UWX25" s="1117"/>
      <c r="UWY25" s="1117"/>
      <c r="UWZ25" s="1117"/>
      <c r="UXA25" s="1117"/>
      <c r="UXB25" s="1117"/>
      <c r="UXC25" s="1117"/>
      <c r="UXD25" s="1117"/>
      <c r="UXE25" s="1117"/>
      <c r="UXF25" s="1117"/>
      <c r="UXG25" s="1117"/>
      <c r="UXH25" s="1117"/>
      <c r="UXI25" s="1117"/>
      <c r="UXJ25" s="1117"/>
      <c r="UXK25" s="1117"/>
      <c r="UXL25" s="1117"/>
      <c r="UXM25" s="1117"/>
      <c r="UXN25" s="1117"/>
      <c r="UXO25" s="1117"/>
      <c r="UXP25" s="1117"/>
      <c r="UXQ25" s="1117"/>
      <c r="UXR25" s="1117"/>
      <c r="UXS25" s="1117"/>
      <c r="UXT25" s="1117"/>
      <c r="UXU25" s="1117"/>
      <c r="UXV25" s="1117"/>
      <c r="UXW25" s="1117"/>
      <c r="UXX25" s="1117"/>
      <c r="UXY25" s="1117"/>
      <c r="UXZ25" s="1117"/>
      <c r="UYA25" s="1117"/>
      <c r="UYB25" s="1117"/>
      <c r="UYC25" s="1117"/>
      <c r="UYD25" s="1117"/>
      <c r="UYE25" s="1117"/>
      <c r="UYF25" s="1117"/>
      <c r="UYG25" s="1117"/>
      <c r="UYH25" s="1117"/>
      <c r="UYI25" s="1117"/>
      <c r="UYJ25" s="1117"/>
      <c r="UYK25" s="1117"/>
      <c r="UYL25" s="1117"/>
      <c r="UYM25" s="1117"/>
      <c r="UYN25" s="1117"/>
      <c r="UYO25" s="1117"/>
      <c r="UYP25" s="1117"/>
      <c r="UYQ25" s="1117"/>
      <c r="UYR25" s="1117"/>
      <c r="UYS25" s="1117"/>
      <c r="UYT25" s="1117"/>
      <c r="UYU25" s="1117"/>
      <c r="UYV25" s="1117"/>
      <c r="UYW25" s="1117"/>
      <c r="UYX25" s="1117"/>
      <c r="UYY25" s="1117"/>
      <c r="UYZ25" s="1117"/>
      <c r="UZA25" s="1117"/>
      <c r="UZB25" s="1117"/>
      <c r="UZC25" s="1117"/>
      <c r="UZD25" s="1117"/>
      <c r="UZE25" s="1117"/>
      <c r="UZF25" s="1117"/>
      <c r="UZG25" s="1117"/>
      <c r="UZH25" s="1117"/>
      <c r="UZI25" s="1117"/>
      <c r="UZJ25" s="1117"/>
      <c r="UZK25" s="1117"/>
      <c r="UZL25" s="1117"/>
      <c r="UZM25" s="1117"/>
      <c r="UZN25" s="1117"/>
      <c r="UZO25" s="1117"/>
      <c r="UZP25" s="1117"/>
      <c r="UZQ25" s="1117"/>
      <c r="UZR25" s="1117"/>
      <c r="UZS25" s="1117"/>
      <c r="UZT25" s="1117"/>
      <c r="UZU25" s="1117"/>
      <c r="UZV25" s="1117"/>
      <c r="UZW25" s="1117"/>
      <c r="UZX25" s="1117"/>
      <c r="UZY25" s="1117"/>
      <c r="UZZ25" s="1117"/>
      <c r="VAA25" s="1117"/>
      <c r="VAB25" s="1117"/>
      <c r="VAC25" s="1117"/>
      <c r="VAD25" s="1117"/>
      <c r="VAE25" s="1117"/>
      <c r="VAF25" s="1117"/>
      <c r="VAG25" s="1117"/>
      <c r="VAH25" s="1117"/>
      <c r="VAI25" s="1117"/>
      <c r="VAJ25" s="1117"/>
      <c r="VAK25" s="1117"/>
      <c r="VAL25" s="1117"/>
      <c r="VAM25" s="1117"/>
      <c r="VAN25" s="1117"/>
      <c r="VAO25" s="1117"/>
      <c r="VAP25" s="1117"/>
      <c r="VAQ25" s="1117"/>
      <c r="VAR25" s="1117"/>
      <c r="VAS25" s="1117"/>
      <c r="VAT25" s="1117"/>
      <c r="VAU25" s="1117"/>
      <c r="VAV25" s="1117"/>
      <c r="VAW25" s="1117"/>
      <c r="VAX25" s="1117"/>
      <c r="VAY25" s="1117"/>
      <c r="VAZ25" s="1117"/>
      <c r="VBA25" s="1117"/>
      <c r="VBB25" s="1117"/>
      <c r="VBC25" s="1117"/>
      <c r="VBD25" s="1117"/>
      <c r="VBE25" s="1117"/>
      <c r="VBF25" s="1117"/>
      <c r="VBG25" s="1117"/>
      <c r="VBH25" s="1117"/>
      <c r="VBI25" s="1117"/>
      <c r="VBJ25" s="1117"/>
      <c r="VBK25" s="1117"/>
      <c r="VBL25" s="1117"/>
      <c r="VBM25" s="1117"/>
      <c r="VBN25" s="1117"/>
      <c r="VBO25" s="1117"/>
      <c r="VBP25" s="1117"/>
      <c r="VBQ25" s="1117"/>
      <c r="VBR25" s="1117"/>
      <c r="VBS25" s="1117"/>
      <c r="VBT25" s="1117"/>
      <c r="VBU25" s="1117"/>
      <c r="VBV25" s="1117"/>
      <c r="VBW25" s="1117"/>
      <c r="VBX25" s="1117"/>
      <c r="VBY25" s="1117"/>
      <c r="VBZ25" s="1117"/>
      <c r="VCA25" s="1117"/>
      <c r="VCB25" s="1117"/>
      <c r="VCC25" s="1117"/>
      <c r="VCD25" s="1117"/>
      <c r="VCE25" s="1117"/>
      <c r="VCF25" s="1117"/>
      <c r="VCG25" s="1117"/>
      <c r="VCH25" s="1117"/>
      <c r="VCI25" s="1117"/>
      <c r="VCJ25" s="1117"/>
      <c r="VCK25" s="1117"/>
      <c r="VCL25" s="1117"/>
      <c r="VCM25" s="1117"/>
      <c r="VCN25" s="1117"/>
      <c r="VCO25" s="1117"/>
      <c r="VCP25" s="1117"/>
      <c r="VCQ25" s="1117"/>
      <c r="VCR25" s="1117"/>
      <c r="VCS25" s="1117"/>
      <c r="VCT25" s="1117"/>
      <c r="VCU25" s="1117"/>
      <c r="VCV25" s="1117"/>
      <c r="VCW25" s="1117"/>
      <c r="VCX25" s="1117"/>
      <c r="VCY25" s="1117"/>
      <c r="VCZ25" s="1117"/>
      <c r="VDA25" s="1117"/>
      <c r="VDB25" s="1117"/>
      <c r="VDC25" s="1117"/>
      <c r="VDD25" s="1117"/>
      <c r="VDE25" s="1117"/>
      <c r="VDF25" s="1117"/>
      <c r="VDG25" s="1117"/>
      <c r="VDH25" s="1117"/>
      <c r="VDI25" s="1117"/>
      <c r="VDJ25" s="1117"/>
      <c r="VDK25" s="1117"/>
      <c r="VDL25" s="1117"/>
      <c r="VDM25" s="1117"/>
      <c r="VDN25" s="1117"/>
      <c r="VDO25" s="1117"/>
      <c r="VDP25" s="1117"/>
      <c r="VDQ25" s="1117"/>
      <c r="VDR25" s="1117"/>
      <c r="VDS25" s="1117"/>
      <c r="VDT25" s="1117"/>
      <c r="VDU25" s="1117"/>
      <c r="VDV25" s="1117"/>
      <c r="VDW25" s="1117"/>
      <c r="VDX25" s="1117"/>
      <c r="VDY25" s="1117"/>
      <c r="VDZ25" s="1117"/>
      <c r="VEA25" s="1117"/>
      <c r="VEB25" s="1117"/>
      <c r="VEC25" s="1117"/>
      <c r="VED25" s="1117"/>
      <c r="VEE25" s="1117"/>
      <c r="VEF25" s="1117"/>
      <c r="VEG25" s="1117"/>
      <c r="VEH25" s="1117"/>
      <c r="VEI25" s="1117"/>
      <c r="VEJ25" s="1117"/>
      <c r="VEK25" s="1117"/>
      <c r="VEL25" s="1117"/>
      <c r="VEM25" s="1117"/>
      <c r="VEN25" s="1117"/>
      <c r="VEO25" s="1117"/>
      <c r="VEP25" s="1117"/>
      <c r="VEQ25" s="1117"/>
      <c r="VER25" s="1117"/>
      <c r="VES25" s="1117"/>
      <c r="VET25" s="1117"/>
      <c r="VEU25" s="1117"/>
      <c r="VEV25" s="1117"/>
      <c r="VEW25" s="1117"/>
      <c r="VEX25" s="1117"/>
      <c r="VEY25" s="1117"/>
      <c r="VEZ25" s="1117"/>
      <c r="VFA25" s="1117"/>
      <c r="VFB25" s="1117"/>
      <c r="VFC25" s="1117"/>
      <c r="VFD25" s="1117"/>
      <c r="VFE25" s="1117"/>
      <c r="VFF25" s="1117"/>
      <c r="VFG25" s="1117"/>
      <c r="VFH25" s="1117"/>
      <c r="VFI25" s="1117"/>
      <c r="VFJ25" s="1117"/>
      <c r="VFK25" s="1117"/>
      <c r="VFL25" s="1117"/>
      <c r="VFM25" s="1117"/>
      <c r="VFN25" s="1117"/>
      <c r="VFO25" s="1117"/>
      <c r="VFP25" s="1117"/>
      <c r="VFQ25" s="1117"/>
      <c r="VFR25" s="1117"/>
      <c r="VFS25" s="1117"/>
      <c r="VFT25" s="1117"/>
      <c r="VFU25" s="1117"/>
      <c r="VFV25" s="1117"/>
      <c r="VFW25" s="1117"/>
      <c r="VFX25" s="1117"/>
      <c r="VFY25" s="1117"/>
      <c r="VFZ25" s="1117"/>
      <c r="VGA25" s="1117"/>
      <c r="VGB25" s="1117"/>
      <c r="VGC25" s="1117"/>
      <c r="VGD25" s="1117"/>
      <c r="VGE25" s="1117"/>
      <c r="VGF25" s="1117"/>
      <c r="VGG25" s="1117"/>
      <c r="VGH25" s="1117"/>
      <c r="VGI25" s="1117"/>
      <c r="VGJ25" s="1117"/>
      <c r="VGK25" s="1117"/>
      <c r="VGL25" s="1117"/>
      <c r="VGM25" s="1117"/>
      <c r="VGN25" s="1117"/>
      <c r="VGO25" s="1117"/>
      <c r="VGP25" s="1117"/>
      <c r="VGQ25" s="1117"/>
      <c r="VGR25" s="1117"/>
      <c r="VGS25" s="1117"/>
      <c r="VGT25" s="1117"/>
      <c r="VGU25" s="1117"/>
      <c r="VGV25" s="1117"/>
      <c r="VGW25" s="1117"/>
      <c r="VGX25" s="1117"/>
      <c r="VGY25" s="1117"/>
      <c r="VGZ25" s="1117"/>
      <c r="VHA25" s="1117"/>
      <c r="VHB25" s="1117"/>
      <c r="VHC25" s="1117"/>
      <c r="VHD25" s="1117"/>
      <c r="VHE25" s="1117"/>
      <c r="VHF25" s="1117"/>
      <c r="VHG25" s="1117"/>
      <c r="VHH25" s="1117"/>
      <c r="VHI25" s="1117"/>
      <c r="VHJ25" s="1117"/>
      <c r="VHK25" s="1117"/>
      <c r="VHL25" s="1117"/>
      <c r="VHM25" s="1117"/>
      <c r="VHN25" s="1117"/>
      <c r="VHO25" s="1117"/>
      <c r="VHP25" s="1117"/>
      <c r="VHQ25" s="1117"/>
      <c r="VHR25" s="1117"/>
      <c r="VHS25" s="1117"/>
      <c r="VHT25" s="1117"/>
      <c r="VHU25" s="1117"/>
      <c r="VHV25" s="1117"/>
      <c r="VHW25" s="1117"/>
      <c r="VHX25" s="1117"/>
      <c r="VHY25" s="1117"/>
      <c r="VHZ25" s="1117"/>
      <c r="VIA25" s="1117"/>
      <c r="VIB25" s="1117"/>
      <c r="VIC25" s="1117"/>
      <c r="VID25" s="1117"/>
      <c r="VIE25" s="1117"/>
      <c r="VIF25" s="1117"/>
      <c r="VIG25" s="1117"/>
      <c r="VIH25" s="1117"/>
      <c r="VII25" s="1117"/>
      <c r="VIJ25" s="1117"/>
      <c r="VIK25" s="1117"/>
      <c r="VIL25" s="1117"/>
      <c r="VIM25" s="1117"/>
      <c r="VIN25" s="1117"/>
      <c r="VIO25" s="1117"/>
      <c r="VIP25" s="1117"/>
      <c r="VIQ25" s="1117"/>
      <c r="VIR25" s="1117"/>
      <c r="VIS25" s="1117"/>
      <c r="VIT25" s="1117"/>
      <c r="VIU25" s="1117"/>
      <c r="VIV25" s="1117"/>
      <c r="VIW25" s="1117"/>
      <c r="VIX25" s="1117"/>
      <c r="VIY25" s="1117"/>
      <c r="VIZ25" s="1117"/>
      <c r="VJA25" s="1117"/>
      <c r="VJB25" s="1117"/>
      <c r="VJC25" s="1117"/>
      <c r="VJD25" s="1117"/>
      <c r="VJE25" s="1117"/>
      <c r="VJF25" s="1117"/>
      <c r="VJG25" s="1117"/>
      <c r="VJH25" s="1117"/>
      <c r="VJI25" s="1117"/>
      <c r="VJJ25" s="1117"/>
      <c r="VJK25" s="1117"/>
      <c r="VJL25" s="1117"/>
      <c r="VJM25" s="1117"/>
      <c r="VJN25" s="1117"/>
      <c r="VJO25" s="1117"/>
      <c r="VJP25" s="1117"/>
      <c r="VJQ25" s="1117"/>
      <c r="VJR25" s="1117"/>
      <c r="VJS25" s="1117"/>
      <c r="VJT25" s="1117"/>
      <c r="VJU25" s="1117"/>
      <c r="VJV25" s="1117"/>
      <c r="VJW25" s="1117"/>
      <c r="VJX25" s="1117"/>
      <c r="VJY25" s="1117"/>
      <c r="VJZ25" s="1117"/>
      <c r="VKA25" s="1117"/>
      <c r="VKB25" s="1117"/>
      <c r="VKC25" s="1117"/>
      <c r="VKD25" s="1117"/>
      <c r="VKE25" s="1117"/>
      <c r="VKF25" s="1117"/>
      <c r="VKG25" s="1117"/>
      <c r="VKH25" s="1117"/>
      <c r="VKI25" s="1117"/>
      <c r="VKJ25" s="1117"/>
      <c r="VKK25" s="1117"/>
      <c r="VKL25" s="1117"/>
      <c r="VKM25" s="1117"/>
      <c r="VKN25" s="1117"/>
      <c r="VKO25" s="1117"/>
      <c r="VKP25" s="1117"/>
      <c r="VKQ25" s="1117"/>
      <c r="VKR25" s="1117"/>
      <c r="VKS25" s="1117"/>
      <c r="VKT25" s="1117"/>
      <c r="VKU25" s="1117"/>
      <c r="VKV25" s="1117"/>
      <c r="VKW25" s="1117"/>
      <c r="VKX25" s="1117"/>
      <c r="VKY25" s="1117"/>
      <c r="VKZ25" s="1117"/>
      <c r="VLA25" s="1117"/>
      <c r="VLB25" s="1117"/>
      <c r="VLC25" s="1117"/>
      <c r="VLD25" s="1117"/>
      <c r="VLE25" s="1117"/>
      <c r="VLF25" s="1117"/>
      <c r="VLG25" s="1117"/>
      <c r="VLH25" s="1117"/>
      <c r="VLI25" s="1117"/>
      <c r="VLJ25" s="1117"/>
      <c r="VLK25" s="1117"/>
      <c r="VLL25" s="1117"/>
      <c r="VLM25" s="1117"/>
      <c r="VLN25" s="1117"/>
      <c r="VLO25" s="1117"/>
      <c r="VLP25" s="1117"/>
      <c r="VLQ25" s="1117"/>
      <c r="VLR25" s="1117"/>
      <c r="VLS25" s="1117"/>
      <c r="VLT25" s="1117"/>
      <c r="VLU25" s="1117"/>
      <c r="VLV25" s="1117"/>
      <c r="VLW25" s="1117"/>
      <c r="VLX25" s="1117"/>
      <c r="VLY25" s="1117"/>
      <c r="VLZ25" s="1117"/>
      <c r="VMA25" s="1117"/>
      <c r="VMB25" s="1117"/>
      <c r="VMC25" s="1117"/>
      <c r="VMD25" s="1117"/>
      <c r="VME25" s="1117"/>
      <c r="VMF25" s="1117"/>
      <c r="VMG25" s="1117"/>
      <c r="VMH25" s="1117"/>
      <c r="VMI25" s="1117"/>
      <c r="VMJ25" s="1117"/>
      <c r="VMK25" s="1117"/>
      <c r="VML25" s="1117"/>
      <c r="VMM25" s="1117"/>
      <c r="VMN25" s="1117"/>
      <c r="VMO25" s="1117"/>
      <c r="VMP25" s="1117"/>
      <c r="VMQ25" s="1117"/>
      <c r="VMR25" s="1117"/>
      <c r="VMS25" s="1117"/>
      <c r="VMT25" s="1117"/>
      <c r="VMU25" s="1117"/>
      <c r="VMV25" s="1117"/>
      <c r="VMW25" s="1117"/>
      <c r="VMX25" s="1117"/>
      <c r="VMY25" s="1117"/>
      <c r="VMZ25" s="1117"/>
      <c r="VNA25" s="1117"/>
      <c r="VNB25" s="1117"/>
      <c r="VNC25" s="1117"/>
      <c r="VND25" s="1117"/>
      <c r="VNE25" s="1117"/>
      <c r="VNF25" s="1117"/>
      <c r="VNG25" s="1117"/>
      <c r="VNH25" s="1117"/>
      <c r="VNI25" s="1117"/>
      <c r="VNJ25" s="1117"/>
      <c r="VNK25" s="1117"/>
      <c r="VNL25" s="1117"/>
      <c r="VNM25" s="1117"/>
      <c r="VNN25" s="1117"/>
      <c r="VNO25" s="1117"/>
      <c r="VNP25" s="1117"/>
      <c r="VNQ25" s="1117"/>
      <c r="VNR25" s="1117"/>
      <c r="VNS25" s="1117"/>
      <c r="VNT25" s="1117"/>
      <c r="VNU25" s="1117"/>
      <c r="VNV25" s="1117"/>
      <c r="VNW25" s="1117"/>
      <c r="VNX25" s="1117"/>
      <c r="VNY25" s="1117"/>
      <c r="VNZ25" s="1117"/>
      <c r="VOA25" s="1117"/>
      <c r="VOB25" s="1117"/>
      <c r="VOC25" s="1117"/>
      <c r="VOD25" s="1117"/>
      <c r="VOE25" s="1117"/>
      <c r="VOF25" s="1117"/>
      <c r="VOG25" s="1117"/>
      <c r="VOH25" s="1117"/>
      <c r="VOI25" s="1117"/>
      <c r="VOJ25" s="1117"/>
      <c r="VOK25" s="1117"/>
      <c r="VOL25" s="1117"/>
      <c r="VOM25" s="1117"/>
      <c r="VON25" s="1117"/>
      <c r="VOO25" s="1117"/>
      <c r="VOP25" s="1117"/>
      <c r="VOQ25" s="1117"/>
      <c r="VOR25" s="1117"/>
      <c r="VOS25" s="1117"/>
      <c r="VOT25" s="1117"/>
      <c r="VOU25" s="1117"/>
      <c r="VOV25" s="1117"/>
      <c r="VOW25" s="1117"/>
      <c r="VOX25" s="1117"/>
      <c r="VOY25" s="1117"/>
      <c r="VOZ25" s="1117"/>
      <c r="VPA25" s="1117"/>
      <c r="VPB25" s="1117"/>
      <c r="VPC25" s="1117"/>
      <c r="VPD25" s="1117"/>
      <c r="VPE25" s="1117"/>
      <c r="VPF25" s="1117"/>
      <c r="VPG25" s="1117"/>
      <c r="VPH25" s="1117"/>
      <c r="VPI25" s="1117"/>
      <c r="VPJ25" s="1117"/>
      <c r="VPK25" s="1117"/>
      <c r="VPL25" s="1117"/>
      <c r="VPM25" s="1117"/>
      <c r="VPN25" s="1117"/>
      <c r="VPO25" s="1117"/>
      <c r="VPP25" s="1117"/>
      <c r="VPQ25" s="1117"/>
      <c r="VPR25" s="1117"/>
      <c r="VPS25" s="1117"/>
      <c r="VPT25" s="1117"/>
      <c r="VPU25" s="1117"/>
      <c r="VPV25" s="1117"/>
      <c r="VPW25" s="1117"/>
      <c r="VPX25" s="1117"/>
      <c r="VPY25" s="1117"/>
      <c r="VPZ25" s="1117"/>
      <c r="VQA25" s="1117"/>
      <c r="VQB25" s="1117"/>
      <c r="VQC25" s="1117"/>
      <c r="VQD25" s="1117"/>
      <c r="VQE25" s="1117"/>
      <c r="VQF25" s="1117"/>
      <c r="VQG25" s="1117"/>
      <c r="VQH25" s="1117"/>
      <c r="VQI25" s="1117"/>
      <c r="VQJ25" s="1117"/>
      <c r="VQK25" s="1117"/>
      <c r="VQL25" s="1117"/>
      <c r="VQM25" s="1117"/>
      <c r="VQN25" s="1117"/>
      <c r="VQO25" s="1117"/>
      <c r="VQP25" s="1117"/>
      <c r="VQQ25" s="1117"/>
      <c r="VQR25" s="1117"/>
      <c r="VQS25" s="1117"/>
      <c r="VQT25" s="1117"/>
      <c r="VQU25" s="1117"/>
      <c r="VQV25" s="1117"/>
      <c r="VQW25" s="1117"/>
      <c r="VQX25" s="1117"/>
      <c r="VQY25" s="1117"/>
      <c r="VQZ25" s="1117"/>
      <c r="VRA25" s="1117"/>
      <c r="VRB25" s="1117"/>
      <c r="VRC25" s="1117"/>
      <c r="VRD25" s="1117"/>
      <c r="VRE25" s="1117"/>
      <c r="VRF25" s="1117"/>
      <c r="VRG25" s="1117"/>
      <c r="VRH25" s="1117"/>
      <c r="VRI25" s="1117"/>
      <c r="VRJ25" s="1117"/>
      <c r="VRK25" s="1117"/>
      <c r="VRL25" s="1117"/>
      <c r="VRM25" s="1117"/>
      <c r="VRN25" s="1117"/>
      <c r="VRO25" s="1117"/>
      <c r="VRP25" s="1117"/>
      <c r="VRQ25" s="1117"/>
      <c r="VRR25" s="1117"/>
      <c r="VRS25" s="1117"/>
      <c r="VRT25" s="1117"/>
      <c r="VRU25" s="1117"/>
      <c r="VRV25" s="1117"/>
      <c r="VRW25" s="1117"/>
      <c r="VRX25" s="1117"/>
      <c r="VRY25" s="1117"/>
      <c r="VRZ25" s="1117"/>
      <c r="VSA25" s="1117"/>
      <c r="VSB25" s="1117"/>
      <c r="VSC25" s="1117"/>
      <c r="VSD25" s="1117"/>
      <c r="VSE25" s="1117"/>
      <c r="VSF25" s="1117"/>
      <c r="VSG25" s="1117"/>
      <c r="VSH25" s="1117"/>
      <c r="VSI25" s="1117"/>
      <c r="VSJ25" s="1117"/>
      <c r="VSK25" s="1117"/>
      <c r="VSL25" s="1117"/>
      <c r="VSM25" s="1117"/>
      <c r="VSN25" s="1117"/>
      <c r="VSO25" s="1117"/>
      <c r="VSP25" s="1117"/>
      <c r="VSQ25" s="1117"/>
      <c r="VSR25" s="1117"/>
      <c r="VSS25" s="1117"/>
      <c r="VST25" s="1117"/>
      <c r="VSU25" s="1117"/>
      <c r="VSV25" s="1117"/>
      <c r="VSW25" s="1117"/>
      <c r="VSX25" s="1117"/>
      <c r="VSY25" s="1117"/>
      <c r="VSZ25" s="1117"/>
      <c r="VTA25" s="1117"/>
      <c r="VTB25" s="1117"/>
      <c r="VTC25" s="1117"/>
      <c r="VTD25" s="1117"/>
      <c r="VTE25" s="1117"/>
      <c r="VTF25" s="1117"/>
      <c r="VTG25" s="1117"/>
      <c r="VTH25" s="1117"/>
      <c r="VTI25" s="1117"/>
      <c r="VTJ25" s="1117"/>
      <c r="VTK25" s="1117"/>
      <c r="VTL25" s="1117"/>
      <c r="VTM25" s="1117"/>
      <c r="VTN25" s="1117"/>
      <c r="VTO25" s="1117"/>
      <c r="VTP25" s="1117"/>
      <c r="VTQ25" s="1117"/>
      <c r="VTR25" s="1117"/>
      <c r="VTS25" s="1117"/>
      <c r="VTT25" s="1117"/>
      <c r="VTU25" s="1117"/>
      <c r="VTV25" s="1117"/>
      <c r="VTW25" s="1117"/>
      <c r="VTX25" s="1117"/>
      <c r="VTY25" s="1117"/>
      <c r="VTZ25" s="1117"/>
      <c r="VUA25" s="1117"/>
      <c r="VUB25" s="1117"/>
      <c r="VUC25" s="1117"/>
      <c r="VUD25" s="1117"/>
      <c r="VUE25" s="1117"/>
      <c r="VUF25" s="1117"/>
      <c r="VUG25" s="1117"/>
      <c r="VUH25" s="1117"/>
      <c r="VUI25" s="1117"/>
      <c r="VUJ25" s="1117"/>
      <c r="VUK25" s="1117"/>
      <c r="VUL25" s="1117"/>
      <c r="VUM25" s="1117"/>
      <c r="VUN25" s="1117"/>
      <c r="VUO25" s="1117"/>
      <c r="VUP25" s="1117"/>
      <c r="VUQ25" s="1117"/>
      <c r="VUR25" s="1117"/>
      <c r="VUS25" s="1117"/>
      <c r="VUT25" s="1117"/>
      <c r="VUU25" s="1117"/>
      <c r="VUV25" s="1117"/>
      <c r="VUW25" s="1117"/>
      <c r="VUX25" s="1117"/>
      <c r="VUY25" s="1117"/>
      <c r="VUZ25" s="1117"/>
      <c r="VVA25" s="1117"/>
      <c r="VVB25" s="1117"/>
      <c r="VVC25" s="1117"/>
      <c r="VVD25" s="1117"/>
      <c r="VVE25" s="1117"/>
      <c r="VVF25" s="1117"/>
      <c r="VVG25" s="1117"/>
      <c r="VVH25" s="1117"/>
      <c r="VVI25" s="1117"/>
      <c r="VVJ25" s="1117"/>
      <c r="VVK25" s="1117"/>
      <c r="VVL25" s="1117"/>
      <c r="VVM25" s="1117"/>
      <c r="VVN25" s="1117"/>
      <c r="VVO25" s="1117"/>
      <c r="VVP25" s="1117"/>
      <c r="VVQ25" s="1117"/>
      <c r="VVR25" s="1117"/>
      <c r="VVS25" s="1117"/>
      <c r="VVT25" s="1117"/>
      <c r="VVU25" s="1117"/>
      <c r="VVV25" s="1117"/>
      <c r="VVW25" s="1117"/>
      <c r="VVX25" s="1117"/>
      <c r="VVY25" s="1117"/>
      <c r="VVZ25" s="1117"/>
      <c r="VWA25" s="1117"/>
      <c r="VWB25" s="1117"/>
      <c r="VWC25" s="1117"/>
      <c r="VWD25" s="1117"/>
      <c r="VWE25" s="1117"/>
      <c r="VWF25" s="1117"/>
      <c r="VWG25" s="1117"/>
      <c r="VWH25" s="1117"/>
      <c r="VWI25" s="1117"/>
      <c r="VWJ25" s="1117"/>
      <c r="VWK25" s="1117"/>
      <c r="VWL25" s="1117"/>
      <c r="VWM25" s="1117"/>
      <c r="VWN25" s="1117"/>
      <c r="VWO25" s="1117"/>
      <c r="VWP25" s="1117"/>
      <c r="VWQ25" s="1117"/>
      <c r="VWR25" s="1117"/>
      <c r="VWS25" s="1117"/>
      <c r="VWT25" s="1117"/>
      <c r="VWU25" s="1117"/>
      <c r="VWV25" s="1117"/>
      <c r="VWW25" s="1117"/>
      <c r="VWX25" s="1117"/>
      <c r="VWY25" s="1117"/>
      <c r="VWZ25" s="1117"/>
      <c r="VXA25" s="1117"/>
      <c r="VXB25" s="1117"/>
      <c r="VXC25" s="1117"/>
      <c r="VXD25" s="1117"/>
      <c r="VXE25" s="1117"/>
      <c r="VXF25" s="1117"/>
      <c r="VXG25" s="1117"/>
      <c r="VXH25" s="1117"/>
      <c r="VXI25" s="1117"/>
      <c r="VXJ25" s="1117"/>
      <c r="VXK25" s="1117"/>
      <c r="VXL25" s="1117"/>
      <c r="VXM25" s="1117"/>
      <c r="VXN25" s="1117"/>
      <c r="VXO25" s="1117"/>
      <c r="VXP25" s="1117"/>
      <c r="VXQ25" s="1117"/>
      <c r="VXR25" s="1117"/>
      <c r="VXS25" s="1117"/>
      <c r="VXT25" s="1117"/>
      <c r="VXU25" s="1117"/>
      <c r="VXV25" s="1117"/>
      <c r="VXW25" s="1117"/>
      <c r="VXX25" s="1117"/>
      <c r="VXY25" s="1117"/>
      <c r="VXZ25" s="1117"/>
      <c r="VYA25" s="1117"/>
      <c r="VYB25" s="1117"/>
      <c r="VYC25" s="1117"/>
      <c r="VYD25" s="1117"/>
      <c r="VYE25" s="1117"/>
      <c r="VYF25" s="1117"/>
      <c r="VYG25" s="1117"/>
      <c r="VYH25" s="1117"/>
      <c r="VYI25" s="1117"/>
      <c r="VYJ25" s="1117"/>
      <c r="VYK25" s="1117"/>
      <c r="VYL25" s="1117"/>
      <c r="VYM25" s="1117"/>
      <c r="VYN25" s="1117"/>
      <c r="VYO25" s="1117"/>
      <c r="VYP25" s="1117"/>
      <c r="VYQ25" s="1117"/>
      <c r="VYR25" s="1117"/>
      <c r="VYS25" s="1117"/>
      <c r="VYT25" s="1117"/>
      <c r="VYU25" s="1117"/>
      <c r="VYV25" s="1117"/>
      <c r="VYW25" s="1117"/>
      <c r="VYX25" s="1117"/>
      <c r="VYY25" s="1117"/>
      <c r="VYZ25" s="1117"/>
      <c r="VZA25" s="1117"/>
      <c r="VZB25" s="1117"/>
      <c r="VZC25" s="1117"/>
      <c r="VZD25" s="1117"/>
      <c r="VZE25" s="1117"/>
      <c r="VZF25" s="1117"/>
      <c r="VZG25" s="1117"/>
      <c r="VZH25" s="1117"/>
      <c r="VZI25" s="1117"/>
      <c r="VZJ25" s="1117"/>
      <c r="VZK25" s="1117"/>
      <c r="VZL25" s="1117"/>
      <c r="VZM25" s="1117"/>
      <c r="VZN25" s="1117"/>
      <c r="VZO25" s="1117"/>
      <c r="VZP25" s="1117"/>
      <c r="VZQ25" s="1117"/>
      <c r="VZR25" s="1117"/>
      <c r="VZS25" s="1117"/>
      <c r="VZT25" s="1117"/>
      <c r="VZU25" s="1117"/>
      <c r="VZV25" s="1117"/>
      <c r="VZW25" s="1117"/>
      <c r="VZX25" s="1117"/>
      <c r="VZY25" s="1117"/>
      <c r="VZZ25" s="1117"/>
      <c r="WAA25" s="1117"/>
      <c r="WAB25" s="1117"/>
      <c r="WAC25" s="1117"/>
      <c r="WAD25" s="1117"/>
      <c r="WAE25" s="1117"/>
      <c r="WAF25" s="1117"/>
      <c r="WAG25" s="1117"/>
      <c r="WAH25" s="1117"/>
      <c r="WAI25" s="1117"/>
      <c r="WAJ25" s="1117"/>
      <c r="WAK25" s="1117"/>
      <c r="WAL25" s="1117"/>
      <c r="WAM25" s="1117"/>
      <c r="WAN25" s="1117"/>
      <c r="WAO25" s="1117"/>
      <c r="WAP25" s="1117"/>
      <c r="WAQ25" s="1117"/>
      <c r="WAR25" s="1117"/>
      <c r="WAS25" s="1117"/>
      <c r="WAT25" s="1117"/>
      <c r="WAU25" s="1117"/>
      <c r="WAV25" s="1117"/>
      <c r="WAW25" s="1117"/>
      <c r="WAX25" s="1117"/>
      <c r="WAY25" s="1117"/>
      <c r="WAZ25" s="1117"/>
      <c r="WBA25" s="1117"/>
      <c r="WBB25" s="1117"/>
      <c r="WBC25" s="1117"/>
      <c r="WBD25" s="1117"/>
      <c r="WBE25" s="1117"/>
      <c r="WBF25" s="1117"/>
      <c r="WBG25" s="1117"/>
      <c r="WBH25" s="1117"/>
      <c r="WBI25" s="1117"/>
      <c r="WBJ25" s="1117"/>
      <c r="WBK25" s="1117"/>
      <c r="WBL25" s="1117"/>
      <c r="WBM25" s="1117"/>
      <c r="WBN25" s="1117"/>
      <c r="WBO25" s="1117"/>
      <c r="WBP25" s="1117"/>
      <c r="WBQ25" s="1117"/>
      <c r="WBR25" s="1117"/>
      <c r="WBS25" s="1117"/>
      <c r="WBT25" s="1117"/>
      <c r="WBU25" s="1117"/>
      <c r="WBV25" s="1117"/>
      <c r="WBW25" s="1117"/>
      <c r="WBX25" s="1117"/>
      <c r="WBY25" s="1117"/>
      <c r="WBZ25" s="1117"/>
      <c r="WCA25" s="1117"/>
      <c r="WCB25" s="1117"/>
      <c r="WCC25" s="1117"/>
      <c r="WCD25" s="1117"/>
      <c r="WCE25" s="1117"/>
      <c r="WCF25" s="1117"/>
      <c r="WCG25" s="1117"/>
      <c r="WCH25" s="1117"/>
      <c r="WCI25" s="1117"/>
      <c r="WCJ25" s="1117"/>
      <c r="WCK25" s="1117"/>
      <c r="WCL25" s="1117"/>
      <c r="WCM25" s="1117"/>
      <c r="WCN25" s="1117"/>
      <c r="WCO25" s="1117"/>
      <c r="WCP25" s="1117"/>
      <c r="WCQ25" s="1117"/>
      <c r="WCR25" s="1117"/>
      <c r="WCS25" s="1117"/>
      <c r="WCT25" s="1117"/>
      <c r="WCU25" s="1117"/>
      <c r="WCV25" s="1117"/>
      <c r="WCW25" s="1117"/>
      <c r="WCX25" s="1117"/>
      <c r="WCY25" s="1117"/>
      <c r="WCZ25" s="1117"/>
      <c r="WDA25" s="1117"/>
      <c r="WDB25" s="1117"/>
      <c r="WDC25" s="1117"/>
      <c r="WDD25" s="1117"/>
      <c r="WDE25" s="1117"/>
      <c r="WDF25" s="1117"/>
      <c r="WDG25" s="1117"/>
      <c r="WDH25" s="1117"/>
      <c r="WDI25" s="1117"/>
      <c r="WDJ25" s="1117"/>
      <c r="WDK25" s="1117"/>
      <c r="WDL25" s="1117"/>
      <c r="WDM25" s="1117"/>
      <c r="WDN25" s="1117"/>
      <c r="WDO25" s="1117"/>
      <c r="WDP25" s="1117"/>
      <c r="WDQ25" s="1117"/>
      <c r="WDR25" s="1117"/>
      <c r="WDS25" s="1117"/>
      <c r="WDT25" s="1117"/>
      <c r="WDU25" s="1117"/>
      <c r="WDV25" s="1117"/>
      <c r="WDW25" s="1117"/>
      <c r="WDX25" s="1117"/>
      <c r="WDY25" s="1117"/>
      <c r="WDZ25" s="1117"/>
      <c r="WEA25" s="1117"/>
      <c r="WEB25" s="1117"/>
      <c r="WEC25" s="1117"/>
      <c r="WED25" s="1117"/>
      <c r="WEE25" s="1117"/>
      <c r="WEF25" s="1117"/>
      <c r="WEG25" s="1117"/>
      <c r="WEH25" s="1117"/>
      <c r="WEI25" s="1117"/>
      <c r="WEJ25" s="1117"/>
      <c r="WEK25" s="1117"/>
      <c r="WEL25" s="1117"/>
      <c r="WEM25" s="1117"/>
      <c r="WEN25" s="1117"/>
      <c r="WEO25" s="1117"/>
      <c r="WEP25" s="1117"/>
      <c r="WEQ25" s="1117"/>
      <c r="WER25" s="1117"/>
      <c r="WES25" s="1117"/>
      <c r="WET25" s="1117"/>
      <c r="WEU25" s="1117"/>
      <c r="WEV25" s="1117"/>
      <c r="WEW25" s="1117"/>
      <c r="WEX25" s="1117"/>
      <c r="WEY25" s="1117"/>
      <c r="WEZ25" s="1117"/>
      <c r="WFA25" s="1117"/>
      <c r="WFB25" s="1117"/>
      <c r="WFC25" s="1117"/>
      <c r="WFD25" s="1117"/>
      <c r="WFE25" s="1117"/>
      <c r="WFF25" s="1117"/>
      <c r="WFG25" s="1117"/>
      <c r="WFH25" s="1117"/>
      <c r="WFI25" s="1117"/>
      <c r="WFJ25" s="1117"/>
      <c r="WFK25" s="1117"/>
      <c r="WFL25" s="1117"/>
      <c r="WFM25" s="1117"/>
      <c r="WFN25" s="1117"/>
      <c r="WFO25" s="1117"/>
      <c r="WFP25" s="1117"/>
      <c r="WFQ25" s="1117"/>
      <c r="WFR25" s="1117"/>
      <c r="WFS25" s="1117"/>
      <c r="WFT25" s="1117"/>
      <c r="WFU25" s="1117"/>
      <c r="WFV25" s="1117"/>
      <c r="WFW25" s="1117"/>
      <c r="WFX25" s="1117"/>
      <c r="WFY25" s="1117"/>
      <c r="WFZ25" s="1117"/>
      <c r="WGA25" s="1117"/>
      <c r="WGB25" s="1117"/>
      <c r="WGC25" s="1117"/>
      <c r="WGD25" s="1117"/>
      <c r="WGE25" s="1117"/>
      <c r="WGF25" s="1117"/>
      <c r="WGG25" s="1117"/>
      <c r="WGH25" s="1117"/>
      <c r="WGI25" s="1117"/>
      <c r="WGJ25" s="1117"/>
      <c r="WGK25" s="1117"/>
      <c r="WGL25" s="1117"/>
      <c r="WGM25" s="1117"/>
      <c r="WGN25" s="1117"/>
      <c r="WGO25" s="1117"/>
      <c r="WGP25" s="1117"/>
      <c r="WGQ25" s="1117"/>
      <c r="WGR25" s="1117"/>
      <c r="WGS25" s="1117"/>
      <c r="WGT25" s="1117"/>
      <c r="WGU25" s="1117"/>
      <c r="WGV25" s="1117"/>
      <c r="WGW25" s="1117"/>
      <c r="WGX25" s="1117"/>
      <c r="WGY25" s="1117"/>
      <c r="WGZ25" s="1117"/>
      <c r="WHA25" s="1117"/>
      <c r="WHB25" s="1117"/>
      <c r="WHC25" s="1117"/>
      <c r="WHD25" s="1117"/>
      <c r="WHE25" s="1117"/>
      <c r="WHF25" s="1117"/>
      <c r="WHG25" s="1117"/>
      <c r="WHH25" s="1117"/>
      <c r="WHI25" s="1117"/>
      <c r="WHJ25" s="1117"/>
      <c r="WHK25" s="1117"/>
      <c r="WHL25" s="1117"/>
      <c r="WHM25" s="1117"/>
      <c r="WHN25" s="1117"/>
      <c r="WHO25" s="1117"/>
      <c r="WHP25" s="1117"/>
      <c r="WHQ25" s="1117"/>
      <c r="WHR25" s="1117"/>
      <c r="WHS25" s="1117"/>
      <c r="WHT25" s="1117"/>
      <c r="WHU25" s="1117"/>
      <c r="WHV25" s="1117"/>
      <c r="WHW25" s="1117"/>
      <c r="WHX25" s="1117"/>
      <c r="WHY25" s="1117"/>
      <c r="WHZ25" s="1117"/>
      <c r="WIA25" s="1117"/>
      <c r="WIB25" s="1117"/>
      <c r="WIC25" s="1117"/>
      <c r="WID25" s="1117"/>
      <c r="WIE25" s="1117"/>
      <c r="WIF25" s="1117"/>
      <c r="WIG25" s="1117"/>
      <c r="WIH25" s="1117"/>
      <c r="WII25" s="1117"/>
      <c r="WIJ25" s="1117"/>
      <c r="WIK25" s="1117"/>
      <c r="WIL25" s="1117"/>
      <c r="WIM25" s="1117"/>
      <c r="WIN25" s="1117"/>
      <c r="WIO25" s="1117"/>
      <c r="WIP25" s="1117"/>
      <c r="WIQ25" s="1117"/>
      <c r="WIR25" s="1117"/>
      <c r="WIS25" s="1117"/>
      <c r="WIT25" s="1117"/>
      <c r="WIU25" s="1117"/>
      <c r="WIV25" s="1117"/>
      <c r="WIW25" s="1117"/>
      <c r="WIX25" s="1117"/>
      <c r="WIY25" s="1117"/>
      <c r="WIZ25" s="1117"/>
      <c r="WJA25" s="1117"/>
      <c r="WJB25" s="1117"/>
      <c r="WJC25" s="1117"/>
      <c r="WJD25" s="1117"/>
      <c r="WJE25" s="1117"/>
      <c r="WJF25" s="1117"/>
      <c r="WJG25" s="1117"/>
      <c r="WJH25" s="1117"/>
      <c r="WJI25" s="1117"/>
      <c r="WJJ25" s="1117"/>
      <c r="WJK25" s="1117"/>
      <c r="WJL25" s="1117"/>
      <c r="WJM25" s="1117"/>
      <c r="WJN25" s="1117"/>
      <c r="WJO25" s="1117"/>
      <c r="WJP25" s="1117"/>
      <c r="WJQ25" s="1117"/>
      <c r="WJR25" s="1117"/>
      <c r="WJS25" s="1117"/>
      <c r="WJT25" s="1117"/>
      <c r="WJU25" s="1117"/>
      <c r="WJV25" s="1117"/>
      <c r="WJW25" s="1117"/>
      <c r="WJX25" s="1117"/>
      <c r="WJY25" s="1117"/>
      <c r="WJZ25" s="1117"/>
      <c r="WKA25" s="1117"/>
      <c r="WKB25" s="1117"/>
      <c r="WKC25" s="1117"/>
      <c r="WKD25" s="1117"/>
      <c r="WKE25" s="1117"/>
      <c r="WKF25" s="1117"/>
      <c r="WKG25" s="1117"/>
      <c r="WKH25" s="1117"/>
      <c r="WKI25" s="1117"/>
      <c r="WKJ25" s="1117"/>
      <c r="WKK25" s="1117"/>
      <c r="WKL25" s="1117"/>
      <c r="WKM25" s="1117"/>
      <c r="WKN25" s="1117"/>
      <c r="WKO25" s="1117"/>
      <c r="WKP25" s="1117"/>
      <c r="WKQ25" s="1117"/>
      <c r="WKR25" s="1117"/>
      <c r="WKS25" s="1117"/>
      <c r="WKT25" s="1117"/>
      <c r="WKU25" s="1117"/>
      <c r="WKV25" s="1117"/>
      <c r="WKW25" s="1117"/>
      <c r="WKX25" s="1117"/>
      <c r="WKY25" s="1117"/>
      <c r="WKZ25" s="1117"/>
      <c r="WLA25" s="1117"/>
      <c r="WLB25" s="1117"/>
      <c r="WLC25" s="1117"/>
      <c r="WLD25" s="1117"/>
      <c r="WLE25" s="1117"/>
      <c r="WLF25" s="1117"/>
      <c r="WLG25" s="1117"/>
      <c r="WLH25" s="1117"/>
      <c r="WLI25" s="1117"/>
      <c r="WLJ25" s="1117"/>
      <c r="WLK25" s="1117"/>
      <c r="WLL25" s="1117"/>
      <c r="WLM25" s="1117"/>
      <c r="WLN25" s="1117"/>
      <c r="WLO25" s="1117"/>
      <c r="WLP25" s="1117"/>
      <c r="WLQ25" s="1117"/>
      <c r="WLR25" s="1117"/>
      <c r="WLS25" s="1117"/>
      <c r="WLT25" s="1117"/>
      <c r="WLU25" s="1117"/>
      <c r="WLV25" s="1117"/>
      <c r="WLW25" s="1117"/>
      <c r="WLX25" s="1117"/>
      <c r="WLY25" s="1117"/>
      <c r="WLZ25" s="1117"/>
      <c r="WMA25" s="1117"/>
      <c r="WMB25" s="1117"/>
      <c r="WMC25" s="1117"/>
      <c r="WMD25" s="1117"/>
      <c r="WME25" s="1117"/>
      <c r="WMF25" s="1117"/>
      <c r="WMG25" s="1117"/>
      <c r="WMH25" s="1117"/>
      <c r="WMI25" s="1117"/>
      <c r="WMJ25" s="1117"/>
      <c r="WMK25" s="1117"/>
      <c r="WML25" s="1117"/>
      <c r="WMM25" s="1117"/>
      <c r="WMN25" s="1117"/>
      <c r="WMO25" s="1117"/>
      <c r="WMP25" s="1117"/>
      <c r="WMQ25" s="1117"/>
      <c r="WMR25" s="1117"/>
      <c r="WMS25" s="1117"/>
      <c r="WMT25" s="1117"/>
      <c r="WMU25" s="1117"/>
      <c r="WMV25" s="1117"/>
      <c r="WMW25" s="1117"/>
      <c r="WMX25" s="1117"/>
      <c r="WMY25" s="1117"/>
      <c r="WMZ25" s="1117"/>
      <c r="WNA25" s="1117"/>
      <c r="WNB25" s="1117"/>
      <c r="WNC25" s="1117"/>
      <c r="WND25" s="1117"/>
      <c r="WNE25" s="1117"/>
      <c r="WNF25" s="1117"/>
      <c r="WNG25" s="1117"/>
      <c r="WNH25" s="1117"/>
      <c r="WNI25" s="1117"/>
      <c r="WNJ25" s="1117"/>
      <c r="WNK25" s="1117"/>
      <c r="WNL25" s="1117"/>
      <c r="WNM25" s="1117"/>
      <c r="WNN25" s="1117"/>
      <c r="WNO25" s="1117"/>
      <c r="WNP25" s="1117"/>
      <c r="WNQ25" s="1117"/>
      <c r="WNR25" s="1117"/>
      <c r="WNS25" s="1117"/>
      <c r="WNT25" s="1117"/>
      <c r="WNU25" s="1117"/>
      <c r="WNV25" s="1117"/>
      <c r="WNW25" s="1117"/>
      <c r="WNX25" s="1117"/>
      <c r="WNY25" s="1117"/>
      <c r="WNZ25" s="1117"/>
      <c r="WOA25" s="1117"/>
      <c r="WOB25" s="1117"/>
      <c r="WOC25" s="1117"/>
      <c r="WOD25" s="1117"/>
      <c r="WOE25" s="1117"/>
      <c r="WOF25" s="1117"/>
      <c r="WOG25" s="1117"/>
      <c r="WOH25" s="1117"/>
      <c r="WOI25" s="1117"/>
      <c r="WOJ25" s="1117"/>
      <c r="WOK25" s="1117"/>
      <c r="WOL25" s="1117"/>
      <c r="WOM25" s="1117"/>
      <c r="WON25" s="1117"/>
      <c r="WOO25" s="1117"/>
      <c r="WOP25" s="1117"/>
      <c r="WOQ25" s="1117"/>
      <c r="WOR25" s="1117"/>
      <c r="WOS25" s="1117"/>
      <c r="WOT25" s="1117"/>
      <c r="WOU25" s="1117"/>
      <c r="WOV25" s="1117"/>
      <c r="WOW25" s="1117"/>
      <c r="WOX25" s="1117"/>
      <c r="WOY25" s="1117"/>
      <c r="WOZ25" s="1117"/>
      <c r="WPA25" s="1117"/>
      <c r="WPB25" s="1117"/>
      <c r="WPC25" s="1117"/>
      <c r="WPD25" s="1117"/>
      <c r="WPE25" s="1117"/>
      <c r="WPF25" s="1117"/>
      <c r="WPG25" s="1117"/>
      <c r="WPH25" s="1117"/>
      <c r="WPI25" s="1117"/>
      <c r="WPJ25" s="1117"/>
      <c r="WPK25" s="1117"/>
      <c r="WPL25" s="1117"/>
      <c r="WPM25" s="1117"/>
      <c r="WPN25" s="1117"/>
      <c r="WPO25" s="1117"/>
      <c r="WPP25" s="1117"/>
      <c r="WPQ25" s="1117"/>
      <c r="WPR25" s="1117"/>
      <c r="WPS25" s="1117"/>
      <c r="WPT25" s="1117"/>
      <c r="WPU25" s="1117"/>
      <c r="WPV25" s="1117"/>
      <c r="WPW25" s="1117"/>
      <c r="WPX25" s="1117"/>
      <c r="WPY25" s="1117"/>
      <c r="WPZ25" s="1117"/>
      <c r="WQA25" s="1117"/>
      <c r="WQB25" s="1117"/>
      <c r="WQC25" s="1117"/>
      <c r="WQD25" s="1117"/>
      <c r="WQE25" s="1117"/>
      <c r="WQF25" s="1117"/>
      <c r="WQG25" s="1117"/>
      <c r="WQH25" s="1117"/>
      <c r="WQI25" s="1117"/>
      <c r="WQJ25" s="1117"/>
      <c r="WQK25" s="1117"/>
      <c r="WQL25" s="1117"/>
      <c r="WQM25" s="1117"/>
      <c r="WQN25" s="1117"/>
      <c r="WQO25" s="1117"/>
      <c r="WQP25" s="1117"/>
      <c r="WQQ25" s="1117"/>
      <c r="WQR25" s="1117"/>
      <c r="WQS25" s="1117"/>
      <c r="WQT25" s="1117"/>
      <c r="WQU25" s="1117"/>
      <c r="WQV25" s="1117"/>
      <c r="WQW25" s="1117"/>
      <c r="WQX25" s="1117"/>
      <c r="WQY25" s="1117"/>
      <c r="WQZ25" s="1117"/>
      <c r="WRA25" s="1117"/>
      <c r="WRB25" s="1117"/>
      <c r="WRC25" s="1117"/>
      <c r="WRD25" s="1117"/>
      <c r="WRE25" s="1117"/>
      <c r="WRF25" s="1117"/>
      <c r="WRG25" s="1117"/>
      <c r="WRH25" s="1117"/>
      <c r="WRI25" s="1117"/>
      <c r="WRJ25" s="1117"/>
      <c r="WRK25" s="1117"/>
      <c r="WRL25" s="1117"/>
      <c r="WRM25" s="1117"/>
      <c r="WRN25" s="1117"/>
      <c r="WRO25" s="1117"/>
      <c r="WRP25" s="1117"/>
      <c r="WRQ25" s="1117"/>
      <c r="WRR25" s="1117"/>
      <c r="WRS25" s="1117"/>
      <c r="WRT25" s="1117"/>
      <c r="WRU25" s="1117"/>
      <c r="WRV25" s="1117"/>
      <c r="WRW25" s="1117"/>
      <c r="WRX25" s="1117"/>
      <c r="WRY25" s="1117"/>
      <c r="WRZ25" s="1117"/>
      <c r="WSA25" s="1117"/>
      <c r="WSB25" s="1117"/>
      <c r="WSC25" s="1117"/>
      <c r="WSD25" s="1117"/>
      <c r="WSE25" s="1117"/>
      <c r="WSF25" s="1117"/>
      <c r="WSG25" s="1117"/>
      <c r="WSH25" s="1117"/>
      <c r="WSI25" s="1117"/>
      <c r="WSJ25" s="1117"/>
      <c r="WSK25" s="1117"/>
      <c r="WSL25" s="1117"/>
      <c r="WSM25" s="1117"/>
      <c r="WSN25" s="1117"/>
      <c r="WSO25" s="1117"/>
      <c r="WSP25" s="1117"/>
      <c r="WSQ25" s="1117"/>
      <c r="WSR25" s="1117"/>
      <c r="WSS25" s="1117"/>
      <c r="WST25" s="1117"/>
      <c r="WSU25" s="1117"/>
      <c r="WSV25" s="1117"/>
      <c r="WSW25" s="1117"/>
      <c r="WSX25" s="1117"/>
      <c r="WSY25" s="1117"/>
      <c r="WSZ25" s="1117"/>
      <c r="WTA25" s="1117"/>
      <c r="WTB25" s="1117"/>
      <c r="WTC25" s="1117"/>
      <c r="WTD25" s="1117"/>
      <c r="WTE25" s="1117"/>
      <c r="WTF25" s="1117"/>
      <c r="WTG25" s="1117"/>
      <c r="WTH25" s="1117"/>
      <c r="WTI25" s="1117"/>
      <c r="WTJ25" s="1117"/>
      <c r="WTK25" s="1117"/>
      <c r="WTL25" s="1117"/>
      <c r="WTM25" s="1117"/>
      <c r="WTN25" s="1117"/>
      <c r="WTO25" s="1117"/>
      <c r="WTP25" s="1117"/>
      <c r="WTQ25" s="1117"/>
      <c r="WTR25" s="1117"/>
      <c r="WTS25" s="1117"/>
      <c r="WTT25" s="1117"/>
      <c r="WTU25" s="1117"/>
      <c r="WTV25" s="1117"/>
      <c r="WTW25" s="1117"/>
      <c r="WTX25" s="1117"/>
      <c r="WTY25" s="1117"/>
      <c r="WTZ25" s="1117"/>
      <c r="WUA25" s="1117"/>
      <c r="WUB25" s="1117"/>
      <c r="WUC25" s="1117"/>
      <c r="WUD25" s="1117"/>
      <c r="WUE25" s="1117"/>
      <c r="WUF25" s="1117"/>
      <c r="WUG25" s="1117"/>
      <c r="WUH25" s="1117"/>
      <c r="WUI25" s="1117"/>
      <c r="WUJ25" s="1117"/>
      <c r="WUK25" s="1117"/>
      <c r="WUL25" s="1117"/>
      <c r="WUM25" s="1117"/>
      <c r="WUN25" s="1117"/>
      <c r="WUO25" s="1117"/>
      <c r="WUP25" s="1117"/>
      <c r="WUQ25" s="1117"/>
      <c r="WUR25" s="1117"/>
      <c r="WUS25" s="1117"/>
      <c r="WUT25" s="1117"/>
      <c r="WUU25" s="1117"/>
      <c r="WUV25" s="1117"/>
      <c r="WUW25" s="1117"/>
      <c r="WUX25" s="1117"/>
      <c r="WUY25" s="1117"/>
      <c r="WUZ25" s="1117"/>
      <c r="WVA25" s="1117"/>
      <c r="WVB25" s="1117"/>
      <c r="WVC25" s="1117"/>
      <c r="WVD25" s="1117"/>
      <c r="WVE25" s="1117"/>
      <c r="WVF25" s="1117"/>
      <c r="WVG25" s="1117"/>
      <c r="WVH25" s="1117"/>
      <c r="WVI25" s="1117"/>
      <c r="WVJ25" s="1117"/>
      <c r="WVK25" s="1117"/>
      <c r="WVL25" s="1117"/>
      <c r="WVM25" s="1117"/>
      <c r="WVN25" s="1117"/>
      <c r="WVO25" s="1117"/>
      <c r="WVP25" s="1117"/>
      <c r="WVQ25" s="1117"/>
      <c r="WVR25" s="1117"/>
      <c r="WVS25" s="1117"/>
      <c r="WVT25" s="1117"/>
      <c r="WVU25" s="1117"/>
      <c r="WVV25" s="1117"/>
      <c r="WVW25" s="1117"/>
      <c r="WVX25" s="1117"/>
      <c r="WVY25" s="1117"/>
      <c r="WVZ25" s="1117"/>
      <c r="WWA25" s="1117"/>
      <c r="WWB25" s="1117"/>
      <c r="WWC25" s="1117"/>
      <c r="WWD25" s="1117"/>
      <c r="WWE25" s="1117"/>
      <c r="WWF25" s="1117"/>
      <c r="WWG25" s="1117"/>
      <c r="WWH25" s="1117"/>
      <c r="WWI25" s="1117"/>
      <c r="WWJ25" s="1117"/>
      <c r="WWK25" s="1117"/>
      <c r="WWL25" s="1117"/>
      <c r="WWM25" s="1117"/>
      <c r="WWN25" s="1117"/>
      <c r="WWO25" s="1117"/>
      <c r="WWP25" s="1117"/>
      <c r="WWQ25" s="1117"/>
      <c r="WWR25" s="1117"/>
      <c r="WWS25" s="1117"/>
      <c r="WWT25" s="1117"/>
      <c r="WWU25" s="1117"/>
      <c r="WWV25" s="1117"/>
      <c r="WWW25" s="1117"/>
      <c r="WWX25" s="1117"/>
      <c r="WWY25" s="1117"/>
      <c r="WWZ25" s="1117"/>
      <c r="WXA25" s="1117"/>
      <c r="WXB25" s="1117"/>
      <c r="WXC25" s="1117"/>
      <c r="WXD25" s="1117"/>
      <c r="WXE25" s="1117"/>
      <c r="WXF25" s="1117"/>
      <c r="WXG25" s="1117"/>
      <c r="WXH25" s="1117"/>
      <c r="WXI25" s="1117"/>
      <c r="WXJ25" s="1117"/>
      <c r="WXK25" s="1117"/>
      <c r="WXL25" s="1117"/>
      <c r="WXM25" s="1117"/>
      <c r="WXN25" s="1117"/>
      <c r="WXO25" s="1117"/>
      <c r="WXP25" s="1117"/>
      <c r="WXQ25" s="1117"/>
      <c r="WXR25" s="1117"/>
      <c r="WXS25" s="1117"/>
      <c r="WXT25" s="1117"/>
      <c r="WXU25" s="1117"/>
      <c r="WXV25" s="1117"/>
      <c r="WXW25" s="1117"/>
      <c r="WXX25" s="1117"/>
      <c r="WXY25" s="1117"/>
      <c r="WXZ25" s="1117"/>
      <c r="WYA25" s="1117"/>
      <c r="WYB25" s="1117"/>
      <c r="WYC25" s="1117"/>
      <c r="WYD25" s="1117"/>
      <c r="WYE25" s="1117"/>
      <c r="WYF25" s="1117"/>
      <c r="WYG25" s="1117"/>
      <c r="WYH25" s="1117"/>
      <c r="WYI25" s="1117"/>
      <c r="WYJ25" s="1117"/>
      <c r="WYK25" s="1117"/>
      <c r="WYL25" s="1117"/>
      <c r="WYM25" s="1117"/>
      <c r="WYN25" s="1117"/>
      <c r="WYO25" s="1117"/>
      <c r="WYP25" s="1117"/>
      <c r="WYQ25" s="1117"/>
      <c r="WYR25" s="1117"/>
      <c r="WYS25" s="1117"/>
      <c r="WYT25" s="1117"/>
      <c r="WYU25" s="1117"/>
      <c r="WYV25" s="1117"/>
      <c r="WYW25" s="1117"/>
      <c r="WYX25" s="1117"/>
      <c r="WYY25" s="1117"/>
      <c r="WYZ25" s="1117"/>
      <c r="WZA25" s="1117"/>
      <c r="WZB25" s="1117"/>
      <c r="WZC25" s="1117"/>
      <c r="WZD25" s="1117"/>
      <c r="WZE25" s="1117"/>
      <c r="WZF25" s="1117"/>
      <c r="WZG25" s="1117"/>
      <c r="WZH25" s="1117"/>
      <c r="WZI25" s="1117"/>
      <c r="WZJ25" s="1117"/>
      <c r="WZK25" s="1117"/>
      <c r="WZL25" s="1117"/>
      <c r="WZM25" s="1117"/>
      <c r="WZN25" s="1117"/>
      <c r="WZO25" s="1117"/>
      <c r="WZP25" s="1117"/>
      <c r="WZQ25" s="1117"/>
      <c r="WZR25" s="1117"/>
      <c r="WZS25" s="1117"/>
      <c r="WZT25" s="1117"/>
      <c r="WZU25" s="1117"/>
      <c r="WZV25" s="1117"/>
      <c r="WZW25" s="1117"/>
      <c r="WZX25" s="1117"/>
      <c r="WZY25" s="1117"/>
      <c r="WZZ25" s="1117"/>
      <c r="XAA25" s="1117"/>
      <c r="XAB25" s="1117"/>
      <c r="XAC25" s="1117"/>
      <c r="XAD25" s="1117"/>
      <c r="XAE25" s="1117"/>
      <c r="XAF25" s="1117"/>
      <c r="XAG25" s="1117"/>
      <c r="XAH25" s="1117"/>
      <c r="XAI25" s="1117"/>
      <c r="XAJ25" s="1117"/>
      <c r="XAK25" s="1117"/>
      <c r="XAL25" s="1117"/>
      <c r="XAM25" s="1117"/>
      <c r="XAN25" s="1117"/>
      <c r="XAO25" s="1117"/>
      <c r="XAP25" s="1117"/>
      <c r="XAQ25" s="1117"/>
      <c r="XAR25" s="1117"/>
      <c r="XAS25" s="1117"/>
      <c r="XAT25" s="1117"/>
      <c r="XAU25" s="1117"/>
      <c r="XAV25" s="1117"/>
      <c r="XAW25" s="1117"/>
      <c r="XAX25" s="1117"/>
      <c r="XAY25" s="1117"/>
      <c r="XAZ25" s="1117"/>
      <c r="XBA25" s="1117"/>
      <c r="XBB25" s="1117"/>
      <c r="XBC25" s="1117"/>
      <c r="XBD25" s="1117"/>
      <c r="XBE25" s="1117"/>
      <c r="XBF25" s="1117"/>
      <c r="XBG25" s="1117"/>
      <c r="XBH25" s="1117"/>
      <c r="XBI25" s="1117"/>
      <c r="XBJ25" s="1117"/>
      <c r="XBK25" s="1117"/>
      <c r="XBL25" s="1117"/>
      <c r="XBM25" s="1117"/>
      <c r="XBN25" s="1117"/>
      <c r="XBO25" s="1117"/>
      <c r="XBP25" s="1117"/>
      <c r="XBQ25" s="1117"/>
      <c r="XBR25" s="1117"/>
      <c r="XBS25" s="1117"/>
      <c r="XBT25" s="1117"/>
      <c r="XBU25" s="1117"/>
      <c r="XBV25" s="1117"/>
      <c r="XBW25" s="1117"/>
      <c r="XBX25" s="1117"/>
      <c r="XBY25" s="1117"/>
      <c r="XBZ25" s="1117"/>
      <c r="XCA25" s="1117"/>
      <c r="XCB25" s="1117"/>
      <c r="XCC25" s="1117"/>
      <c r="XCD25" s="1117"/>
      <c r="XCE25" s="1117"/>
      <c r="XCF25" s="1117"/>
      <c r="XCG25" s="1117"/>
      <c r="XCH25" s="1117"/>
      <c r="XCI25" s="1117"/>
      <c r="XCJ25" s="1117"/>
      <c r="XCK25" s="1117"/>
      <c r="XCL25" s="1117"/>
      <c r="XCM25" s="1117"/>
      <c r="XCN25" s="1117"/>
      <c r="XCO25" s="1117"/>
      <c r="XCP25" s="1117"/>
      <c r="XCQ25" s="1117"/>
      <c r="XCR25" s="1117"/>
      <c r="XCS25" s="1117"/>
      <c r="XCT25" s="1117"/>
      <c r="XCU25" s="1117"/>
      <c r="XCV25" s="1117"/>
      <c r="XCW25" s="1117"/>
      <c r="XCX25" s="1117"/>
      <c r="XCY25" s="1117"/>
      <c r="XCZ25" s="1117"/>
      <c r="XDA25" s="1117"/>
      <c r="XDB25" s="1117"/>
      <c r="XDC25" s="1117"/>
      <c r="XDD25" s="1117"/>
      <c r="XDE25" s="1117"/>
      <c r="XDF25" s="1117"/>
      <c r="XDG25" s="1117"/>
      <c r="XDH25" s="1117"/>
      <c r="XDI25" s="1117"/>
      <c r="XDJ25" s="1117"/>
      <c r="XDK25" s="1117"/>
      <c r="XDL25" s="1117"/>
      <c r="XDM25" s="1117"/>
      <c r="XDN25" s="1117"/>
      <c r="XDO25" s="1117"/>
      <c r="XDP25" s="1117"/>
      <c r="XDQ25" s="1117"/>
      <c r="XDR25" s="1117"/>
      <c r="XDS25" s="1117"/>
      <c r="XDT25" s="1117"/>
      <c r="XDU25" s="1117"/>
      <c r="XDV25" s="1117"/>
      <c r="XDW25" s="1117"/>
      <c r="XDX25" s="1117"/>
      <c r="XDY25" s="1117"/>
      <c r="XDZ25" s="1117"/>
      <c r="XEA25" s="1117"/>
      <c r="XEB25" s="1117"/>
      <c r="XEC25" s="1117"/>
      <c r="XED25" s="1117"/>
      <c r="XEE25" s="1117"/>
      <c r="XEF25" s="1117"/>
      <c r="XEG25" s="1117"/>
      <c r="XEH25" s="1117"/>
      <c r="XEI25" s="1117"/>
      <c r="XEJ25" s="1117"/>
      <c r="XEK25" s="1117"/>
      <c r="XEL25" s="1117"/>
      <c r="XEM25" s="1117"/>
      <c r="XEN25" s="1117"/>
      <c r="XEO25" s="1117"/>
      <c r="XEP25" s="1117"/>
      <c r="XEQ25" s="1117"/>
      <c r="XER25" s="1117"/>
      <c r="XES25" s="1117"/>
      <c r="XET25" s="1117"/>
      <c r="XEU25" s="1117"/>
      <c r="XEV25" s="1117"/>
      <c r="XEW25" s="1117"/>
      <c r="XEX25" s="1117"/>
      <c r="XEY25" s="1117"/>
      <c r="XEZ25" s="1117"/>
      <c r="XFA25" s="1117"/>
      <c r="XFB25" s="1117"/>
      <c r="XFC25" s="1117"/>
      <c r="XFD25" s="1117"/>
    </row>
    <row r="26" spans="1:19">
      <c r="A26" s="1116" t="s">
        <v>1752</v>
      </c>
      <c r="B26" s="1116" t="s">
        <v>1672</v>
      </c>
      <c r="C26" s="1116" t="s">
        <v>1753</v>
      </c>
      <c r="D26" s="1116">
        <v>39632.7</v>
      </c>
      <c r="E26" s="1116">
        <v>71337.4</v>
      </c>
      <c r="F26" s="1116" t="s">
        <v>1674</v>
      </c>
      <c r="G26" s="1116" t="s">
        <v>1754</v>
      </c>
      <c r="H26" s="1116">
        <v>40</v>
      </c>
      <c r="I26" s="1116" t="s">
        <v>1755</v>
      </c>
      <c r="J26" s="1116" t="s">
        <v>1677</v>
      </c>
      <c r="K26" s="1119">
        <v>45350.0004976852</v>
      </c>
      <c r="L26" s="1119">
        <v>45350.0004976852</v>
      </c>
      <c r="M26" s="1116" t="s">
        <v>1678</v>
      </c>
      <c r="N26" s="1116" t="s">
        <v>1756</v>
      </c>
      <c r="O26" s="1116">
        <v>2615</v>
      </c>
      <c r="P26" s="1116">
        <v>2615</v>
      </c>
      <c r="Q26" s="1116">
        <v>43.99</v>
      </c>
      <c r="R26" s="1116">
        <v>367</v>
      </c>
      <c r="S26" s="1116">
        <v>0</v>
      </c>
    </row>
    <row r="27" spans="1:19">
      <c r="A27" s="1116" t="s">
        <v>1757</v>
      </c>
      <c r="B27" s="1116" t="s">
        <v>1672</v>
      </c>
      <c r="C27" s="1116" t="s">
        <v>1758</v>
      </c>
      <c r="D27" s="1116">
        <v>46458.2</v>
      </c>
      <c r="E27" s="1116">
        <v>37166.56</v>
      </c>
      <c r="F27" s="1116" t="s">
        <v>1674</v>
      </c>
      <c r="G27" s="1116" t="s">
        <v>1674</v>
      </c>
      <c r="H27" s="1116">
        <v>50</v>
      </c>
      <c r="I27" s="1116" t="s">
        <v>1703</v>
      </c>
      <c r="J27" s="1116" t="s">
        <v>1677</v>
      </c>
      <c r="K27" s="1119">
        <v>45343.0004976852</v>
      </c>
      <c r="L27" s="1119">
        <v>45343.0004976852</v>
      </c>
      <c r="M27" s="1116" t="s">
        <v>1678</v>
      </c>
      <c r="N27" s="1116" t="s">
        <v>1759</v>
      </c>
      <c r="O27" s="1116">
        <v>2630</v>
      </c>
      <c r="P27" s="1116">
        <v>2630</v>
      </c>
      <c r="Q27" s="1116">
        <v>37.74</v>
      </c>
      <c r="R27" s="1116">
        <v>708</v>
      </c>
      <c r="S27" s="1116">
        <v>0</v>
      </c>
    </row>
    <row r="28" spans="1:19">
      <c r="A28" s="1116" t="s">
        <v>1760</v>
      </c>
      <c r="B28" s="1116" t="s">
        <v>1672</v>
      </c>
      <c r="C28" s="1116" t="s">
        <v>1761</v>
      </c>
      <c r="D28" s="1116">
        <v>26666.7</v>
      </c>
      <c r="E28" s="1116">
        <v>66666.75</v>
      </c>
      <c r="F28" s="1116" t="s">
        <v>1674</v>
      </c>
      <c r="G28" s="1116" t="s">
        <v>1674</v>
      </c>
      <c r="H28" s="1116">
        <v>50</v>
      </c>
      <c r="I28" s="1116" t="s">
        <v>1707</v>
      </c>
      <c r="J28" s="1116" t="s">
        <v>1677</v>
      </c>
      <c r="K28" s="1119">
        <v>45315.0004976852</v>
      </c>
      <c r="L28" s="1119">
        <v>45315.0004976852</v>
      </c>
      <c r="M28" s="1116" t="s">
        <v>1678</v>
      </c>
      <c r="N28" s="1116" t="s">
        <v>1762</v>
      </c>
      <c r="O28" s="1116">
        <v>1370</v>
      </c>
      <c r="P28" s="1116">
        <v>1370</v>
      </c>
      <c r="Q28" s="1116">
        <v>34.25</v>
      </c>
      <c r="R28" s="1116">
        <v>206</v>
      </c>
      <c r="S28" s="1116">
        <v>0</v>
      </c>
    </row>
    <row r="29" spans="1:19">
      <c r="A29" s="1116" t="s">
        <v>1763</v>
      </c>
      <c r="B29" s="1116" t="s">
        <v>1672</v>
      </c>
      <c r="C29" s="1116" t="s">
        <v>1764</v>
      </c>
      <c r="D29" s="1116">
        <v>67790.6</v>
      </c>
      <c r="E29" s="1116">
        <v>101685.9</v>
      </c>
      <c r="F29" s="1116" t="s">
        <v>1674</v>
      </c>
      <c r="G29" s="1116" t="s">
        <v>1674</v>
      </c>
      <c r="H29" s="1116">
        <v>50</v>
      </c>
      <c r="I29" s="1116" t="s">
        <v>1765</v>
      </c>
      <c r="J29" s="1116" t="s">
        <v>1677</v>
      </c>
      <c r="K29" s="1119">
        <v>45308.0004976852</v>
      </c>
      <c r="L29" s="1119">
        <v>45308.0004976852</v>
      </c>
      <c r="M29" s="1116" t="s">
        <v>1678</v>
      </c>
      <c r="N29" s="1116" t="s">
        <v>1766</v>
      </c>
      <c r="O29" s="1116">
        <v>3060</v>
      </c>
      <c r="P29" s="1116">
        <v>3060</v>
      </c>
      <c r="Q29" s="1116">
        <v>30.09</v>
      </c>
      <c r="R29" s="1116">
        <v>301</v>
      </c>
      <c r="S29" s="1116">
        <v>0</v>
      </c>
    </row>
    <row r="30" spans="1:19">
      <c r="A30" s="1116" t="s">
        <v>1767</v>
      </c>
      <c r="B30" s="1116" t="s">
        <v>1672</v>
      </c>
      <c r="C30" s="1116" t="s">
        <v>1768</v>
      </c>
      <c r="D30" s="1116">
        <v>23469.1</v>
      </c>
      <c r="E30" s="1116">
        <v>28162.92</v>
      </c>
      <c r="F30" s="1116" t="s">
        <v>1674</v>
      </c>
      <c r="G30" s="1116" t="s">
        <v>1674</v>
      </c>
      <c r="H30" s="1116">
        <v>50</v>
      </c>
      <c r="I30" s="1116" t="s">
        <v>1750</v>
      </c>
      <c r="J30" s="1116" t="s">
        <v>1677</v>
      </c>
      <c r="K30" s="1119">
        <v>45308.0004976852</v>
      </c>
      <c r="L30" s="1119">
        <v>45308.0004976852</v>
      </c>
      <c r="M30" s="1116" t="s">
        <v>1678</v>
      </c>
      <c r="N30" s="1116" t="s">
        <v>1769</v>
      </c>
      <c r="O30" s="1116">
        <v>1200</v>
      </c>
      <c r="P30" s="1116">
        <v>1200</v>
      </c>
      <c r="Q30" s="1116">
        <v>34.09</v>
      </c>
      <c r="R30" s="1116">
        <v>426</v>
      </c>
      <c r="S30" s="1116">
        <v>0</v>
      </c>
    </row>
    <row r="31" spans="1:19">
      <c r="A31" s="1116" t="s">
        <v>1760</v>
      </c>
      <c r="B31" s="1116" t="s">
        <v>1672</v>
      </c>
      <c r="C31" s="1116" t="s">
        <v>1770</v>
      </c>
      <c r="D31" s="1116">
        <v>17260.8</v>
      </c>
      <c r="E31" s="1116">
        <v>43152</v>
      </c>
      <c r="F31" s="1116" t="s">
        <v>1674</v>
      </c>
      <c r="G31" s="1116" t="s">
        <v>1674</v>
      </c>
      <c r="H31" s="1116">
        <v>50</v>
      </c>
      <c r="I31" s="1119">
        <v>38354.0004976852</v>
      </c>
      <c r="J31" s="1116" t="s">
        <v>1677</v>
      </c>
      <c r="K31" s="1119">
        <v>45287.0004976852</v>
      </c>
      <c r="L31" s="1119">
        <v>45287.0004976852</v>
      </c>
      <c r="M31" s="1116" t="s">
        <v>1678</v>
      </c>
      <c r="N31" s="1116" t="s">
        <v>1771</v>
      </c>
      <c r="O31" s="1116">
        <v>360</v>
      </c>
      <c r="P31" s="1116">
        <v>360</v>
      </c>
      <c r="Q31" s="1116">
        <v>13.9</v>
      </c>
      <c r="R31" s="1116">
        <v>83</v>
      </c>
      <c r="S31" s="1116">
        <v>0</v>
      </c>
    </row>
    <row r="32" spans="1:19">
      <c r="A32" s="1116" t="s">
        <v>1688</v>
      </c>
      <c r="B32" s="1116" t="s">
        <v>1672</v>
      </c>
      <c r="C32" s="1116" t="s">
        <v>1772</v>
      </c>
      <c r="D32" s="1116">
        <v>26080.1</v>
      </c>
      <c r="E32" s="1116">
        <v>52160.2</v>
      </c>
      <c r="F32" s="1116" t="s">
        <v>1674</v>
      </c>
      <c r="G32" s="1116" t="s">
        <v>1674</v>
      </c>
      <c r="H32" s="1116">
        <v>50</v>
      </c>
      <c r="I32" s="1116" t="s">
        <v>1699</v>
      </c>
      <c r="J32" s="1116" t="s">
        <v>1677</v>
      </c>
      <c r="K32" s="1119">
        <v>45287.0004976852</v>
      </c>
      <c r="L32" s="1119">
        <v>45287.0004976852</v>
      </c>
      <c r="M32" s="1116" t="s">
        <v>1678</v>
      </c>
      <c r="N32" s="1116" t="s">
        <v>1773</v>
      </c>
      <c r="O32" s="1116">
        <v>1220</v>
      </c>
      <c r="P32" s="1116">
        <v>1220</v>
      </c>
      <c r="Q32" s="1116">
        <v>31.19</v>
      </c>
      <c r="R32" s="1116">
        <v>234</v>
      </c>
      <c r="S32" s="1116">
        <v>0</v>
      </c>
    </row>
    <row r="33" spans="1:19">
      <c r="A33" s="1116" t="s">
        <v>1774</v>
      </c>
      <c r="B33" s="1116" t="s">
        <v>1672</v>
      </c>
      <c r="C33" s="1116" t="s">
        <v>1775</v>
      </c>
      <c r="D33" s="1116">
        <v>11937</v>
      </c>
      <c r="E33" s="1116">
        <v>23874</v>
      </c>
      <c r="F33" s="1116" t="s">
        <v>1674</v>
      </c>
      <c r="G33" s="1116" t="s">
        <v>1674</v>
      </c>
      <c r="H33" s="1116">
        <v>40</v>
      </c>
      <c r="I33" s="1116" t="s">
        <v>1686</v>
      </c>
      <c r="J33" s="1116" t="s">
        <v>1677</v>
      </c>
      <c r="K33" s="1119">
        <v>45287.0004976852</v>
      </c>
      <c r="L33" s="1119">
        <v>45287.0004976852</v>
      </c>
      <c r="M33" s="1116" t="s">
        <v>1678</v>
      </c>
      <c r="N33" s="1116" t="s">
        <v>1776</v>
      </c>
      <c r="O33" s="1116">
        <v>580</v>
      </c>
      <c r="P33" s="1116">
        <v>580</v>
      </c>
      <c r="Q33" s="1116">
        <v>32.39</v>
      </c>
      <c r="R33" s="1116">
        <v>243</v>
      </c>
      <c r="S33" s="1116">
        <v>0</v>
      </c>
    </row>
    <row r="34" spans="1:19">
      <c r="A34" s="1116" t="s">
        <v>1693</v>
      </c>
      <c r="B34" s="1116" t="s">
        <v>1672</v>
      </c>
      <c r="C34" s="1116" t="s">
        <v>1777</v>
      </c>
      <c r="D34" s="1116">
        <v>23994.8</v>
      </c>
      <c r="E34" s="1116">
        <v>35992.2</v>
      </c>
      <c r="F34" s="1116" t="s">
        <v>1674</v>
      </c>
      <c r="G34" s="1116" t="s">
        <v>1674</v>
      </c>
      <c r="H34" s="1116">
        <v>50</v>
      </c>
      <c r="I34" s="1116" t="s">
        <v>1778</v>
      </c>
      <c r="J34" s="1116" t="s">
        <v>1677</v>
      </c>
      <c r="K34" s="1119">
        <v>45287.0004976852</v>
      </c>
      <c r="L34" s="1119">
        <v>45287.0004976852</v>
      </c>
      <c r="M34" s="1116" t="s">
        <v>1678</v>
      </c>
      <c r="N34" s="1116" t="s">
        <v>1779</v>
      </c>
      <c r="O34" s="1116">
        <v>1320</v>
      </c>
      <c r="P34" s="1116">
        <v>1320</v>
      </c>
      <c r="Q34" s="1116">
        <v>36.67</v>
      </c>
      <c r="R34" s="1116">
        <v>367</v>
      </c>
      <c r="S34" s="1116">
        <v>0</v>
      </c>
    </row>
    <row r="35" spans="1:19">
      <c r="A35" s="1116" t="s">
        <v>1760</v>
      </c>
      <c r="B35" s="1116" t="s">
        <v>1672</v>
      </c>
      <c r="C35" s="1116" t="s">
        <v>1780</v>
      </c>
      <c r="D35" s="1116">
        <v>13333.3</v>
      </c>
      <c r="E35" s="1116">
        <v>33333.25</v>
      </c>
      <c r="F35" s="1116" t="s">
        <v>1674</v>
      </c>
      <c r="G35" s="1116" t="s">
        <v>1674</v>
      </c>
      <c r="H35" s="1116">
        <v>20</v>
      </c>
      <c r="I35" s="1116" t="s">
        <v>1781</v>
      </c>
      <c r="J35" s="1116" t="s">
        <v>1677</v>
      </c>
      <c r="K35" s="1119">
        <v>45287.0004976852</v>
      </c>
      <c r="L35" s="1119">
        <v>45287.0004976852</v>
      </c>
      <c r="M35" s="1116" t="s">
        <v>1678</v>
      </c>
      <c r="N35" s="1116" t="s">
        <v>1782</v>
      </c>
      <c r="O35" s="1116">
        <v>280</v>
      </c>
      <c r="P35" s="1116">
        <v>280</v>
      </c>
      <c r="Q35" s="1116">
        <v>14</v>
      </c>
      <c r="R35" s="1116">
        <v>84</v>
      </c>
      <c r="S35" s="1116">
        <v>0</v>
      </c>
    </row>
    <row r="36" spans="1:19">
      <c r="A36" s="1116" t="s">
        <v>1693</v>
      </c>
      <c r="B36" s="1116" t="s">
        <v>1672</v>
      </c>
      <c r="C36" s="1116" t="s">
        <v>1783</v>
      </c>
      <c r="D36" s="1116">
        <v>30000</v>
      </c>
      <c r="E36" s="1116">
        <v>60000</v>
      </c>
      <c r="F36" s="1116" t="s">
        <v>1674</v>
      </c>
      <c r="G36" s="1116" t="s">
        <v>1674</v>
      </c>
      <c r="H36" s="1116">
        <v>50</v>
      </c>
      <c r="I36" s="1116" t="s">
        <v>1784</v>
      </c>
      <c r="J36" s="1116" t="s">
        <v>1677</v>
      </c>
      <c r="K36" s="1119">
        <v>45287.0004976852</v>
      </c>
      <c r="L36" s="1119">
        <v>45287.0004976852</v>
      </c>
      <c r="M36" s="1116" t="s">
        <v>1678</v>
      </c>
      <c r="N36" s="1116" t="s">
        <v>1785</v>
      </c>
      <c r="O36" s="1116">
        <v>1890</v>
      </c>
      <c r="P36" s="1116">
        <v>1890</v>
      </c>
      <c r="Q36" s="1116">
        <v>42</v>
      </c>
      <c r="R36" s="1116">
        <v>315</v>
      </c>
      <c r="S36" s="1116">
        <v>0</v>
      </c>
    </row>
    <row r="37" spans="1:19">
      <c r="A37" s="1116" t="s">
        <v>1697</v>
      </c>
      <c r="B37" s="1116" t="s">
        <v>1672</v>
      </c>
      <c r="C37" s="1116" t="s">
        <v>1786</v>
      </c>
      <c r="D37" s="1116">
        <v>31170.1</v>
      </c>
      <c r="E37" s="1116">
        <v>62340.2</v>
      </c>
      <c r="F37" s="1116" t="s">
        <v>1674</v>
      </c>
      <c r="G37" s="1116" t="s">
        <v>1674</v>
      </c>
      <c r="H37" s="1116">
        <v>50</v>
      </c>
      <c r="I37" s="1116" t="s">
        <v>1699</v>
      </c>
      <c r="J37" s="1116" t="s">
        <v>1677</v>
      </c>
      <c r="K37" s="1119">
        <v>45287.0004976852</v>
      </c>
      <c r="L37" s="1119">
        <v>45287.0004976852</v>
      </c>
      <c r="M37" s="1116" t="s">
        <v>1678</v>
      </c>
      <c r="N37" s="1116" t="s">
        <v>1787</v>
      </c>
      <c r="O37" s="1116">
        <v>1590</v>
      </c>
      <c r="P37" s="1116">
        <v>1590</v>
      </c>
      <c r="Q37" s="1116">
        <v>34.01</v>
      </c>
      <c r="R37" s="1116">
        <v>255</v>
      </c>
      <c r="S37" s="1116">
        <v>0</v>
      </c>
    </row>
    <row r="38" spans="1:19">
      <c r="A38" s="1116" t="s">
        <v>1693</v>
      </c>
      <c r="B38" s="1116" t="s">
        <v>1672</v>
      </c>
      <c r="C38" s="1116" t="s">
        <v>1788</v>
      </c>
      <c r="D38" s="1116">
        <v>92861.6</v>
      </c>
      <c r="E38" s="1116">
        <v>167150.88</v>
      </c>
      <c r="F38" s="1116" t="s">
        <v>1674</v>
      </c>
      <c r="G38" s="1116" t="s">
        <v>1674</v>
      </c>
      <c r="H38" s="1116">
        <v>50</v>
      </c>
      <c r="I38" s="1116" t="s">
        <v>1714</v>
      </c>
      <c r="J38" s="1116" t="s">
        <v>1677</v>
      </c>
      <c r="K38" s="1119">
        <v>45287.0004976852</v>
      </c>
      <c r="L38" s="1119">
        <v>45287.0004976852</v>
      </c>
      <c r="M38" s="1116" t="s">
        <v>1678</v>
      </c>
      <c r="N38" s="1116" t="s">
        <v>1789</v>
      </c>
      <c r="O38" s="1116">
        <v>6970</v>
      </c>
      <c r="P38" s="1116">
        <v>6970</v>
      </c>
      <c r="Q38" s="1116">
        <v>50.04</v>
      </c>
      <c r="R38" s="1116">
        <v>417</v>
      </c>
      <c r="S38" s="1116">
        <v>0</v>
      </c>
    </row>
    <row r="39" spans="1:19">
      <c r="A39" s="1116" t="s">
        <v>1693</v>
      </c>
      <c r="B39" s="1116" t="s">
        <v>1672</v>
      </c>
      <c r="C39" s="1116" t="s">
        <v>1790</v>
      </c>
      <c r="D39" s="1116">
        <v>151165.8</v>
      </c>
      <c r="E39" s="1116">
        <v>272098.44</v>
      </c>
      <c r="F39" s="1116" t="s">
        <v>1674</v>
      </c>
      <c r="G39" s="1116" t="s">
        <v>1791</v>
      </c>
      <c r="H39" s="1116">
        <v>50</v>
      </c>
      <c r="I39" s="1116" t="s">
        <v>1714</v>
      </c>
      <c r="J39" s="1116" t="s">
        <v>1677</v>
      </c>
      <c r="K39" s="1119">
        <v>45287.0004976852</v>
      </c>
      <c r="L39" s="1119">
        <v>45287.0004976852</v>
      </c>
      <c r="M39" s="1116" t="s">
        <v>1678</v>
      </c>
      <c r="N39" s="1116" t="s">
        <v>1792</v>
      </c>
      <c r="O39" s="1116">
        <v>11340</v>
      </c>
      <c r="P39" s="1116">
        <v>11340</v>
      </c>
      <c r="Q39" s="1116">
        <v>50.01</v>
      </c>
      <c r="R39" s="1116">
        <v>417</v>
      </c>
      <c r="S39" s="1116">
        <v>0</v>
      </c>
    </row>
    <row r="40" spans="1:19">
      <c r="A40" s="1116" t="s">
        <v>1793</v>
      </c>
      <c r="B40" s="1116" t="s">
        <v>1672</v>
      </c>
      <c r="C40" s="1116" t="s">
        <v>1794</v>
      </c>
      <c r="D40" s="1116">
        <v>26000</v>
      </c>
      <c r="E40" s="1116">
        <v>52000</v>
      </c>
      <c r="F40" s="1116" t="s">
        <v>1674</v>
      </c>
      <c r="G40" s="1116" t="s">
        <v>1795</v>
      </c>
      <c r="H40" s="1116">
        <v>20</v>
      </c>
      <c r="I40" s="1116" t="s">
        <v>1686</v>
      </c>
      <c r="J40" s="1116" t="s">
        <v>1677</v>
      </c>
      <c r="K40" s="1119">
        <v>45287.0004976852</v>
      </c>
      <c r="L40" s="1119">
        <v>45287.0004976852</v>
      </c>
      <c r="M40" s="1116" t="s">
        <v>1678</v>
      </c>
      <c r="N40" s="1116" t="s">
        <v>1796</v>
      </c>
      <c r="O40" s="1116">
        <v>590</v>
      </c>
      <c r="P40" s="1116">
        <v>590</v>
      </c>
      <c r="Q40" s="1116">
        <v>15.13</v>
      </c>
      <c r="R40" s="1116">
        <v>113</v>
      </c>
      <c r="S40" s="1116">
        <v>0</v>
      </c>
    </row>
    <row r="41" spans="1:19">
      <c r="A41" s="1116" t="s">
        <v>1693</v>
      </c>
      <c r="B41" s="1116" t="s">
        <v>1672</v>
      </c>
      <c r="C41" s="1116" t="s">
        <v>1797</v>
      </c>
      <c r="D41" s="1116">
        <v>249353.4</v>
      </c>
      <c r="E41" s="1116">
        <v>448836.12</v>
      </c>
      <c r="F41" s="1116" t="s">
        <v>1674</v>
      </c>
      <c r="G41" s="1116" t="s">
        <v>1798</v>
      </c>
      <c r="H41" s="1116">
        <v>40</v>
      </c>
      <c r="I41" s="1116" t="s">
        <v>1799</v>
      </c>
      <c r="J41" s="1116" t="s">
        <v>1677</v>
      </c>
      <c r="K41" s="1119">
        <v>45282.0004976852</v>
      </c>
      <c r="L41" s="1119">
        <v>45282.0004976852</v>
      </c>
      <c r="M41" s="1116" t="s">
        <v>1678</v>
      </c>
      <c r="N41" s="1116" t="s">
        <v>1800</v>
      </c>
      <c r="O41" s="1116">
        <v>14970</v>
      </c>
      <c r="P41" s="1116">
        <v>14970</v>
      </c>
      <c r="Q41" s="1116">
        <v>40.02</v>
      </c>
      <c r="R41" s="1116">
        <v>334</v>
      </c>
      <c r="S41" s="1116">
        <v>0</v>
      </c>
    </row>
    <row r="42" spans="1:19">
      <c r="A42" s="1116" t="s">
        <v>1801</v>
      </c>
      <c r="B42" s="1116" t="s">
        <v>1672</v>
      </c>
      <c r="C42" s="1116" t="s">
        <v>1802</v>
      </c>
      <c r="D42" s="1116">
        <v>34704</v>
      </c>
      <c r="E42" s="1116">
        <v>69408</v>
      </c>
      <c r="F42" s="1116" t="s">
        <v>1674</v>
      </c>
      <c r="G42" s="1116" t="s">
        <v>1803</v>
      </c>
      <c r="H42" s="1116">
        <v>50</v>
      </c>
      <c r="I42" s="1116" t="s">
        <v>1686</v>
      </c>
      <c r="J42" s="1116" t="s">
        <v>1677</v>
      </c>
      <c r="K42" s="1119">
        <v>45254.0004976852</v>
      </c>
      <c r="L42" s="1119">
        <v>45254.0004976852</v>
      </c>
      <c r="M42" s="1116" t="s">
        <v>1678</v>
      </c>
      <c r="N42" s="1116" t="s">
        <v>1804</v>
      </c>
      <c r="O42" s="1116">
        <v>1430</v>
      </c>
      <c r="P42" s="1116">
        <v>1430</v>
      </c>
      <c r="Q42" s="1116">
        <v>27.47</v>
      </c>
      <c r="R42" s="1116">
        <v>206</v>
      </c>
      <c r="S42" s="1116">
        <v>0</v>
      </c>
    </row>
    <row r="43" spans="1:19">
      <c r="A43" s="1116" t="s">
        <v>1693</v>
      </c>
      <c r="B43" s="1116" t="s">
        <v>1672</v>
      </c>
      <c r="C43" s="1116" t="s">
        <v>1805</v>
      </c>
      <c r="D43" s="1116">
        <v>212599.7</v>
      </c>
      <c r="E43" s="1116">
        <v>382679.46</v>
      </c>
      <c r="F43" s="1116" t="s">
        <v>1674</v>
      </c>
      <c r="G43" s="1116" t="s">
        <v>1806</v>
      </c>
      <c r="H43" s="1116">
        <v>50</v>
      </c>
      <c r="I43" s="1116" t="s">
        <v>1714</v>
      </c>
      <c r="J43" s="1116" t="s">
        <v>1677</v>
      </c>
      <c r="K43" s="1119">
        <v>45247.0004976852</v>
      </c>
      <c r="L43" s="1119">
        <v>45247.0004976852</v>
      </c>
      <c r="M43" s="1116" t="s">
        <v>1678</v>
      </c>
      <c r="N43" s="1116" t="s">
        <v>1807</v>
      </c>
      <c r="O43" s="1116">
        <v>15950</v>
      </c>
      <c r="P43" s="1116">
        <v>15950</v>
      </c>
      <c r="Q43" s="1116">
        <v>50.02</v>
      </c>
      <c r="R43" s="1116">
        <v>417</v>
      </c>
      <c r="S43" s="1116">
        <v>0</v>
      </c>
    </row>
    <row r="44" spans="1:19">
      <c r="A44" s="1116" t="s">
        <v>1693</v>
      </c>
      <c r="B44" s="1116" t="s">
        <v>1672</v>
      </c>
      <c r="C44" s="1116" t="s">
        <v>1808</v>
      </c>
      <c r="D44" s="1116">
        <v>83400.2</v>
      </c>
      <c r="E44" s="1116">
        <v>166800.4</v>
      </c>
      <c r="F44" s="1116" t="s">
        <v>1674</v>
      </c>
      <c r="G44" s="1116" t="s">
        <v>1798</v>
      </c>
      <c r="H44" s="1116">
        <v>35</v>
      </c>
      <c r="I44" s="1116" t="s">
        <v>1809</v>
      </c>
      <c r="J44" s="1116" t="s">
        <v>1677</v>
      </c>
      <c r="K44" s="1119">
        <v>45247.0004976852</v>
      </c>
      <c r="L44" s="1119">
        <v>45247.0004976852</v>
      </c>
      <c r="M44" s="1116" t="s">
        <v>1678</v>
      </c>
      <c r="N44" s="1116" t="s">
        <v>1810</v>
      </c>
      <c r="O44" s="1116">
        <v>4380</v>
      </c>
      <c r="P44" s="1116">
        <v>4380</v>
      </c>
      <c r="Q44" s="1116">
        <v>35.01</v>
      </c>
      <c r="R44" s="1116">
        <v>263</v>
      </c>
      <c r="S44" s="1116">
        <v>0</v>
      </c>
    </row>
    <row r="45" s="1115" customFormat="1" spans="1:19">
      <c r="A45" s="1115" t="s">
        <v>1811</v>
      </c>
      <c r="B45" s="1115" t="s">
        <v>1672</v>
      </c>
      <c r="C45" s="1115" t="s">
        <v>1812</v>
      </c>
      <c r="D45" s="1115">
        <v>4504.1</v>
      </c>
      <c r="E45" s="1115">
        <v>5404.92</v>
      </c>
      <c r="F45" s="1115" t="s">
        <v>1674</v>
      </c>
      <c r="G45" s="1115" t="s">
        <v>1813</v>
      </c>
      <c r="H45" s="1115" t="s">
        <v>1675</v>
      </c>
      <c r="I45" s="1115" t="s">
        <v>1750</v>
      </c>
      <c r="J45" s="1115" t="s">
        <v>1677</v>
      </c>
      <c r="K45" s="1120">
        <v>45231.0004976852</v>
      </c>
      <c r="L45" s="1120">
        <v>45231.0004976852</v>
      </c>
      <c r="M45" s="1115" t="s">
        <v>1678</v>
      </c>
      <c r="N45" s="1115" t="s">
        <v>1814</v>
      </c>
      <c r="O45" s="1115">
        <v>304</v>
      </c>
      <c r="P45" s="1115">
        <v>304</v>
      </c>
      <c r="Q45" s="1115">
        <v>45</v>
      </c>
      <c r="R45" s="1115">
        <v>562</v>
      </c>
      <c r="S45" s="1115">
        <v>0</v>
      </c>
    </row>
    <row r="46" s="1116" customFormat="1" spans="1:19">
      <c r="A46" s="1116" t="s">
        <v>1763</v>
      </c>
      <c r="B46" s="1116" t="s">
        <v>1672</v>
      </c>
      <c r="C46" s="1116" t="s">
        <v>1815</v>
      </c>
      <c r="D46" s="1116">
        <v>26746.7</v>
      </c>
      <c r="E46" s="1116">
        <v>40120.05</v>
      </c>
      <c r="F46" s="1116" t="s">
        <v>1674</v>
      </c>
      <c r="G46" s="1116" t="s">
        <v>1816</v>
      </c>
      <c r="H46" s="1116" t="s">
        <v>1675</v>
      </c>
      <c r="I46" s="1116" t="s">
        <v>1817</v>
      </c>
      <c r="J46" s="1116" t="s">
        <v>1677</v>
      </c>
      <c r="K46" s="1119">
        <v>45231.0004976852</v>
      </c>
      <c r="L46" s="1119">
        <v>45231.0004976852</v>
      </c>
      <c r="M46" s="1116" t="s">
        <v>1678</v>
      </c>
      <c r="N46" s="1116" t="s">
        <v>1818</v>
      </c>
      <c r="O46" s="1116">
        <v>1210</v>
      </c>
      <c r="P46" s="1116">
        <v>1210</v>
      </c>
      <c r="Q46" s="1116">
        <v>30.16</v>
      </c>
      <c r="R46" s="1116">
        <v>302</v>
      </c>
      <c r="S46" s="1116">
        <v>0</v>
      </c>
    </row>
    <row r="47" s="1116" customFormat="1" spans="1:19">
      <c r="A47" s="1116" t="s">
        <v>1819</v>
      </c>
      <c r="B47" s="1116" t="s">
        <v>1672</v>
      </c>
      <c r="C47" s="1116" t="s">
        <v>1820</v>
      </c>
      <c r="D47" s="1116">
        <v>18355.4</v>
      </c>
      <c r="E47" s="1116">
        <v>36710.8</v>
      </c>
      <c r="F47" s="1116" t="s">
        <v>1674</v>
      </c>
      <c r="G47" s="1116" t="s">
        <v>1821</v>
      </c>
      <c r="H47" s="1116" t="s">
        <v>1711</v>
      </c>
      <c r="I47" s="1119">
        <v>36740.0004976852</v>
      </c>
      <c r="J47" s="1116" t="s">
        <v>1677</v>
      </c>
      <c r="K47" s="1119">
        <v>45231.0004976852</v>
      </c>
      <c r="L47" s="1119">
        <v>45231.0004976852</v>
      </c>
      <c r="M47" s="1116" t="s">
        <v>1678</v>
      </c>
      <c r="N47" s="1116" t="s">
        <v>1822</v>
      </c>
      <c r="O47" s="1116">
        <v>235</v>
      </c>
      <c r="P47" s="1116">
        <v>235</v>
      </c>
      <c r="Q47" s="1116">
        <v>8.54</v>
      </c>
      <c r="R47" s="1116">
        <v>64</v>
      </c>
      <c r="S47" s="1116">
        <v>0</v>
      </c>
    </row>
    <row r="48" s="1116" customFormat="1" spans="1:19">
      <c r="A48" s="1116" t="s">
        <v>1823</v>
      </c>
      <c r="B48" s="1116" t="s">
        <v>1672</v>
      </c>
      <c r="C48" s="1116" t="s">
        <v>1824</v>
      </c>
      <c r="D48" s="1116">
        <v>65000</v>
      </c>
      <c r="E48" s="1116">
        <v>130000</v>
      </c>
      <c r="F48" s="1116" t="s">
        <v>1674</v>
      </c>
      <c r="G48" s="1116" t="s">
        <v>1825</v>
      </c>
      <c r="H48" s="1116" t="s">
        <v>1675</v>
      </c>
      <c r="I48" s="1116" t="s">
        <v>1699</v>
      </c>
      <c r="J48" s="1116" t="s">
        <v>1677</v>
      </c>
      <c r="K48" s="1119">
        <v>45231.0004976852</v>
      </c>
      <c r="L48" s="1119">
        <v>45231.0004976852</v>
      </c>
      <c r="M48" s="1116" t="s">
        <v>1678</v>
      </c>
      <c r="N48" s="1116" t="s">
        <v>1826</v>
      </c>
      <c r="O48" s="1116">
        <v>3670</v>
      </c>
      <c r="P48" s="1116">
        <v>3670</v>
      </c>
      <c r="Q48" s="1116">
        <v>37.64</v>
      </c>
      <c r="R48" s="1116">
        <v>282</v>
      </c>
      <c r="S48" s="1116">
        <v>0</v>
      </c>
    </row>
    <row r="49" s="1116" customFormat="1" spans="1:19">
      <c r="A49" s="1116" t="s">
        <v>1671</v>
      </c>
      <c r="B49" s="1116" t="s">
        <v>1672</v>
      </c>
      <c r="C49" s="1116" t="s">
        <v>1827</v>
      </c>
      <c r="D49" s="1116">
        <v>20010</v>
      </c>
      <c r="E49" s="1116">
        <v>40020</v>
      </c>
      <c r="F49" s="1116" t="s">
        <v>1674</v>
      </c>
      <c r="G49" s="1116" t="s">
        <v>1828</v>
      </c>
      <c r="H49" s="1116" t="s">
        <v>1675</v>
      </c>
      <c r="I49" s="1116" t="s">
        <v>1734</v>
      </c>
      <c r="J49" s="1116" t="s">
        <v>1677</v>
      </c>
      <c r="K49" s="1119">
        <v>45231.0004976852</v>
      </c>
      <c r="L49" s="1119">
        <v>45231.0004976852</v>
      </c>
      <c r="M49" s="1116" t="s">
        <v>1678</v>
      </c>
      <c r="N49" s="1116" t="s">
        <v>1829</v>
      </c>
      <c r="O49" s="1116">
        <v>1080</v>
      </c>
      <c r="P49" s="1116">
        <v>1080</v>
      </c>
      <c r="Q49" s="1116">
        <v>35.98</v>
      </c>
      <c r="R49" s="1116">
        <v>270</v>
      </c>
      <c r="S49" s="1116">
        <v>0</v>
      </c>
    </row>
    <row r="50" s="1116" customFormat="1" spans="1:19">
      <c r="A50" s="1116" t="s">
        <v>1830</v>
      </c>
      <c r="B50" s="1116" t="s">
        <v>1672</v>
      </c>
      <c r="C50" s="1116" t="s">
        <v>1831</v>
      </c>
      <c r="D50" s="1116">
        <v>85013</v>
      </c>
      <c r="E50" s="1116">
        <v>170000</v>
      </c>
      <c r="F50" s="1116" t="s">
        <v>1674</v>
      </c>
      <c r="G50" s="1116" t="s">
        <v>1674</v>
      </c>
      <c r="H50" s="1116" t="s">
        <v>1675</v>
      </c>
      <c r="I50" s="1116" t="s">
        <v>1832</v>
      </c>
      <c r="J50" s="1116" t="s">
        <v>1677</v>
      </c>
      <c r="K50" s="1119">
        <v>45196.0004976852</v>
      </c>
      <c r="L50" s="1119">
        <v>45196.0004976852</v>
      </c>
      <c r="M50" s="1116" t="s">
        <v>1678</v>
      </c>
      <c r="N50" s="1116" t="s">
        <v>1833</v>
      </c>
      <c r="O50" s="1116">
        <v>3500</v>
      </c>
      <c r="P50" s="1116">
        <v>3500</v>
      </c>
      <c r="Q50" s="1116">
        <v>27.45</v>
      </c>
      <c r="R50" s="1116">
        <v>206</v>
      </c>
      <c r="S50" s="1116">
        <v>0</v>
      </c>
    </row>
    <row r="51" s="1117" customFormat="1" spans="1:19">
      <c r="A51" s="1117" t="s">
        <v>1834</v>
      </c>
      <c r="B51" s="1117" t="s">
        <v>1672</v>
      </c>
      <c r="C51" s="1117" t="s">
        <v>1835</v>
      </c>
      <c r="D51" s="1117">
        <v>11795.2</v>
      </c>
      <c r="E51" s="1117">
        <v>17692.8</v>
      </c>
      <c r="F51" s="1117" t="s">
        <v>1674</v>
      </c>
      <c r="G51" s="1117" t="s">
        <v>1674</v>
      </c>
      <c r="H51" s="1117" t="s">
        <v>1675</v>
      </c>
      <c r="I51" s="1117" t="s">
        <v>1765</v>
      </c>
      <c r="J51" s="1117" t="s">
        <v>1677</v>
      </c>
      <c r="K51" s="1121">
        <v>45196.0004976852</v>
      </c>
      <c r="L51" s="1121">
        <v>45196.0004976852</v>
      </c>
      <c r="M51" s="1117" t="s">
        <v>1678</v>
      </c>
      <c r="N51" s="1117" t="s">
        <v>1836</v>
      </c>
      <c r="O51" s="1117">
        <v>600</v>
      </c>
      <c r="P51" s="1117">
        <v>600</v>
      </c>
      <c r="Q51" s="1117">
        <v>33.91</v>
      </c>
      <c r="R51" s="1117">
        <v>339</v>
      </c>
      <c r="S51" s="1117">
        <v>0</v>
      </c>
    </row>
    <row r="52" s="1116" customFormat="1" spans="1:19">
      <c r="A52" s="1116" t="s">
        <v>1693</v>
      </c>
      <c r="B52" s="1116" t="s">
        <v>1672</v>
      </c>
      <c r="C52" s="1116" t="s">
        <v>1837</v>
      </c>
      <c r="D52" s="1116">
        <v>60237.4</v>
      </c>
      <c r="E52" s="1116">
        <v>108427.32</v>
      </c>
      <c r="F52" s="1116" t="s">
        <v>1674</v>
      </c>
      <c r="G52" s="1116" t="s">
        <v>1674</v>
      </c>
      <c r="H52" s="1116" t="s">
        <v>1675</v>
      </c>
      <c r="I52" s="1116" t="s">
        <v>1714</v>
      </c>
      <c r="J52" s="1116" t="s">
        <v>1677</v>
      </c>
      <c r="K52" s="1119">
        <v>45189.0004976852</v>
      </c>
      <c r="L52" s="1119">
        <v>45189.0004976852</v>
      </c>
      <c r="M52" s="1116" t="s">
        <v>1678</v>
      </c>
      <c r="N52" s="1116" t="s">
        <v>1838</v>
      </c>
      <c r="O52" s="1116">
        <v>3380</v>
      </c>
      <c r="P52" s="1116">
        <v>3380</v>
      </c>
      <c r="Q52" s="1116">
        <v>37.41</v>
      </c>
      <c r="R52" s="1116">
        <v>312</v>
      </c>
      <c r="S52" s="1116">
        <v>0</v>
      </c>
    </row>
    <row r="53" s="1116" customFormat="1" spans="1:19">
      <c r="A53" s="1116" t="s">
        <v>1693</v>
      </c>
      <c r="B53" s="1116" t="s">
        <v>1672</v>
      </c>
      <c r="C53" s="1116" t="s">
        <v>1839</v>
      </c>
      <c r="D53" s="1116">
        <v>182677.9</v>
      </c>
      <c r="E53" s="1116">
        <v>328820.22</v>
      </c>
      <c r="F53" s="1116" t="s">
        <v>1674</v>
      </c>
      <c r="G53" s="1116" t="s">
        <v>1674</v>
      </c>
      <c r="H53" s="1116" t="s">
        <v>1675</v>
      </c>
      <c r="I53" s="1116" t="s">
        <v>1714</v>
      </c>
      <c r="J53" s="1116" t="s">
        <v>1677</v>
      </c>
      <c r="K53" s="1119">
        <v>45189.0004976852</v>
      </c>
      <c r="L53" s="1119">
        <v>45189.0004976852</v>
      </c>
      <c r="M53" s="1116" t="s">
        <v>1678</v>
      </c>
      <c r="N53" s="1116" t="s">
        <v>1840</v>
      </c>
      <c r="O53" s="1116">
        <v>13710</v>
      </c>
      <c r="P53" s="1116">
        <v>13710</v>
      </c>
      <c r="Q53" s="1116">
        <v>50.03</v>
      </c>
      <c r="R53" s="1116">
        <v>417</v>
      </c>
      <c r="S53" s="1116">
        <v>0</v>
      </c>
    </row>
    <row r="54" s="1116" customFormat="1" spans="1:19">
      <c r="A54" s="1116" t="s">
        <v>1841</v>
      </c>
      <c r="B54" s="1116" t="s">
        <v>1672</v>
      </c>
      <c r="C54" s="1116" t="s">
        <v>1842</v>
      </c>
      <c r="D54" s="1116">
        <v>47202</v>
      </c>
      <c r="E54" s="1116">
        <v>42481.8</v>
      </c>
      <c r="F54" s="1116" t="s">
        <v>1674</v>
      </c>
      <c r="G54" s="1116" t="s">
        <v>1674</v>
      </c>
      <c r="H54" s="1116" t="s">
        <v>1675</v>
      </c>
      <c r="I54" s="1116" t="s">
        <v>1843</v>
      </c>
      <c r="J54" s="1116" t="s">
        <v>1677</v>
      </c>
      <c r="K54" s="1119">
        <v>45217.0004976852</v>
      </c>
      <c r="L54" s="1119">
        <v>45217.0004976852</v>
      </c>
      <c r="M54" s="1116" t="s">
        <v>1678</v>
      </c>
      <c r="N54" s="1116" t="s">
        <v>1844</v>
      </c>
      <c r="O54" s="1116">
        <v>4110</v>
      </c>
      <c r="P54" s="1116">
        <v>4110</v>
      </c>
      <c r="Q54" s="1116">
        <v>58.05</v>
      </c>
      <c r="R54" s="1116">
        <v>967</v>
      </c>
      <c r="S54" s="1116">
        <v>0</v>
      </c>
    </row>
    <row r="55" s="1116" customFormat="1" spans="1:19">
      <c r="A55" s="1116" t="s">
        <v>1725</v>
      </c>
      <c r="B55" s="1116" t="s">
        <v>1672</v>
      </c>
      <c r="C55" s="1116" t="s">
        <v>1845</v>
      </c>
      <c r="D55" s="1116">
        <v>4213.3</v>
      </c>
      <c r="E55" s="1116">
        <v>6319.95</v>
      </c>
      <c r="F55" s="1116" t="s">
        <v>1674</v>
      </c>
      <c r="G55" s="1116" t="s">
        <v>1674</v>
      </c>
      <c r="H55" s="1116" t="s">
        <v>1846</v>
      </c>
      <c r="I55" s="1116" t="s">
        <v>1847</v>
      </c>
      <c r="J55" s="1116" t="s">
        <v>1677</v>
      </c>
      <c r="K55" s="1119">
        <v>45189.0004976852</v>
      </c>
      <c r="L55" s="1119">
        <v>45189.0004976852</v>
      </c>
      <c r="M55" s="1116" t="s">
        <v>1678</v>
      </c>
      <c r="N55" s="1116" t="s">
        <v>1848</v>
      </c>
      <c r="O55" s="1116">
        <v>160</v>
      </c>
      <c r="P55" s="1116">
        <v>160</v>
      </c>
      <c r="Q55" s="1116">
        <v>25.32</v>
      </c>
      <c r="R55" s="1116">
        <v>253</v>
      </c>
      <c r="S55" s="1116">
        <v>0</v>
      </c>
    </row>
    <row r="56" s="1116" customFormat="1" spans="1:19">
      <c r="A56" s="1116" t="s">
        <v>1693</v>
      </c>
      <c r="B56" s="1116" t="s">
        <v>1672</v>
      </c>
      <c r="C56" s="1116" t="s">
        <v>1849</v>
      </c>
      <c r="D56" s="1116">
        <v>103743.2</v>
      </c>
      <c r="E56" s="1116">
        <v>186737.76</v>
      </c>
      <c r="F56" s="1116" t="s">
        <v>1674</v>
      </c>
      <c r="G56" s="1116" t="s">
        <v>1674</v>
      </c>
      <c r="H56" s="1116" t="s">
        <v>1675</v>
      </c>
      <c r="I56" s="1116" t="s">
        <v>1714</v>
      </c>
      <c r="J56" s="1116" t="s">
        <v>1677</v>
      </c>
      <c r="K56" s="1119">
        <v>45189.0004976852</v>
      </c>
      <c r="L56" s="1119">
        <v>45189.0004976852</v>
      </c>
      <c r="M56" s="1116" t="s">
        <v>1678</v>
      </c>
      <c r="N56" s="1116" t="s">
        <v>1850</v>
      </c>
      <c r="O56" s="1116">
        <v>7790</v>
      </c>
      <c r="P56" s="1116">
        <v>7790</v>
      </c>
      <c r="Q56" s="1116">
        <v>50.06</v>
      </c>
      <c r="R56" s="1116">
        <v>417</v>
      </c>
      <c r="S56" s="1116">
        <v>0</v>
      </c>
    </row>
    <row r="57" s="1116" customFormat="1" spans="1:19">
      <c r="A57" s="1116" t="s">
        <v>1851</v>
      </c>
      <c r="B57" s="1116" t="s">
        <v>1672</v>
      </c>
      <c r="C57" s="1116" t="s">
        <v>1852</v>
      </c>
      <c r="D57" s="1116">
        <v>10185.8</v>
      </c>
      <c r="E57" s="1116">
        <v>10185.8</v>
      </c>
      <c r="F57" s="1116" t="s">
        <v>1674</v>
      </c>
      <c r="G57" s="1116" t="s">
        <v>1674</v>
      </c>
      <c r="H57" s="1116" t="s">
        <v>1675</v>
      </c>
      <c r="I57" s="1116" t="s">
        <v>1853</v>
      </c>
      <c r="J57" s="1116" t="s">
        <v>1677</v>
      </c>
      <c r="K57" s="1119">
        <v>45182.0004976852</v>
      </c>
      <c r="L57" s="1119">
        <v>45182.0004976852</v>
      </c>
      <c r="M57" s="1116" t="s">
        <v>1678</v>
      </c>
      <c r="N57" s="1116" t="s">
        <v>1854</v>
      </c>
      <c r="O57" s="1116">
        <v>580</v>
      </c>
      <c r="P57" s="1116">
        <v>580</v>
      </c>
      <c r="Q57" s="1116">
        <v>37.96</v>
      </c>
      <c r="R57" s="1116">
        <v>569</v>
      </c>
      <c r="S57" s="1116">
        <v>0</v>
      </c>
    </row>
    <row r="58" s="1116" customFormat="1" spans="1:19">
      <c r="A58" s="1116" t="s">
        <v>1760</v>
      </c>
      <c r="B58" s="1116" t="s">
        <v>1672</v>
      </c>
      <c r="C58" s="1116" t="s">
        <v>1855</v>
      </c>
      <c r="D58" s="1116">
        <v>16666.6</v>
      </c>
      <c r="E58" s="1116">
        <v>41666.5</v>
      </c>
      <c r="F58" s="1116" t="s">
        <v>1674</v>
      </c>
      <c r="G58" s="1116" t="s">
        <v>1674</v>
      </c>
      <c r="H58" s="1116" t="s">
        <v>1711</v>
      </c>
      <c r="I58" s="1116" t="s">
        <v>1781</v>
      </c>
      <c r="J58" s="1116" t="s">
        <v>1677</v>
      </c>
      <c r="K58" s="1119">
        <v>45168.0004976852</v>
      </c>
      <c r="L58" s="1119">
        <v>45168.0004976852</v>
      </c>
      <c r="M58" s="1116" t="s">
        <v>1678</v>
      </c>
      <c r="N58" s="1116" t="s">
        <v>1856</v>
      </c>
      <c r="O58" s="1116">
        <v>340</v>
      </c>
      <c r="P58" s="1116">
        <v>340</v>
      </c>
      <c r="Q58" s="1116">
        <v>13.6</v>
      </c>
      <c r="R58" s="1116">
        <v>82</v>
      </c>
      <c r="S58" s="1116">
        <v>0</v>
      </c>
    </row>
    <row r="59" s="1117" customFormat="1" spans="1:19">
      <c r="A59" s="1117" t="s">
        <v>1857</v>
      </c>
      <c r="B59" s="1117" t="s">
        <v>1672</v>
      </c>
      <c r="C59" s="1117" t="s">
        <v>1858</v>
      </c>
      <c r="D59" s="1117">
        <v>3670.5</v>
      </c>
      <c r="E59" s="1117">
        <v>4404.6</v>
      </c>
      <c r="F59" s="1117" t="s">
        <v>1674</v>
      </c>
      <c r="G59" s="1117" t="s">
        <v>1674</v>
      </c>
      <c r="H59" s="1117" t="s">
        <v>1675</v>
      </c>
      <c r="I59" s="1117" t="s">
        <v>1750</v>
      </c>
      <c r="J59" s="1117" t="s">
        <v>1677</v>
      </c>
      <c r="K59" s="1121">
        <v>45168.0004976852</v>
      </c>
      <c r="L59" s="1121">
        <v>45168.0004976852</v>
      </c>
      <c r="M59" s="1117" t="s">
        <v>1678</v>
      </c>
      <c r="N59" s="1117" t="s">
        <v>1859</v>
      </c>
      <c r="O59" s="1117">
        <v>170</v>
      </c>
      <c r="P59" s="1117">
        <v>190</v>
      </c>
      <c r="Q59" s="1117">
        <v>34.51</v>
      </c>
      <c r="R59" s="1117">
        <v>431</v>
      </c>
      <c r="S59" s="1117">
        <v>11.76</v>
      </c>
    </row>
    <row r="60" s="1116" customFormat="1" spans="1:19">
      <c r="A60" s="1116" t="s">
        <v>1860</v>
      </c>
      <c r="B60" s="1116" t="s">
        <v>1672</v>
      </c>
      <c r="C60" s="1116" t="s">
        <v>1861</v>
      </c>
      <c r="D60" s="1116">
        <v>26476.5</v>
      </c>
      <c r="E60" s="1116">
        <v>5295.3</v>
      </c>
      <c r="F60" s="1116" t="s">
        <v>1674</v>
      </c>
      <c r="G60" s="1116" t="s">
        <v>1674</v>
      </c>
      <c r="H60" s="1116" t="s">
        <v>1675</v>
      </c>
      <c r="I60" s="1116" t="s">
        <v>1862</v>
      </c>
      <c r="J60" s="1116" t="s">
        <v>1677</v>
      </c>
      <c r="K60" s="1119">
        <v>45168.0004976852</v>
      </c>
      <c r="L60" s="1119">
        <v>45168.0004976852</v>
      </c>
      <c r="M60" s="1116" t="s">
        <v>1678</v>
      </c>
      <c r="N60" s="1116" t="s">
        <v>1863</v>
      </c>
      <c r="O60" s="1116">
        <v>1720</v>
      </c>
      <c r="P60" s="1116">
        <v>1720</v>
      </c>
      <c r="Q60" s="1116">
        <v>43.31</v>
      </c>
      <c r="R60" s="1116">
        <v>3248</v>
      </c>
      <c r="S60" s="1116">
        <v>0</v>
      </c>
    </row>
    <row r="61" s="1116" customFormat="1" spans="1:19">
      <c r="A61" s="1116" t="s">
        <v>1864</v>
      </c>
      <c r="B61" s="1116" t="s">
        <v>1672</v>
      </c>
      <c r="C61" s="1116" t="s">
        <v>1865</v>
      </c>
      <c r="D61" s="1116">
        <v>50595.5</v>
      </c>
      <c r="E61" s="1116">
        <v>101191</v>
      </c>
      <c r="F61" s="1116" t="s">
        <v>1674</v>
      </c>
      <c r="G61" s="1116" t="s">
        <v>1674</v>
      </c>
      <c r="H61" s="1116" t="s">
        <v>1675</v>
      </c>
      <c r="I61" s="1116" t="s">
        <v>1866</v>
      </c>
      <c r="J61" s="1116" t="s">
        <v>1677</v>
      </c>
      <c r="K61" s="1119">
        <v>45161.0004976852</v>
      </c>
      <c r="L61" s="1119">
        <v>45161.0004976852</v>
      </c>
      <c r="M61" s="1116" t="s">
        <v>1678</v>
      </c>
      <c r="N61" s="1116" t="s">
        <v>1867</v>
      </c>
      <c r="O61" s="1116">
        <v>2850</v>
      </c>
      <c r="P61" s="1116">
        <v>2850</v>
      </c>
      <c r="Q61" s="1116">
        <v>37.55</v>
      </c>
      <c r="R61" s="1116">
        <v>282</v>
      </c>
      <c r="S61" s="1116">
        <v>0</v>
      </c>
    </row>
    <row r="62" s="1116" customFormat="1" spans="1:19">
      <c r="A62" s="1116" t="s">
        <v>1868</v>
      </c>
      <c r="B62" s="1116" t="s">
        <v>1672</v>
      </c>
      <c r="C62" s="1116" t="s">
        <v>1869</v>
      </c>
      <c r="D62" s="1116">
        <v>13333.7</v>
      </c>
      <c r="E62" s="1116">
        <v>40001.1</v>
      </c>
      <c r="F62" s="1116" t="s">
        <v>1674</v>
      </c>
      <c r="G62" s="1116" t="s">
        <v>1870</v>
      </c>
      <c r="H62" s="1116" t="s">
        <v>1721</v>
      </c>
      <c r="I62" s="1116" t="s">
        <v>1871</v>
      </c>
      <c r="J62" s="1116" t="s">
        <v>1677</v>
      </c>
      <c r="K62" s="1119">
        <v>45140.0004976852</v>
      </c>
      <c r="L62" s="1119">
        <v>45140.0004976852</v>
      </c>
      <c r="M62" s="1116" t="s">
        <v>1678</v>
      </c>
      <c r="N62" s="1116" t="s">
        <v>1872</v>
      </c>
      <c r="O62" s="1116">
        <v>8700</v>
      </c>
      <c r="P62" s="1116">
        <v>8700</v>
      </c>
      <c r="Q62" s="1116">
        <v>434.99</v>
      </c>
      <c r="R62" s="1116">
        <v>2175</v>
      </c>
      <c r="S62" s="1116">
        <v>0</v>
      </c>
    </row>
    <row r="63" s="1116" customFormat="1" spans="1:19">
      <c r="A63" s="1116" t="s">
        <v>1725</v>
      </c>
      <c r="B63" s="1116" t="s">
        <v>1672</v>
      </c>
      <c r="C63" s="1116" t="s">
        <v>1873</v>
      </c>
      <c r="D63" s="1116">
        <v>27992.2</v>
      </c>
      <c r="E63" s="1116">
        <v>55984.4</v>
      </c>
      <c r="F63" s="1116" t="s">
        <v>1674</v>
      </c>
      <c r="G63" s="1116" t="s">
        <v>1674</v>
      </c>
      <c r="H63" s="1116" t="s">
        <v>1675</v>
      </c>
      <c r="I63" s="1116" t="s">
        <v>1686</v>
      </c>
      <c r="J63" s="1116" t="s">
        <v>1677</v>
      </c>
      <c r="K63" s="1119">
        <v>45119.0004976852</v>
      </c>
      <c r="L63" s="1119">
        <v>45119.0004976852</v>
      </c>
      <c r="M63" s="1116" t="s">
        <v>1678</v>
      </c>
      <c r="N63" s="1116" t="s">
        <v>1874</v>
      </c>
      <c r="O63" s="1116">
        <v>1770</v>
      </c>
      <c r="P63" s="1116">
        <v>1770</v>
      </c>
      <c r="Q63" s="1116">
        <v>42.15</v>
      </c>
      <c r="R63" s="1116">
        <v>316</v>
      </c>
      <c r="S63" s="1116">
        <v>0</v>
      </c>
    </row>
    <row r="64" s="1116" customFormat="1" spans="1:19">
      <c r="A64" s="1116" t="s">
        <v>1875</v>
      </c>
      <c r="B64" s="1116" t="s">
        <v>1672</v>
      </c>
      <c r="C64" s="1116" t="s">
        <v>1876</v>
      </c>
      <c r="D64" s="1116">
        <v>220759.7</v>
      </c>
      <c r="E64" s="1116">
        <v>441519.4</v>
      </c>
      <c r="F64" s="1116" t="s">
        <v>1674</v>
      </c>
      <c r="G64" s="1116" t="s">
        <v>1674</v>
      </c>
      <c r="H64" s="1116" t="s">
        <v>1675</v>
      </c>
      <c r="I64" s="1116" t="s">
        <v>1877</v>
      </c>
      <c r="J64" s="1116" t="s">
        <v>1677</v>
      </c>
      <c r="K64" s="1119">
        <v>45114.0004976852</v>
      </c>
      <c r="L64" s="1119">
        <v>45114.0004976852</v>
      </c>
      <c r="M64" s="1116" t="s">
        <v>1678</v>
      </c>
      <c r="N64" s="1116" t="s">
        <v>1878</v>
      </c>
      <c r="O64" s="1116">
        <v>53030</v>
      </c>
      <c r="P64" s="1116">
        <v>53030</v>
      </c>
      <c r="Q64" s="1116">
        <v>160.14</v>
      </c>
      <c r="R64" s="1116">
        <v>1201</v>
      </c>
      <c r="S64" s="1116">
        <v>0</v>
      </c>
    </row>
    <row r="65" s="1116" customFormat="1" spans="1:19">
      <c r="A65" s="1116" t="s">
        <v>1879</v>
      </c>
      <c r="B65" s="1116" t="s">
        <v>1672</v>
      </c>
      <c r="C65" s="1116" t="s">
        <v>1880</v>
      </c>
      <c r="D65" s="1116">
        <v>62893</v>
      </c>
      <c r="E65" s="1116">
        <v>125786</v>
      </c>
      <c r="F65" s="1116" t="s">
        <v>1674</v>
      </c>
      <c r="G65" s="1116" t="s">
        <v>1674</v>
      </c>
      <c r="H65" s="1116" t="s">
        <v>1675</v>
      </c>
      <c r="I65" s="1116" t="s">
        <v>1881</v>
      </c>
      <c r="J65" s="1116" t="s">
        <v>1677</v>
      </c>
      <c r="K65" s="1119">
        <v>45114.0004976852</v>
      </c>
      <c r="L65" s="1119">
        <v>45114.0004976852</v>
      </c>
      <c r="M65" s="1116" t="s">
        <v>1678</v>
      </c>
      <c r="N65" s="1116" t="s">
        <v>1878</v>
      </c>
      <c r="O65" s="1116">
        <v>11380</v>
      </c>
      <c r="P65" s="1116">
        <v>11380</v>
      </c>
      <c r="Q65" s="1116">
        <v>120.63</v>
      </c>
      <c r="R65" s="1116">
        <v>905</v>
      </c>
      <c r="S65" s="1116">
        <v>0</v>
      </c>
    </row>
    <row r="66" s="1116" customFormat="1" spans="1:19">
      <c r="A66" s="1116" t="s">
        <v>1882</v>
      </c>
      <c r="B66" s="1116" t="s">
        <v>1672</v>
      </c>
      <c r="C66" s="1116" t="s">
        <v>1883</v>
      </c>
      <c r="D66" s="1116">
        <v>91000</v>
      </c>
      <c r="E66" s="1116">
        <v>182000</v>
      </c>
      <c r="F66" s="1116" t="s">
        <v>1674</v>
      </c>
      <c r="G66" s="1116" t="s">
        <v>1674</v>
      </c>
      <c r="H66" s="1116" t="s">
        <v>1675</v>
      </c>
      <c r="I66" s="1116" t="s">
        <v>1686</v>
      </c>
      <c r="J66" s="1116" t="s">
        <v>1677</v>
      </c>
      <c r="K66" s="1119">
        <v>45107.0004976852</v>
      </c>
      <c r="L66" s="1119">
        <v>45107.0004976852</v>
      </c>
      <c r="M66" s="1116" t="s">
        <v>1678</v>
      </c>
      <c r="N66" s="1116" t="s">
        <v>1884</v>
      </c>
      <c r="O66" s="1116">
        <v>4330</v>
      </c>
      <c r="P66" s="1116">
        <v>4330</v>
      </c>
      <c r="Q66" s="1116">
        <v>31.72</v>
      </c>
      <c r="R66" s="1116">
        <v>238</v>
      </c>
      <c r="S66" s="1116">
        <v>0</v>
      </c>
    </row>
    <row r="67" s="1116" customFormat="1" spans="1:19">
      <c r="A67" s="1116" t="s">
        <v>1725</v>
      </c>
      <c r="B67" s="1116" t="s">
        <v>1672</v>
      </c>
      <c r="C67" s="1116" t="s">
        <v>1885</v>
      </c>
      <c r="D67" s="1116">
        <v>9176.1</v>
      </c>
      <c r="E67" s="1116">
        <v>18352.2</v>
      </c>
      <c r="F67" s="1116" t="s">
        <v>1674</v>
      </c>
      <c r="G67" s="1116" t="s">
        <v>1674</v>
      </c>
      <c r="H67" s="1116" t="s">
        <v>1675</v>
      </c>
      <c r="I67" s="1116" t="s">
        <v>1686</v>
      </c>
      <c r="J67" s="1116" t="s">
        <v>1677</v>
      </c>
      <c r="K67" s="1119">
        <v>45107.0004976852</v>
      </c>
      <c r="L67" s="1119">
        <v>45107.0004976852</v>
      </c>
      <c r="M67" s="1116" t="s">
        <v>1678</v>
      </c>
      <c r="N67" s="1116" t="s">
        <v>1886</v>
      </c>
      <c r="O67" s="1116">
        <v>580</v>
      </c>
      <c r="P67" s="1116">
        <v>580</v>
      </c>
      <c r="Q67" s="1116">
        <v>42.14</v>
      </c>
      <c r="R67" s="1116">
        <v>316</v>
      </c>
      <c r="S67" s="1116">
        <v>0</v>
      </c>
    </row>
    <row r="68" s="1116" customFormat="1" spans="1:19">
      <c r="A68" s="1116" t="s">
        <v>1887</v>
      </c>
      <c r="B68" s="1116" t="s">
        <v>1672</v>
      </c>
      <c r="C68" s="1116" t="s">
        <v>1888</v>
      </c>
      <c r="D68" s="1116">
        <v>40027.6</v>
      </c>
      <c r="E68" s="1116">
        <v>28019.32</v>
      </c>
      <c r="F68" s="1116" t="s">
        <v>1674</v>
      </c>
      <c r="G68" s="1116" t="s">
        <v>1674</v>
      </c>
      <c r="H68" s="1116" t="s">
        <v>1675</v>
      </c>
      <c r="I68" s="1116" t="s">
        <v>1889</v>
      </c>
      <c r="J68" s="1116" t="s">
        <v>1677</v>
      </c>
      <c r="K68" s="1119">
        <v>45133.0004976852</v>
      </c>
      <c r="L68" s="1119">
        <v>45133.0004976852</v>
      </c>
      <c r="M68" s="1116" t="s">
        <v>1678</v>
      </c>
      <c r="N68" s="1116" t="s">
        <v>1890</v>
      </c>
      <c r="O68" s="1116">
        <v>2250</v>
      </c>
      <c r="P68" s="1116">
        <v>2250</v>
      </c>
      <c r="Q68" s="1116">
        <v>37.47</v>
      </c>
      <c r="R68" s="1116">
        <v>803</v>
      </c>
      <c r="S68" s="1116">
        <v>0</v>
      </c>
    </row>
    <row r="69" s="1116" customFormat="1" spans="1:19">
      <c r="A69" s="1116" t="s">
        <v>1891</v>
      </c>
      <c r="B69" s="1116" t="s">
        <v>1672</v>
      </c>
      <c r="C69" s="1116" t="s">
        <v>1892</v>
      </c>
      <c r="D69" s="1116">
        <v>294938.5</v>
      </c>
      <c r="E69" s="1116">
        <v>530889.3</v>
      </c>
      <c r="F69" s="1116" t="s">
        <v>1674</v>
      </c>
      <c r="G69" s="1116" t="s">
        <v>1674</v>
      </c>
      <c r="H69" s="1116" t="s">
        <v>1711</v>
      </c>
      <c r="I69" s="1116" t="s">
        <v>1893</v>
      </c>
      <c r="J69" s="1116" t="s">
        <v>1677</v>
      </c>
      <c r="K69" s="1119">
        <v>45105.0004976852</v>
      </c>
      <c r="L69" s="1119">
        <v>45105.0004976852</v>
      </c>
      <c r="M69" s="1116" t="s">
        <v>1678</v>
      </c>
      <c r="N69" s="1116" t="s">
        <v>1894</v>
      </c>
      <c r="O69" s="1116">
        <v>6510</v>
      </c>
      <c r="P69" s="1116">
        <v>6510</v>
      </c>
      <c r="Q69" s="1116">
        <v>14.71</v>
      </c>
      <c r="R69" s="1116">
        <v>123</v>
      </c>
      <c r="S69" s="1116">
        <v>0</v>
      </c>
    </row>
    <row r="70" s="1116" customFormat="1" spans="1:19">
      <c r="A70" s="1116" t="s">
        <v>1725</v>
      </c>
      <c r="B70" s="1116" t="s">
        <v>1672</v>
      </c>
      <c r="C70" s="1116" t="s">
        <v>1895</v>
      </c>
      <c r="D70" s="1116">
        <v>28000</v>
      </c>
      <c r="E70" s="1116">
        <v>56000</v>
      </c>
      <c r="F70" s="1116" t="s">
        <v>1674</v>
      </c>
      <c r="G70" s="1116" t="s">
        <v>1674</v>
      </c>
      <c r="H70" s="1116" t="s">
        <v>1846</v>
      </c>
      <c r="I70" s="1116" t="s">
        <v>1686</v>
      </c>
      <c r="J70" s="1116" t="s">
        <v>1677</v>
      </c>
      <c r="K70" s="1119">
        <v>45098.0004976852</v>
      </c>
      <c r="L70" s="1119">
        <v>45098.0004976852</v>
      </c>
      <c r="M70" s="1116" t="s">
        <v>1678</v>
      </c>
      <c r="N70" s="1116" t="s">
        <v>1896</v>
      </c>
      <c r="O70" s="1116">
        <v>1060</v>
      </c>
      <c r="P70" s="1116">
        <v>1060</v>
      </c>
      <c r="Q70" s="1116">
        <v>25.24</v>
      </c>
      <c r="R70" s="1116">
        <v>189</v>
      </c>
      <c r="S70" s="1116">
        <v>0</v>
      </c>
    </row>
    <row r="71" s="1116" customFormat="1" spans="1:19">
      <c r="A71" s="1116" t="s">
        <v>1693</v>
      </c>
      <c r="B71" s="1116" t="s">
        <v>1672</v>
      </c>
      <c r="C71" s="1116" t="s">
        <v>1897</v>
      </c>
      <c r="D71" s="1116">
        <v>6890.5</v>
      </c>
      <c r="E71" s="1116">
        <v>13781</v>
      </c>
      <c r="F71" s="1116" t="s">
        <v>1674</v>
      </c>
      <c r="G71" s="1116" t="s">
        <v>1674</v>
      </c>
      <c r="H71" s="1116" t="s">
        <v>1675</v>
      </c>
      <c r="I71" s="1116" t="s">
        <v>1898</v>
      </c>
      <c r="J71" s="1116" t="s">
        <v>1677</v>
      </c>
      <c r="K71" s="1119">
        <v>45098.0004976852</v>
      </c>
      <c r="L71" s="1119">
        <v>45098.0004976852</v>
      </c>
      <c r="M71" s="1116" t="s">
        <v>1678</v>
      </c>
      <c r="N71" s="1116" t="s">
        <v>1696</v>
      </c>
      <c r="O71" s="1116">
        <v>380</v>
      </c>
      <c r="P71" s="1116">
        <v>380</v>
      </c>
      <c r="Q71" s="1116">
        <v>36.77</v>
      </c>
      <c r="R71" s="1116">
        <v>276</v>
      </c>
      <c r="S71" s="1116">
        <v>0</v>
      </c>
    </row>
    <row r="72" s="1116" customFormat="1" spans="1:19">
      <c r="A72" s="1116" t="s">
        <v>1725</v>
      </c>
      <c r="B72" s="1116" t="s">
        <v>1672</v>
      </c>
      <c r="C72" s="1116" t="s">
        <v>1899</v>
      </c>
      <c r="D72" s="1116">
        <v>264491.5</v>
      </c>
      <c r="E72" s="1116">
        <v>528983</v>
      </c>
      <c r="F72" s="1116" t="s">
        <v>1674</v>
      </c>
      <c r="G72" s="1116" t="s">
        <v>1674</v>
      </c>
      <c r="H72" s="1116" t="s">
        <v>1711</v>
      </c>
      <c r="I72" s="1116" t="s">
        <v>1866</v>
      </c>
      <c r="J72" s="1116" t="s">
        <v>1677</v>
      </c>
      <c r="K72" s="1119">
        <v>45098.0004976852</v>
      </c>
      <c r="L72" s="1119">
        <v>45098.0004976852</v>
      </c>
      <c r="M72" s="1116" t="s">
        <v>1678</v>
      </c>
      <c r="N72" s="1116" t="s">
        <v>1900</v>
      </c>
      <c r="O72" s="1116">
        <v>23100</v>
      </c>
      <c r="P72" s="1116">
        <v>23100</v>
      </c>
      <c r="Q72" s="1116">
        <v>58.22</v>
      </c>
      <c r="R72" s="1116">
        <v>437</v>
      </c>
      <c r="S72" s="1116">
        <v>0</v>
      </c>
    </row>
    <row r="73" s="1116" customFormat="1" spans="1:19">
      <c r="A73" s="1116" t="s">
        <v>1760</v>
      </c>
      <c r="B73" s="1116" t="s">
        <v>1672</v>
      </c>
      <c r="C73" s="1116" t="s">
        <v>1901</v>
      </c>
      <c r="D73" s="1116">
        <v>32000</v>
      </c>
      <c r="E73" s="1116">
        <v>80000</v>
      </c>
      <c r="F73" s="1116" t="s">
        <v>1674</v>
      </c>
      <c r="G73" s="1116" t="s">
        <v>1674</v>
      </c>
      <c r="H73" s="1116" t="s">
        <v>1711</v>
      </c>
      <c r="I73" s="1116" t="s">
        <v>1781</v>
      </c>
      <c r="J73" s="1116" t="s">
        <v>1677</v>
      </c>
      <c r="K73" s="1119">
        <v>45098.0004976852</v>
      </c>
      <c r="L73" s="1119">
        <v>45098.0004976852</v>
      </c>
      <c r="M73" s="1116" t="s">
        <v>1678</v>
      </c>
      <c r="N73" s="1116" t="s">
        <v>1902</v>
      </c>
      <c r="O73" s="1116">
        <v>660</v>
      </c>
      <c r="P73" s="1116">
        <v>660</v>
      </c>
      <c r="Q73" s="1116">
        <v>13.75</v>
      </c>
      <c r="R73" s="1116">
        <v>83</v>
      </c>
      <c r="S73" s="1116">
        <v>0</v>
      </c>
    </row>
    <row r="74" s="1116" customFormat="1" spans="1:19">
      <c r="A74" s="1116" t="s">
        <v>1760</v>
      </c>
      <c r="B74" s="1116" t="s">
        <v>1672</v>
      </c>
      <c r="C74" s="1116" t="s">
        <v>1903</v>
      </c>
      <c r="D74" s="1116">
        <v>40002</v>
      </c>
      <c r="E74" s="1116">
        <v>100005</v>
      </c>
      <c r="F74" s="1116" t="s">
        <v>1674</v>
      </c>
      <c r="G74" s="1116" t="s">
        <v>1674</v>
      </c>
      <c r="H74" s="1116" t="s">
        <v>1711</v>
      </c>
      <c r="I74" s="1116" t="s">
        <v>1781</v>
      </c>
      <c r="J74" s="1116" t="s">
        <v>1677</v>
      </c>
      <c r="K74" s="1119">
        <v>45098.0004976852</v>
      </c>
      <c r="L74" s="1119">
        <v>45098.0004976852</v>
      </c>
      <c r="M74" s="1116" t="s">
        <v>1678</v>
      </c>
      <c r="N74" s="1116" t="s">
        <v>1904</v>
      </c>
      <c r="O74" s="1116">
        <v>820</v>
      </c>
      <c r="P74" s="1116">
        <v>820</v>
      </c>
      <c r="Q74" s="1116">
        <v>13.67</v>
      </c>
      <c r="R74" s="1116">
        <v>82</v>
      </c>
      <c r="S74" s="1116">
        <v>0</v>
      </c>
    </row>
    <row r="75" s="1116" customFormat="1" spans="1:19">
      <c r="A75" s="1116" t="s">
        <v>1671</v>
      </c>
      <c r="B75" s="1116" t="s">
        <v>1672</v>
      </c>
      <c r="C75" s="1116" t="s">
        <v>1905</v>
      </c>
      <c r="D75" s="1116">
        <v>36096.8</v>
      </c>
      <c r="E75" s="1116">
        <v>72193.6</v>
      </c>
      <c r="F75" s="1116" t="s">
        <v>1674</v>
      </c>
      <c r="G75" s="1116" t="s">
        <v>1674</v>
      </c>
      <c r="H75" s="1116" t="s">
        <v>1675</v>
      </c>
      <c r="I75" s="1116" t="s">
        <v>1734</v>
      </c>
      <c r="J75" s="1116" t="s">
        <v>1677</v>
      </c>
      <c r="K75" s="1119">
        <v>45098.0004976852</v>
      </c>
      <c r="L75" s="1119">
        <v>45098.0004976852</v>
      </c>
      <c r="M75" s="1116" t="s">
        <v>1678</v>
      </c>
      <c r="N75" s="1116" t="s">
        <v>1906</v>
      </c>
      <c r="O75" s="1116">
        <v>1880</v>
      </c>
      <c r="P75" s="1116">
        <v>1880</v>
      </c>
      <c r="Q75" s="1116">
        <v>34.72</v>
      </c>
      <c r="R75" s="1116">
        <v>260</v>
      </c>
      <c r="S75" s="1116">
        <v>0</v>
      </c>
    </row>
    <row r="76" s="1116" customFormat="1" spans="1:19">
      <c r="A76" s="1116" t="s">
        <v>1671</v>
      </c>
      <c r="B76" s="1116" t="s">
        <v>1672</v>
      </c>
      <c r="C76" s="1116" t="s">
        <v>1907</v>
      </c>
      <c r="D76" s="1116">
        <v>40817.4</v>
      </c>
      <c r="E76" s="1116">
        <v>81634.8</v>
      </c>
      <c r="F76" s="1116" t="s">
        <v>1674</v>
      </c>
      <c r="G76" s="1116" t="s">
        <v>1674</v>
      </c>
      <c r="H76" s="1116" t="s">
        <v>1675</v>
      </c>
      <c r="I76" s="1116" t="s">
        <v>1734</v>
      </c>
      <c r="J76" s="1116" t="s">
        <v>1677</v>
      </c>
      <c r="K76" s="1119">
        <v>45098.0004976852</v>
      </c>
      <c r="L76" s="1119">
        <v>45098.0004976852</v>
      </c>
      <c r="M76" s="1116" t="s">
        <v>1678</v>
      </c>
      <c r="N76" s="1116" t="s">
        <v>1906</v>
      </c>
      <c r="O76" s="1116">
        <v>2120</v>
      </c>
      <c r="P76" s="1116">
        <v>2120</v>
      </c>
      <c r="Q76" s="1116">
        <v>34.63</v>
      </c>
      <c r="R76" s="1116">
        <v>260</v>
      </c>
      <c r="S76" s="1116">
        <v>0</v>
      </c>
    </row>
    <row r="77" s="1116" customFormat="1" spans="1:19">
      <c r="A77" s="1116" t="s">
        <v>1908</v>
      </c>
      <c r="B77" s="1116" t="s">
        <v>1672</v>
      </c>
      <c r="C77" s="1116" t="s">
        <v>1909</v>
      </c>
      <c r="D77" s="1116">
        <v>26666.7</v>
      </c>
      <c r="E77" s="1116">
        <v>18666.69</v>
      </c>
      <c r="F77" s="1116" t="s">
        <v>1674</v>
      </c>
      <c r="G77" s="1116" t="s">
        <v>1674</v>
      </c>
      <c r="H77" s="1116" t="s">
        <v>1711</v>
      </c>
      <c r="I77" s="1116" t="s">
        <v>1889</v>
      </c>
      <c r="J77" s="1116" t="s">
        <v>1677</v>
      </c>
      <c r="K77" s="1119">
        <v>45084.0004976852</v>
      </c>
      <c r="L77" s="1119">
        <v>45084.0004976852</v>
      </c>
      <c r="M77" s="1116" t="s">
        <v>1678</v>
      </c>
      <c r="N77" s="1116" t="s">
        <v>1704</v>
      </c>
      <c r="O77" s="1116">
        <v>600</v>
      </c>
      <c r="P77" s="1116">
        <v>600</v>
      </c>
      <c r="Q77" s="1116">
        <v>15</v>
      </c>
      <c r="R77" s="1116">
        <v>321</v>
      </c>
      <c r="S77" s="1116">
        <v>0</v>
      </c>
    </row>
    <row r="78" s="1116" customFormat="1" spans="1:19">
      <c r="A78" s="1116" t="s">
        <v>1693</v>
      </c>
      <c r="B78" s="1116" t="s">
        <v>1672</v>
      </c>
      <c r="C78" s="1116" t="s">
        <v>1910</v>
      </c>
      <c r="D78" s="1116">
        <v>27016.1</v>
      </c>
      <c r="E78" s="1116">
        <v>32419.32</v>
      </c>
      <c r="F78" s="1116" t="s">
        <v>1674</v>
      </c>
      <c r="G78" s="1116" t="s">
        <v>1674</v>
      </c>
      <c r="H78" s="1116" t="s">
        <v>1675</v>
      </c>
      <c r="I78" s="1116" t="s">
        <v>1695</v>
      </c>
      <c r="J78" s="1116" t="s">
        <v>1677</v>
      </c>
      <c r="K78" s="1119">
        <v>45063.0004976852</v>
      </c>
      <c r="L78" s="1119">
        <v>45063.0004976852</v>
      </c>
      <c r="M78" s="1116" t="s">
        <v>1678</v>
      </c>
      <c r="N78" s="1116" t="s">
        <v>1911</v>
      </c>
      <c r="O78" s="1116">
        <v>1490</v>
      </c>
      <c r="P78" s="1116">
        <v>1490</v>
      </c>
      <c r="Q78" s="1116">
        <v>36.77</v>
      </c>
      <c r="R78" s="1116">
        <v>460</v>
      </c>
      <c r="S78" s="1116">
        <v>0</v>
      </c>
    </row>
    <row r="79" s="1116" customFormat="1" spans="1:19">
      <c r="A79" s="1116" t="s">
        <v>1725</v>
      </c>
      <c r="B79" s="1116" t="s">
        <v>1672</v>
      </c>
      <c r="C79" s="1116" t="s">
        <v>1912</v>
      </c>
      <c r="D79" s="1116">
        <v>38428.4</v>
      </c>
      <c r="E79" s="1116">
        <v>76856.8</v>
      </c>
      <c r="F79" s="1116" t="s">
        <v>1674</v>
      </c>
      <c r="G79" s="1116" t="s">
        <v>1674</v>
      </c>
      <c r="H79" s="1116" t="s">
        <v>1675</v>
      </c>
      <c r="I79" s="1116" t="s">
        <v>1686</v>
      </c>
      <c r="J79" s="1116" t="s">
        <v>1677</v>
      </c>
      <c r="K79" s="1119">
        <v>45063.0004976852</v>
      </c>
      <c r="L79" s="1119">
        <v>45063.0004976852</v>
      </c>
      <c r="M79" s="1116" t="s">
        <v>1678</v>
      </c>
      <c r="N79" s="1116" t="s">
        <v>1913</v>
      </c>
      <c r="O79" s="1116">
        <v>15880</v>
      </c>
      <c r="P79" s="1116">
        <v>15880</v>
      </c>
      <c r="Q79" s="1116">
        <v>275.49</v>
      </c>
      <c r="R79" s="1116">
        <v>2066</v>
      </c>
      <c r="S79" s="1116">
        <v>0</v>
      </c>
    </row>
    <row r="80" s="1116" customFormat="1" spans="1:19">
      <c r="A80" s="1116" t="s">
        <v>1709</v>
      </c>
      <c r="B80" s="1116" t="s">
        <v>1672</v>
      </c>
      <c r="C80" s="1116" t="s">
        <v>1914</v>
      </c>
      <c r="D80" s="1116">
        <v>14240.4</v>
      </c>
      <c r="E80" s="1116">
        <v>28480.8</v>
      </c>
      <c r="F80" s="1116" t="s">
        <v>1674</v>
      </c>
      <c r="G80" s="1116" t="s">
        <v>1674</v>
      </c>
      <c r="H80" s="1116" t="s">
        <v>1846</v>
      </c>
      <c r="I80" s="1116" t="s">
        <v>1699</v>
      </c>
      <c r="J80" s="1116" t="s">
        <v>1677</v>
      </c>
      <c r="K80" s="1119">
        <v>45063.0004976852</v>
      </c>
      <c r="L80" s="1119">
        <v>45063.0004976852</v>
      </c>
      <c r="M80" s="1116" t="s">
        <v>1678</v>
      </c>
      <c r="N80" s="1116" t="s">
        <v>1915</v>
      </c>
      <c r="O80" s="1116">
        <v>390</v>
      </c>
      <c r="P80" s="1116">
        <v>390</v>
      </c>
      <c r="Q80" s="1116">
        <v>18.26</v>
      </c>
      <c r="R80" s="1116">
        <v>137</v>
      </c>
      <c r="S80" s="1116">
        <v>0</v>
      </c>
    </row>
    <row r="81" s="1116" customFormat="1" spans="1:19">
      <c r="A81" s="1116" t="s">
        <v>1725</v>
      </c>
      <c r="B81" s="1116" t="s">
        <v>1672</v>
      </c>
      <c r="C81" s="1116" t="s">
        <v>1916</v>
      </c>
      <c r="D81" s="1116">
        <v>6517.3</v>
      </c>
      <c r="E81" s="1116">
        <v>13034.6</v>
      </c>
      <c r="F81" s="1116" t="s">
        <v>1674</v>
      </c>
      <c r="G81" s="1116" t="s">
        <v>1674</v>
      </c>
      <c r="H81" s="1116" t="s">
        <v>1675</v>
      </c>
      <c r="I81" s="1116" t="s">
        <v>1686</v>
      </c>
      <c r="J81" s="1116" t="s">
        <v>1677</v>
      </c>
      <c r="K81" s="1119">
        <v>45056.0004976852</v>
      </c>
      <c r="L81" s="1119">
        <v>45056.0004976852</v>
      </c>
      <c r="M81" s="1116" t="s">
        <v>1678</v>
      </c>
      <c r="N81" s="1116" t="s">
        <v>1917</v>
      </c>
      <c r="O81" s="1116">
        <v>420</v>
      </c>
      <c r="P81" s="1116">
        <v>420</v>
      </c>
      <c r="Q81" s="1116">
        <v>42.96</v>
      </c>
      <c r="R81" s="1116">
        <v>322</v>
      </c>
      <c r="S81" s="1116">
        <v>0</v>
      </c>
    </row>
    <row r="82" s="1116" customFormat="1" spans="1:19">
      <c r="A82" s="1116" t="s">
        <v>1841</v>
      </c>
      <c r="B82" s="1116" t="s">
        <v>1672</v>
      </c>
      <c r="C82" s="1116" t="s">
        <v>1918</v>
      </c>
      <c r="D82" s="1116">
        <v>16794.8</v>
      </c>
      <c r="E82" s="1116">
        <v>25192.2</v>
      </c>
      <c r="F82" s="1116" t="s">
        <v>1674</v>
      </c>
      <c r="G82" s="1116" t="s">
        <v>1674</v>
      </c>
      <c r="H82" s="1116" t="s">
        <v>1711</v>
      </c>
      <c r="I82" s="1116" t="s">
        <v>1682</v>
      </c>
      <c r="J82" s="1116" t="s">
        <v>1677</v>
      </c>
      <c r="K82" s="1119">
        <v>45056.0004976852</v>
      </c>
      <c r="L82" s="1119">
        <v>45056.0004976852</v>
      </c>
      <c r="M82" s="1116" t="s">
        <v>1678</v>
      </c>
      <c r="N82" s="1116" t="s">
        <v>1919</v>
      </c>
      <c r="O82" s="1116">
        <v>590</v>
      </c>
      <c r="P82" s="1116">
        <v>590</v>
      </c>
      <c r="Q82" s="1116">
        <v>23.42</v>
      </c>
      <c r="R82" s="1116">
        <v>234</v>
      </c>
      <c r="S82" s="1116">
        <v>0</v>
      </c>
    </row>
    <row r="83" s="1116" customFormat="1" spans="1:19">
      <c r="A83" s="1116" t="s">
        <v>1705</v>
      </c>
      <c r="B83" s="1116" t="s">
        <v>1672</v>
      </c>
      <c r="C83" s="1116" t="s">
        <v>1920</v>
      </c>
      <c r="D83" s="1116">
        <v>12606.5</v>
      </c>
      <c r="E83" s="1116">
        <v>31516.25</v>
      </c>
      <c r="F83" s="1116" t="s">
        <v>1674</v>
      </c>
      <c r="G83" s="1116" t="s">
        <v>1674</v>
      </c>
      <c r="H83" s="1116" t="s">
        <v>1675</v>
      </c>
      <c r="I83" s="1116" t="s">
        <v>1781</v>
      </c>
      <c r="J83" s="1116" t="s">
        <v>1677</v>
      </c>
      <c r="K83" s="1119">
        <v>45056.0004976852</v>
      </c>
      <c r="L83" s="1119">
        <v>45056.0004976852</v>
      </c>
      <c r="M83" s="1116" t="s">
        <v>1678</v>
      </c>
      <c r="N83" s="1116" t="s">
        <v>1921</v>
      </c>
      <c r="O83" s="1116">
        <v>1650</v>
      </c>
      <c r="P83" s="1116">
        <v>1650</v>
      </c>
      <c r="Q83" s="1116">
        <v>87.26</v>
      </c>
      <c r="R83" s="1116">
        <v>524</v>
      </c>
      <c r="S83" s="1116">
        <v>0</v>
      </c>
    </row>
    <row r="84" s="1116" customFormat="1" spans="1:19">
      <c r="A84" s="1116" t="s">
        <v>1693</v>
      </c>
      <c r="B84" s="1116" t="s">
        <v>1672</v>
      </c>
      <c r="C84" s="1116" t="s">
        <v>1922</v>
      </c>
      <c r="D84" s="1116">
        <v>111483.1</v>
      </c>
      <c r="E84" s="1116">
        <v>111483.1</v>
      </c>
      <c r="F84" s="1116" t="s">
        <v>1674</v>
      </c>
      <c r="G84" s="1116" t="s">
        <v>1674</v>
      </c>
      <c r="H84" s="1116" t="s">
        <v>1675</v>
      </c>
      <c r="I84" s="1116" t="s">
        <v>1923</v>
      </c>
      <c r="J84" s="1116" t="s">
        <v>1677</v>
      </c>
      <c r="K84" s="1119">
        <v>45052.0004976852</v>
      </c>
      <c r="L84" s="1119">
        <v>45052.0004976852</v>
      </c>
      <c r="M84" s="1116" t="s">
        <v>1678</v>
      </c>
      <c r="N84" s="1116" t="s">
        <v>1924</v>
      </c>
      <c r="O84" s="1116">
        <v>11150</v>
      </c>
      <c r="P84" s="1116">
        <v>11150</v>
      </c>
      <c r="Q84" s="1116">
        <v>66.68</v>
      </c>
      <c r="R84" s="1116">
        <v>1000</v>
      </c>
      <c r="S84" s="1116">
        <v>0</v>
      </c>
    </row>
    <row r="85" s="1116" customFormat="1" spans="1:19">
      <c r="A85" s="1116" t="s">
        <v>1925</v>
      </c>
      <c r="B85" s="1116" t="s">
        <v>1672</v>
      </c>
      <c r="C85" s="1116" t="s">
        <v>1926</v>
      </c>
      <c r="D85" s="1116">
        <v>129962</v>
      </c>
      <c r="E85" s="1116">
        <v>90973.4</v>
      </c>
      <c r="F85" s="1116" t="s">
        <v>1674</v>
      </c>
      <c r="G85" s="1116" t="s">
        <v>1674</v>
      </c>
      <c r="H85" s="1116" t="s">
        <v>1675</v>
      </c>
      <c r="I85" s="1116" t="s">
        <v>1889</v>
      </c>
      <c r="J85" s="1116" t="s">
        <v>1677</v>
      </c>
      <c r="K85" s="1119">
        <v>45042.0004976852</v>
      </c>
      <c r="L85" s="1119">
        <v>45042.0004976852</v>
      </c>
      <c r="M85" s="1116" t="s">
        <v>1678</v>
      </c>
      <c r="N85" s="1116" t="s">
        <v>1927</v>
      </c>
      <c r="O85" s="1116">
        <v>7330</v>
      </c>
      <c r="P85" s="1116">
        <v>7330</v>
      </c>
      <c r="Q85" s="1116">
        <v>37.6</v>
      </c>
      <c r="R85" s="1116">
        <v>806</v>
      </c>
      <c r="S85" s="1116">
        <v>0</v>
      </c>
    </row>
    <row r="86" s="1116" customFormat="1" spans="1:19">
      <c r="A86" s="1116" t="s">
        <v>1851</v>
      </c>
      <c r="B86" s="1116" t="s">
        <v>1672</v>
      </c>
      <c r="C86" s="1116" t="s">
        <v>1928</v>
      </c>
      <c r="D86" s="1116">
        <v>432874.5</v>
      </c>
      <c r="E86" s="1116">
        <v>1082186.25</v>
      </c>
      <c r="F86" s="1116" t="s">
        <v>1674</v>
      </c>
      <c r="G86" s="1116" t="s">
        <v>1674</v>
      </c>
      <c r="H86" s="1116" t="s">
        <v>1711</v>
      </c>
      <c r="I86" s="1116" t="s">
        <v>1781</v>
      </c>
      <c r="J86" s="1116" t="s">
        <v>1677</v>
      </c>
      <c r="K86" s="1119">
        <v>45042.0004976852</v>
      </c>
      <c r="L86" s="1119">
        <v>45042.0004976852</v>
      </c>
      <c r="M86" s="1116" t="s">
        <v>1678</v>
      </c>
      <c r="N86" s="1116" t="s">
        <v>1929</v>
      </c>
      <c r="O86" s="1116">
        <v>6530</v>
      </c>
      <c r="P86" s="1116">
        <v>6530</v>
      </c>
      <c r="Q86" s="1116">
        <v>10.06</v>
      </c>
      <c r="R86" s="1116">
        <v>60</v>
      </c>
      <c r="S86" s="1116">
        <v>0</v>
      </c>
    </row>
    <row r="87" s="1116" customFormat="1" spans="1:19">
      <c r="A87" s="1116" t="s">
        <v>1930</v>
      </c>
      <c r="B87" s="1116" t="s">
        <v>1672</v>
      </c>
      <c r="C87" s="1116" t="s">
        <v>1931</v>
      </c>
      <c r="D87" s="1116">
        <v>60336.1</v>
      </c>
      <c r="E87" s="1116">
        <v>60336.1</v>
      </c>
      <c r="F87" s="1116" t="s">
        <v>1674</v>
      </c>
      <c r="G87" s="1116" t="s">
        <v>1674</v>
      </c>
      <c r="H87" s="1116" t="s">
        <v>1675</v>
      </c>
      <c r="I87" s="1116" t="s">
        <v>1932</v>
      </c>
      <c r="J87" s="1116" t="s">
        <v>1677</v>
      </c>
      <c r="K87" s="1119">
        <v>45042.0004976852</v>
      </c>
      <c r="L87" s="1119">
        <v>45042.0004976852</v>
      </c>
      <c r="M87" s="1116" t="s">
        <v>1678</v>
      </c>
      <c r="N87" s="1116" t="s">
        <v>1933</v>
      </c>
      <c r="O87" s="1116">
        <v>3330</v>
      </c>
      <c r="P87" s="1116">
        <v>3330</v>
      </c>
      <c r="Q87" s="1116">
        <v>36.79</v>
      </c>
      <c r="R87" s="1116">
        <v>552</v>
      </c>
      <c r="S87" s="1116">
        <v>0</v>
      </c>
    </row>
    <row r="88" s="1116" customFormat="1" spans="1:19">
      <c r="A88" s="1116" t="s">
        <v>1934</v>
      </c>
      <c r="B88" s="1116" t="s">
        <v>1672</v>
      </c>
      <c r="C88" s="1116" t="s">
        <v>1935</v>
      </c>
      <c r="D88" s="1116">
        <v>128688.5</v>
      </c>
      <c r="E88" s="1116">
        <v>257377</v>
      </c>
      <c r="F88" s="1116" t="s">
        <v>1674</v>
      </c>
      <c r="G88" s="1116" t="s">
        <v>1674</v>
      </c>
      <c r="H88" s="1116" t="s">
        <v>1675</v>
      </c>
      <c r="I88" s="1116" t="s">
        <v>1866</v>
      </c>
      <c r="J88" s="1116" t="s">
        <v>1677</v>
      </c>
      <c r="K88" s="1119">
        <v>45042.0004976852</v>
      </c>
      <c r="L88" s="1119">
        <v>45042.0004976852</v>
      </c>
      <c r="M88" s="1116" t="s">
        <v>1678</v>
      </c>
      <c r="N88" s="1116" t="s">
        <v>1936</v>
      </c>
      <c r="O88" s="1116">
        <v>14890</v>
      </c>
      <c r="P88" s="1116">
        <v>14890</v>
      </c>
      <c r="Q88" s="1116">
        <v>77.14</v>
      </c>
      <c r="R88" s="1116">
        <v>579</v>
      </c>
      <c r="S88" s="1116">
        <v>0</v>
      </c>
    </row>
    <row r="89" s="1116" customFormat="1" spans="1:19">
      <c r="A89" s="1116" t="s">
        <v>1937</v>
      </c>
      <c r="B89" s="1116" t="s">
        <v>1672</v>
      </c>
      <c r="C89" s="1116" t="s">
        <v>1938</v>
      </c>
      <c r="D89" s="1116">
        <v>106559.4</v>
      </c>
      <c r="E89" s="1116">
        <v>213118.8</v>
      </c>
      <c r="F89" s="1116" t="s">
        <v>1674</v>
      </c>
      <c r="G89" s="1116" t="s">
        <v>1674</v>
      </c>
      <c r="H89" s="1116" t="s">
        <v>1675</v>
      </c>
      <c r="I89" s="1116" t="s">
        <v>1866</v>
      </c>
      <c r="J89" s="1116" t="s">
        <v>1677</v>
      </c>
      <c r="K89" s="1119">
        <v>45022.0004976852</v>
      </c>
      <c r="L89" s="1119">
        <v>45022.0004976852</v>
      </c>
      <c r="M89" s="1116" t="s">
        <v>1678</v>
      </c>
      <c r="N89" s="1116" t="s">
        <v>1939</v>
      </c>
      <c r="O89" s="1116">
        <v>6010</v>
      </c>
      <c r="P89" s="1116">
        <v>6010</v>
      </c>
      <c r="Q89" s="1116">
        <v>37.6</v>
      </c>
      <c r="R89" s="1116">
        <v>282</v>
      </c>
      <c r="S89" s="1116">
        <v>0</v>
      </c>
    </row>
    <row r="90" s="1116" customFormat="1" spans="1:19">
      <c r="A90" s="1116" t="s">
        <v>1940</v>
      </c>
      <c r="B90" s="1116" t="s">
        <v>1672</v>
      </c>
      <c r="C90" s="1116" t="s">
        <v>1941</v>
      </c>
      <c r="D90" s="1116">
        <v>37666.6</v>
      </c>
      <c r="E90" s="1116">
        <v>37666.6</v>
      </c>
      <c r="F90" s="1116" t="s">
        <v>1674</v>
      </c>
      <c r="G90" s="1116" t="s">
        <v>1674</v>
      </c>
      <c r="H90" s="1116" t="s">
        <v>1675</v>
      </c>
      <c r="I90" s="1116" t="s">
        <v>1942</v>
      </c>
      <c r="J90" s="1116" t="s">
        <v>1677</v>
      </c>
      <c r="K90" s="1119">
        <v>45022.0004976852</v>
      </c>
      <c r="L90" s="1119">
        <v>45022.0004976852</v>
      </c>
      <c r="M90" s="1116" t="s">
        <v>1678</v>
      </c>
      <c r="N90" s="1116" t="s">
        <v>1943</v>
      </c>
      <c r="O90" s="1116">
        <v>840</v>
      </c>
      <c r="P90" s="1116">
        <v>840</v>
      </c>
      <c r="Q90" s="1116">
        <v>14.87</v>
      </c>
      <c r="R90" s="1116">
        <v>223</v>
      </c>
      <c r="S90" s="1116">
        <v>0</v>
      </c>
    </row>
    <row r="91" s="1116" customFormat="1" spans="1:19">
      <c r="A91" s="1116" t="s">
        <v>1693</v>
      </c>
      <c r="B91" s="1116" t="s">
        <v>1672</v>
      </c>
      <c r="C91" s="1116" t="s">
        <v>1944</v>
      </c>
      <c r="D91" s="1116">
        <v>2915.3</v>
      </c>
      <c r="E91" s="1116">
        <v>1457.65</v>
      </c>
      <c r="F91" s="1116" t="s">
        <v>1674</v>
      </c>
      <c r="G91" s="1116" t="s">
        <v>1945</v>
      </c>
      <c r="H91" s="1116" t="s">
        <v>1675</v>
      </c>
      <c r="I91" s="1116" t="s">
        <v>1946</v>
      </c>
      <c r="J91" s="1116" t="s">
        <v>1677</v>
      </c>
      <c r="K91" s="1119">
        <v>45014.0004976852</v>
      </c>
      <c r="L91" s="1119">
        <v>45014.0004976852</v>
      </c>
      <c r="M91" s="1116" t="s">
        <v>1678</v>
      </c>
      <c r="N91" s="1116" t="s">
        <v>1947</v>
      </c>
      <c r="O91" s="1116">
        <v>220</v>
      </c>
      <c r="P91" s="1116">
        <v>220</v>
      </c>
      <c r="Q91" s="1116">
        <v>50.31</v>
      </c>
      <c r="R91" s="1116">
        <v>1509</v>
      </c>
      <c r="S91" s="1116">
        <v>0</v>
      </c>
    </row>
    <row r="92" s="1116" customFormat="1" spans="1:19">
      <c r="A92" s="1116" t="s">
        <v>1725</v>
      </c>
      <c r="B92" s="1116" t="s">
        <v>1672</v>
      </c>
      <c r="C92" s="1116" t="s">
        <v>1948</v>
      </c>
      <c r="D92" s="1116">
        <v>19701.3</v>
      </c>
      <c r="E92" s="1116">
        <v>49253.25</v>
      </c>
      <c r="F92" s="1116" t="s">
        <v>1674</v>
      </c>
      <c r="G92" s="1116" t="s">
        <v>1674</v>
      </c>
      <c r="H92" s="1116" t="s">
        <v>1675</v>
      </c>
      <c r="I92" s="1116" t="s">
        <v>1781</v>
      </c>
      <c r="J92" s="1116" t="s">
        <v>1677</v>
      </c>
      <c r="K92" s="1119">
        <v>44972.0004976852</v>
      </c>
      <c r="L92" s="1119">
        <v>44972.0004976852</v>
      </c>
      <c r="M92" s="1116" t="s">
        <v>1678</v>
      </c>
      <c r="N92" s="1116" t="s">
        <v>1917</v>
      </c>
      <c r="O92" s="1116">
        <v>1250</v>
      </c>
      <c r="P92" s="1116">
        <v>1250</v>
      </c>
      <c r="Q92" s="1116">
        <v>42.3</v>
      </c>
      <c r="R92" s="1116">
        <v>254</v>
      </c>
      <c r="S92" s="1116">
        <v>0</v>
      </c>
    </row>
    <row r="93" s="1116" customFormat="1" spans="1:19">
      <c r="A93" s="1116" t="s">
        <v>1882</v>
      </c>
      <c r="B93" s="1116" t="s">
        <v>1672</v>
      </c>
      <c r="C93" s="1116" t="s">
        <v>1949</v>
      </c>
      <c r="D93" s="1116">
        <v>13472.5</v>
      </c>
      <c r="E93" s="1116">
        <v>26945</v>
      </c>
      <c r="F93" s="1116" t="s">
        <v>1674</v>
      </c>
      <c r="G93" s="1116" t="s">
        <v>1674</v>
      </c>
      <c r="H93" s="1116" t="s">
        <v>1675</v>
      </c>
      <c r="I93" s="1116" t="s">
        <v>1866</v>
      </c>
      <c r="J93" s="1116" t="s">
        <v>1677</v>
      </c>
      <c r="K93" s="1119">
        <v>44965.0004976852</v>
      </c>
      <c r="L93" s="1119">
        <v>44965.0004976852</v>
      </c>
      <c r="M93" s="1116" t="s">
        <v>1678</v>
      </c>
      <c r="N93" s="1116" t="s">
        <v>1950</v>
      </c>
      <c r="O93" s="1116">
        <v>640</v>
      </c>
      <c r="P93" s="1116">
        <v>640</v>
      </c>
      <c r="Q93" s="1116">
        <v>31.67</v>
      </c>
      <c r="R93" s="1116">
        <v>238</v>
      </c>
      <c r="S93" s="1116">
        <v>0</v>
      </c>
    </row>
    <row r="94" s="1116" customFormat="1" spans="1:19">
      <c r="A94" s="1116" t="s">
        <v>1705</v>
      </c>
      <c r="B94" s="1116" t="s">
        <v>1672</v>
      </c>
      <c r="C94" s="1116" t="s">
        <v>1951</v>
      </c>
      <c r="D94" s="1116">
        <v>56615.2</v>
      </c>
      <c r="E94" s="1116">
        <v>84922.8</v>
      </c>
      <c r="F94" s="1116" t="s">
        <v>1674</v>
      </c>
      <c r="G94" s="1116" t="s">
        <v>1870</v>
      </c>
      <c r="H94" s="1116" t="s">
        <v>1711</v>
      </c>
      <c r="I94" s="1116">
        <v>1.5</v>
      </c>
      <c r="J94" s="1116" t="s">
        <v>1677</v>
      </c>
      <c r="K94" s="1119">
        <v>44944.0004976852</v>
      </c>
      <c r="L94" s="1119">
        <v>44944.0004976852</v>
      </c>
      <c r="M94" s="1116" t="s">
        <v>1678</v>
      </c>
      <c r="N94" s="1116" t="s">
        <v>1952</v>
      </c>
      <c r="O94" s="1116">
        <v>8290</v>
      </c>
      <c r="P94" s="1116">
        <v>8290</v>
      </c>
      <c r="Q94" s="1116">
        <v>97.62</v>
      </c>
      <c r="R94" s="1116">
        <v>976</v>
      </c>
      <c r="S94" s="1116">
        <v>0</v>
      </c>
    </row>
    <row r="95" s="1116" customFormat="1" spans="1:19">
      <c r="A95" s="1116" t="s">
        <v>1953</v>
      </c>
      <c r="B95" s="1116" t="s">
        <v>1672</v>
      </c>
      <c r="C95" s="1116" t="s">
        <v>1954</v>
      </c>
      <c r="D95" s="1116">
        <v>40000</v>
      </c>
      <c r="E95" s="1116">
        <v>100000</v>
      </c>
      <c r="F95" s="1116" t="s">
        <v>1674</v>
      </c>
      <c r="G95" s="1116" t="s">
        <v>1674</v>
      </c>
      <c r="H95" s="1116" t="s">
        <v>1675</v>
      </c>
      <c r="I95" s="1116" t="s">
        <v>1781</v>
      </c>
      <c r="J95" s="1116" t="s">
        <v>1677</v>
      </c>
      <c r="K95" s="1119">
        <v>44944.0004976852</v>
      </c>
      <c r="L95" s="1119">
        <v>44944.0004976852</v>
      </c>
      <c r="M95" s="1116" t="s">
        <v>1678</v>
      </c>
      <c r="N95" s="1116" t="s">
        <v>1955</v>
      </c>
      <c r="O95" s="1116">
        <v>1820</v>
      </c>
      <c r="P95" s="1116">
        <v>1820</v>
      </c>
      <c r="Q95" s="1116">
        <v>30.33</v>
      </c>
      <c r="R95" s="1116">
        <v>182</v>
      </c>
      <c r="S95" s="1116">
        <v>0</v>
      </c>
    </row>
    <row r="96" s="1116" customFormat="1" spans="1:19">
      <c r="A96" s="1116" t="s">
        <v>1671</v>
      </c>
      <c r="B96" s="1116" t="s">
        <v>1672</v>
      </c>
      <c r="C96" s="1116" t="s">
        <v>1956</v>
      </c>
      <c r="D96" s="1116">
        <v>54706.6</v>
      </c>
      <c r="E96" s="1116">
        <v>109413</v>
      </c>
      <c r="F96" s="1116" t="s">
        <v>1674</v>
      </c>
      <c r="G96" s="1116" t="s">
        <v>1674</v>
      </c>
      <c r="H96" s="1116" t="s">
        <v>1675</v>
      </c>
      <c r="I96" s="1116" t="s">
        <v>1734</v>
      </c>
      <c r="J96" s="1116" t="s">
        <v>1677</v>
      </c>
      <c r="K96" s="1119">
        <v>44944.0004976852</v>
      </c>
      <c r="L96" s="1119">
        <v>44944.0004976852</v>
      </c>
      <c r="M96" s="1116" t="s">
        <v>1678</v>
      </c>
      <c r="N96" s="1116" t="s">
        <v>1957</v>
      </c>
      <c r="O96" s="1116">
        <v>2810</v>
      </c>
      <c r="P96" s="1116">
        <v>2810</v>
      </c>
      <c r="Q96" s="1116">
        <v>34.24</v>
      </c>
      <c r="R96" s="1116">
        <v>257</v>
      </c>
      <c r="S96" s="1116">
        <v>0</v>
      </c>
    </row>
    <row r="97" s="1116" customFormat="1" spans="1:19">
      <c r="A97" s="1116" t="s">
        <v>1760</v>
      </c>
      <c r="B97" s="1116" t="s">
        <v>1672</v>
      </c>
      <c r="C97" s="1116" t="s">
        <v>1958</v>
      </c>
      <c r="D97" s="1116">
        <v>66666.7</v>
      </c>
      <c r="E97" s="1116">
        <v>166666.8</v>
      </c>
      <c r="F97" s="1116" t="s">
        <v>1674</v>
      </c>
      <c r="G97" s="1116" t="s">
        <v>1674</v>
      </c>
      <c r="H97" s="1116" t="s">
        <v>1675</v>
      </c>
      <c r="I97" s="1116" t="s">
        <v>1781</v>
      </c>
      <c r="J97" s="1116" t="s">
        <v>1677</v>
      </c>
      <c r="K97" s="1119">
        <v>44937.0004976852</v>
      </c>
      <c r="L97" s="1119">
        <v>44937.0004976852</v>
      </c>
      <c r="M97" s="1116" t="s">
        <v>1678</v>
      </c>
      <c r="N97" s="1116" t="s">
        <v>1959</v>
      </c>
      <c r="O97" s="1116">
        <v>3390</v>
      </c>
      <c r="P97" s="1116">
        <v>3390</v>
      </c>
      <c r="Q97" s="1116">
        <v>33.9</v>
      </c>
      <c r="R97" s="1116">
        <v>203</v>
      </c>
      <c r="S97" s="1116">
        <v>0</v>
      </c>
    </row>
    <row r="98" s="1116" customFormat="1" spans="1:19">
      <c r="A98" s="1116" t="s">
        <v>1960</v>
      </c>
      <c r="B98" s="1116" t="s">
        <v>1672</v>
      </c>
      <c r="C98" s="1116" t="s">
        <v>1961</v>
      </c>
      <c r="D98" s="1116">
        <v>103875.8</v>
      </c>
      <c r="E98" s="1116">
        <v>169858.62</v>
      </c>
      <c r="F98" s="1116" t="s">
        <v>1674</v>
      </c>
      <c r="G98" s="1116" t="s">
        <v>1962</v>
      </c>
      <c r="H98" s="1116" t="s">
        <v>1721</v>
      </c>
      <c r="I98" s="1116" t="s">
        <v>1963</v>
      </c>
      <c r="J98" s="1116" t="s">
        <v>1677</v>
      </c>
      <c r="K98" s="1119">
        <v>44925.0004976852</v>
      </c>
      <c r="L98" s="1119">
        <v>44925.0004976852</v>
      </c>
      <c r="M98" s="1116" t="s">
        <v>1678</v>
      </c>
      <c r="N98" s="1116" t="s">
        <v>1964</v>
      </c>
      <c r="O98" s="1116">
        <v>8510</v>
      </c>
      <c r="P98" s="1116">
        <v>8510</v>
      </c>
      <c r="Q98" s="1116">
        <v>54.62</v>
      </c>
      <c r="R98" s="1116">
        <v>501</v>
      </c>
      <c r="S98" s="1116">
        <v>0</v>
      </c>
    </row>
    <row r="99" s="1116" customFormat="1" spans="1:19">
      <c r="A99" s="1116" t="s">
        <v>1882</v>
      </c>
      <c r="B99" s="1116" t="s">
        <v>1672</v>
      </c>
      <c r="C99" s="1116" t="s">
        <v>1965</v>
      </c>
      <c r="D99" s="1116">
        <v>71598.1</v>
      </c>
      <c r="E99" s="1116">
        <v>107397.15</v>
      </c>
      <c r="F99" s="1116" t="s">
        <v>1674</v>
      </c>
      <c r="G99" s="1116" t="s">
        <v>1674</v>
      </c>
      <c r="H99" s="1116" t="s">
        <v>1675</v>
      </c>
      <c r="I99" s="1116" t="s">
        <v>1765</v>
      </c>
      <c r="J99" s="1116" t="s">
        <v>1677</v>
      </c>
      <c r="K99" s="1119">
        <v>44925.0004976852</v>
      </c>
      <c r="L99" s="1119">
        <v>44925.0004976852</v>
      </c>
      <c r="M99" s="1116" t="s">
        <v>1678</v>
      </c>
      <c r="N99" s="1116" t="s">
        <v>1966</v>
      </c>
      <c r="O99" s="1116">
        <v>3410</v>
      </c>
      <c r="P99" s="1116">
        <v>3410</v>
      </c>
      <c r="Q99" s="1116">
        <v>31.75</v>
      </c>
      <c r="R99" s="1116">
        <v>318</v>
      </c>
      <c r="S99" s="1116">
        <v>0</v>
      </c>
    </row>
    <row r="100" s="1116" customFormat="1" spans="1:19">
      <c r="A100" s="1116" t="s">
        <v>1693</v>
      </c>
      <c r="B100" s="1116" t="s">
        <v>1672</v>
      </c>
      <c r="C100" s="1116" t="s">
        <v>1967</v>
      </c>
      <c r="D100" s="1116">
        <v>240431</v>
      </c>
      <c r="E100" s="1116">
        <v>240431</v>
      </c>
      <c r="F100" s="1116" t="s">
        <v>1674</v>
      </c>
      <c r="G100" s="1116" t="s">
        <v>1674</v>
      </c>
      <c r="H100" s="1116" t="s">
        <v>1675</v>
      </c>
      <c r="I100" s="1116" t="s">
        <v>1923</v>
      </c>
      <c r="J100" s="1116" t="s">
        <v>1677</v>
      </c>
      <c r="K100" s="1119">
        <v>44916.0004976852</v>
      </c>
      <c r="L100" s="1119">
        <v>44916.0004976852</v>
      </c>
      <c r="M100" s="1116" t="s">
        <v>1678</v>
      </c>
      <c r="N100" s="1116" t="s">
        <v>1968</v>
      </c>
      <c r="O100" s="1116">
        <v>18040</v>
      </c>
      <c r="P100" s="1116">
        <v>18040</v>
      </c>
      <c r="Q100" s="1116">
        <v>50.02</v>
      </c>
      <c r="R100" s="1116">
        <v>750</v>
      </c>
      <c r="S100" s="1116">
        <v>0</v>
      </c>
    </row>
    <row r="101" s="1116" customFormat="1" spans="1:19">
      <c r="A101" s="1116" t="s">
        <v>1693</v>
      </c>
      <c r="B101" s="1116" t="s">
        <v>1672</v>
      </c>
      <c r="C101" s="1116" t="s">
        <v>1969</v>
      </c>
      <c r="D101" s="1116">
        <v>159419.3</v>
      </c>
      <c r="E101" s="1116">
        <v>286954.74</v>
      </c>
      <c r="F101" s="1116" t="s">
        <v>1674</v>
      </c>
      <c r="G101" s="1116" t="s">
        <v>1674</v>
      </c>
      <c r="H101" s="1116" t="s">
        <v>1675</v>
      </c>
      <c r="I101" s="1116" t="s">
        <v>1714</v>
      </c>
      <c r="J101" s="1116" t="s">
        <v>1677</v>
      </c>
      <c r="K101" s="1119">
        <v>44916.0004976852</v>
      </c>
      <c r="L101" s="1119">
        <v>44916.0004976852</v>
      </c>
      <c r="M101" s="1116" t="s">
        <v>1678</v>
      </c>
      <c r="N101" s="1116" t="s">
        <v>1970</v>
      </c>
      <c r="O101" s="1116">
        <v>11960</v>
      </c>
      <c r="P101" s="1116">
        <v>11960</v>
      </c>
      <c r="Q101" s="1116">
        <v>50.01</v>
      </c>
      <c r="R101" s="1116">
        <v>417</v>
      </c>
      <c r="S101" s="1116">
        <v>0</v>
      </c>
    </row>
    <row r="102" s="1116" customFormat="1" spans="1:19">
      <c r="A102" s="1116" t="s">
        <v>1971</v>
      </c>
      <c r="B102" s="1116" t="s">
        <v>1672</v>
      </c>
      <c r="C102" s="1116" t="s">
        <v>1972</v>
      </c>
      <c r="D102" s="1116">
        <v>17483.4</v>
      </c>
      <c r="E102" s="1116">
        <v>17483.4</v>
      </c>
      <c r="F102" s="1116" t="s">
        <v>1674</v>
      </c>
      <c r="G102" s="1116" t="s">
        <v>1674</v>
      </c>
      <c r="H102" s="1116" t="s">
        <v>1711</v>
      </c>
      <c r="I102" s="1116" t="s">
        <v>1853</v>
      </c>
      <c r="J102" s="1116" t="s">
        <v>1677</v>
      </c>
      <c r="K102" s="1119">
        <v>44902.0004976852</v>
      </c>
      <c r="L102" s="1119">
        <v>44902.0004976852</v>
      </c>
      <c r="M102" s="1116" t="s">
        <v>1678</v>
      </c>
      <c r="N102" s="1116" t="s">
        <v>1973</v>
      </c>
      <c r="O102" s="1116">
        <v>360</v>
      </c>
      <c r="P102" s="1116">
        <v>360</v>
      </c>
      <c r="Q102" s="1116">
        <v>13.73</v>
      </c>
      <c r="R102" s="1116">
        <v>206</v>
      </c>
      <c r="S102" s="1116">
        <v>0</v>
      </c>
    </row>
    <row r="103" s="1116" customFormat="1" spans="1:19">
      <c r="A103" s="1116" t="s">
        <v>1971</v>
      </c>
      <c r="B103" s="1116" t="s">
        <v>1672</v>
      </c>
      <c r="C103" s="1116" t="s">
        <v>1974</v>
      </c>
      <c r="D103" s="1116">
        <v>19936</v>
      </c>
      <c r="E103" s="1116">
        <v>19936</v>
      </c>
      <c r="F103" s="1116" t="s">
        <v>1674</v>
      </c>
      <c r="G103" s="1116" t="s">
        <v>1674</v>
      </c>
      <c r="H103" s="1116" t="s">
        <v>1975</v>
      </c>
      <c r="I103" s="1116" t="s">
        <v>1853</v>
      </c>
      <c r="J103" s="1116" t="s">
        <v>1677</v>
      </c>
      <c r="K103" s="1119">
        <v>44902.0004976852</v>
      </c>
      <c r="L103" s="1119">
        <v>44902.0004976852</v>
      </c>
      <c r="M103" s="1116" t="s">
        <v>1678</v>
      </c>
      <c r="N103" s="1116" t="s">
        <v>1976</v>
      </c>
      <c r="O103" s="1116">
        <v>1010</v>
      </c>
      <c r="P103" s="1116">
        <v>1010</v>
      </c>
      <c r="Q103" s="1116">
        <v>33.77</v>
      </c>
      <c r="R103" s="1116">
        <v>507</v>
      </c>
      <c r="S103" s="1116">
        <v>0</v>
      </c>
    </row>
    <row r="104" s="1116" customFormat="1" spans="1:19">
      <c r="A104" s="1116" t="s">
        <v>1693</v>
      </c>
      <c r="B104" s="1116" t="s">
        <v>1672</v>
      </c>
      <c r="C104" s="1116" t="s">
        <v>1977</v>
      </c>
      <c r="D104" s="1116">
        <v>72907.7</v>
      </c>
      <c r="E104" s="1116">
        <v>109361.55</v>
      </c>
      <c r="F104" s="1116" t="s">
        <v>1674</v>
      </c>
      <c r="G104" s="1116" t="s">
        <v>1674</v>
      </c>
      <c r="H104" s="1116" t="s">
        <v>1675</v>
      </c>
      <c r="I104" s="1116" t="s">
        <v>1778</v>
      </c>
      <c r="J104" s="1116" t="s">
        <v>1677</v>
      </c>
      <c r="K104" s="1119">
        <v>44902.0004976852</v>
      </c>
      <c r="L104" s="1119">
        <v>44902.0004976852</v>
      </c>
      <c r="M104" s="1116" t="s">
        <v>1678</v>
      </c>
      <c r="N104" s="1116" t="s">
        <v>1978</v>
      </c>
      <c r="O104" s="1116">
        <v>4090</v>
      </c>
      <c r="P104" s="1116">
        <v>4090</v>
      </c>
      <c r="Q104" s="1116">
        <v>37.4</v>
      </c>
      <c r="R104" s="1116">
        <v>374</v>
      </c>
      <c r="S104" s="1116">
        <v>0</v>
      </c>
    </row>
    <row r="105" s="1116" customFormat="1" spans="1:19">
      <c r="A105" s="1116" t="s">
        <v>1697</v>
      </c>
      <c r="B105" s="1116" t="s">
        <v>1672</v>
      </c>
      <c r="C105" s="1116" t="s">
        <v>1979</v>
      </c>
      <c r="D105" s="1116">
        <v>108949.7</v>
      </c>
      <c r="E105" s="1116">
        <v>272374.25</v>
      </c>
      <c r="F105" s="1116" t="s">
        <v>1674</v>
      </c>
      <c r="G105" s="1116" t="s">
        <v>1674</v>
      </c>
      <c r="H105" s="1116" t="s">
        <v>1675</v>
      </c>
      <c r="I105" s="1116" t="s">
        <v>1980</v>
      </c>
      <c r="J105" s="1116" t="s">
        <v>1677</v>
      </c>
      <c r="K105" s="1119">
        <v>44902.0004976852</v>
      </c>
      <c r="L105" s="1119">
        <v>44902.0004976852</v>
      </c>
      <c r="M105" s="1116" t="s">
        <v>1678</v>
      </c>
      <c r="N105" s="1116" t="s">
        <v>1981</v>
      </c>
      <c r="O105" s="1116">
        <v>5560</v>
      </c>
      <c r="P105" s="1116">
        <v>5560</v>
      </c>
      <c r="Q105" s="1116">
        <v>34.02</v>
      </c>
      <c r="R105" s="1116">
        <v>204</v>
      </c>
      <c r="S105" s="1116">
        <v>0</v>
      </c>
    </row>
    <row r="106" s="1116" customFormat="1" spans="1:19">
      <c r="A106" s="1116" t="s">
        <v>1709</v>
      </c>
      <c r="B106" s="1116" t="s">
        <v>1672</v>
      </c>
      <c r="C106" s="1116" t="s">
        <v>1982</v>
      </c>
      <c r="D106" s="1116">
        <v>79424.2</v>
      </c>
      <c r="E106" s="1116">
        <v>198560.5</v>
      </c>
      <c r="F106" s="1116" t="s">
        <v>1674</v>
      </c>
      <c r="G106" s="1116" t="s">
        <v>1674</v>
      </c>
      <c r="H106" s="1116" t="s">
        <v>1675</v>
      </c>
      <c r="I106" s="1116" t="s">
        <v>1781</v>
      </c>
      <c r="J106" s="1116" t="s">
        <v>1677</v>
      </c>
      <c r="K106" s="1119">
        <v>44902.0004976852</v>
      </c>
      <c r="L106" s="1119">
        <v>44902.0004976852</v>
      </c>
      <c r="M106" s="1116" t="s">
        <v>1678</v>
      </c>
      <c r="N106" s="1116" t="s">
        <v>1983</v>
      </c>
      <c r="O106" s="1116">
        <v>3620</v>
      </c>
      <c r="P106" s="1116">
        <v>3620</v>
      </c>
      <c r="Q106" s="1116">
        <v>30.39</v>
      </c>
      <c r="R106" s="1116">
        <v>182</v>
      </c>
      <c r="S106" s="1116">
        <v>0</v>
      </c>
    </row>
    <row r="107" s="1116" customFormat="1" spans="1:19">
      <c r="A107" s="1116" t="s">
        <v>1984</v>
      </c>
      <c r="B107" s="1116" t="s">
        <v>1672</v>
      </c>
      <c r="C107" s="1116" t="s">
        <v>1985</v>
      </c>
      <c r="D107" s="1116">
        <v>33123.7</v>
      </c>
      <c r="E107" s="1116">
        <v>132494.8</v>
      </c>
      <c r="F107" s="1116" t="s">
        <v>1674</v>
      </c>
      <c r="G107" s="1116" t="s">
        <v>1870</v>
      </c>
      <c r="H107" s="1116">
        <v>40</v>
      </c>
      <c r="I107" s="1116" t="s">
        <v>1986</v>
      </c>
      <c r="J107" s="1116" t="s">
        <v>1677</v>
      </c>
      <c r="K107" s="1119">
        <v>44895.0004976852</v>
      </c>
      <c r="L107" s="1119">
        <v>44895.0004976852</v>
      </c>
      <c r="M107" s="1116" t="s">
        <v>1678</v>
      </c>
      <c r="N107" s="1116" t="s">
        <v>1987</v>
      </c>
      <c r="O107" s="1116">
        <v>11120</v>
      </c>
      <c r="P107" s="1116">
        <v>11120</v>
      </c>
      <c r="Q107" s="1116">
        <v>223.81</v>
      </c>
      <c r="R107" s="1116">
        <v>839</v>
      </c>
      <c r="S107" s="1116">
        <v>0</v>
      </c>
    </row>
    <row r="108" s="1116" customFormat="1" spans="1:19">
      <c r="A108" s="1116" t="s">
        <v>1984</v>
      </c>
      <c r="B108" s="1116" t="s">
        <v>1672</v>
      </c>
      <c r="C108" s="1116" t="s">
        <v>1988</v>
      </c>
      <c r="D108" s="1116">
        <v>16032.6</v>
      </c>
      <c r="E108" s="1116">
        <v>16032.6</v>
      </c>
      <c r="F108" s="1116" t="s">
        <v>1674</v>
      </c>
      <c r="G108" s="1116" t="s">
        <v>1674</v>
      </c>
      <c r="H108" s="1116" t="s">
        <v>1711</v>
      </c>
      <c r="I108" s="1116" t="s">
        <v>1853</v>
      </c>
      <c r="J108" s="1116" t="s">
        <v>1677</v>
      </c>
      <c r="K108" s="1119">
        <v>44881.0004976852</v>
      </c>
      <c r="L108" s="1119">
        <v>44881.0004976852</v>
      </c>
      <c r="M108" s="1116" t="s">
        <v>1678</v>
      </c>
      <c r="N108" s="1116" t="s">
        <v>1989</v>
      </c>
      <c r="O108" s="1116">
        <v>370</v>
      </c>
      <c r="P108" s="1116">
        <v>370</v>
      </c>
      <c r="Q108" s="1116">
        <v>15.39</v>
      </c>
      <c r="R108" s="1116">
        <v>231</v>
      </c>
      <c r="S108" s="1116">
        <v>0</v>
      </c>
    </row>
    <row r="109" s="1116" customFormat="1" spans="1:19">
      <c r="A109" s="1116" t="s">
        <v>1693</v>
      </c>
      <c r="B109" s="1116" t="s">
        <v>1672</v>
      </c>
      <c r="C109" s="1116" t="s">
        <v>1990</v>
      </c>
      <c r="D109" s="1116">
        <v>64756.4</v>
      </c>
      <c r="E109" s="1116">
        <v>64756.4</v>
      </c>
      <c r="F109" s="1116" t="s">
        <v>1674</v>
      </c>
      <c r="G109" s="1116" t="s">
        <v>1674</v>
      </c>
      <c r="H109" s="1116" t="s">
        <v>1675</v>
      </c>
      <c r="I109" s="1116" t="s">
        <v>1923</v>
      </c>
      <c r="J109" s="1116" t="s">
        <v>1677</v>
      </c>
      <c r="K109" s="1119">
        <v>44862.0004976852</v>
      </c>
      <c r="L109" s="1119">
        <v>44862.0004976852</v>
      </c>
      <c r="M109" s="1116" t="s">
        <v>1678</v>
      </c>
      <c r="N109" s="1116" t="s">
        <v>1991</v>
      </c>
      <c r="O109" s="1116">
        <v>4860</v>
      </c>
      <c r="P109" s="1116">
        <v>4860</v>
      </c>
      <c r="Q109" s="1116">
        <v>50.03</v>
      </c>
      <c r="R109" s="1116">
        <v>751</v>
      </c>
      <c r="S109" s="1116">
        <v>0</v>
      </c>
    </row>
    <row r="110" s="1116" customFormat="1" spans="1:19">
      <c r="A110" s="1116" t="s">
        <v>1709</v>
      </c>
      <c r="B110" s="1116" t="s">
        <v>1672</v>
      </c>
      <c r="C110" s="1116" t="s">
        <v>1992</v>
      </c>
      <c r="D110" s="1116">
        <v>26000</v>
      </c>
      <c r="E110" s="1116">
        <v>52000</v>
      </c>
      <c r="F110" s="1116" t="s">
        <v>1674</v>
      </c>
      <c r="G110" s="1116" t="s">
        <v>1674</v>
      </c>
      <c r="H110" s="1116" t="s">
        <v>1675</v>
      </c>
      <c r="I110" s="1116" t="s">
        <v>1686</v>
      </c>
      <c r="J110" s="1116" t="s">
        <v>1677</v>
      </c>
      <c r="K110" s="1119">
        <v>44819.0004976852</v>
      </c>
      <c r="L110" s="1119">
        <v>44819.0004976852</v>
      </c>
      <c r="M110" s="1116" t="s">
        <v>1678</v>
      </c>
      <c r="N110" s="1116" t="s">
        <v>1993</v>
      </c>
      <c r="O110" s="1116">
        <v>1190</v>
      </c>
      <c r="P110" s="1116">
        <v>1190</v>
      </c>
      <c r="Q110" s="1116">
        <v>30.51</v>
      </c>
      <c r="R110" s="1116">
        <v>229</v>
      </c>
      <c r="S110" s="1116">
        <v>0</v>
      </c>
    </row>
    <row r="111" s="1116" customFormat="1" spans="1:19">
      <c r="A111" s="1116" t="s">
        <v>1994</v>
      </c>
      <c r="B111" s="1116" t="s">
        <v>1672</v>
      </c>
      <c r="C111" s="1116" t="s">
        <v>1995</v>
      </c>
      <c r="D111" s="1116">
        <v>15086.8</v>
      </c>
      <c r="E111" s="1116">
        <v>15086.8</v>
      </c>
      <c r="F111" s="1116" t="s">
        <v>1674</v>
      </c>
      <c r="G111" s="1116" t="s">
        <v>1674</v>
      </c>
      <c r="H111" s="1116" t="s">
        <v>1675</v>
      </c>
      <c r="I111" s="1116" t="s">
        <v>1942</v>
      </c>
      <c r="J111" s="1116" t="s">
        <v>1677</v>
      </c>
      <c r="K111" s="1119">
        <v>44819.0004976852</v>
      </c>
      <c r="L111" s="1119">
        <v>44819.0004976852</v>
      </c>
      <c r="M111" s="1116" t="s">
        <v>1678</v>
      </c>
      <c r="N111" s="1116" t="s">
        <v>1996</v>
      </c>
      <c r="O111" s="1116">
        <v>840</v>
      </c>
      <c r="P111" s="1116">
        <v>840</v>
      </c>
      <c r="Q111" s="1116">
        <v>37.12</v>
      </c>
      <c r="R111" s="1116">
        <v>557</v>
      </c>
      <c r="S111" s="1116">
        <v>0</v>
      </c>
    </row>
    <row r="112" s="1116" customFormat="1" spans="1:19">
      <c r="A112" s="1116" t="s">
        <v>1841</v>
      </c>
      <c r="B112" s="1116" t="s">
        <v>1672</v>
      </c>
      <c r="C112" s="1116" t="s">
        <v>1997</v>
      </c>
      <c r="D112" s="1116">
        <v>6632.5</v>
      </c>
      <c r="E112" s="1116">
        <v>9948.75</v>
      </c>
      <c r="F112" s="1116" t="s">
        <v>1674</v>
      </c>
      <c r="G112" s="1116" t="s">
        <v>1674</v>
      </c>
      <c r="H112" s="1116" t="s">
        <v>1675</v>
      </c>
      <c r="I112" s="1116" t="s">
        <v>1847</v>
      </c>
      <c r="J112" s="1116" t="s">
        <v>1677</v>
      </c>
      <c r="K112" s="1119">
        <v>44811.0004976852</v>
      </c>
      <c r="L112" s="1119">
        <v>44811.0004976852</v>
      </c>
      <c r="M112" s="1116" t="s">
        <v>1678</v>
      </c>
      <c r="N112" s="1116" t="s">
        <v>1998</v>
      </c>
      <c r="O112" s="1116">
        <v>580</v>
      </c>
      <c r="P112" s="1116">
        <v>580</v>
      </c>
      <c r="Q112" s="1116">
        <v>58.3</v>
      </c>
      <c r="R112" s="1116">
        <v>583</v>
      </c>
      <c r="S112" s="1116">
        <v>0</v>
      </c>
    </row>
    <row r="113" s="1116" customFormat="1" spans="1:19">
      <c r="A113" s="1116" t="s">
        <v>1697</v>
      </c>
      <c r="B113" s="1116" t="s">
        <v>1672</v>
      </c>
      <c r="C113" s="1116" t="s">
        <v>1999</v>
      </c>
      <c r="D113" s="1116">
        <v>17923.8</v>
      </c>
      <c r="E113" s="1116">
        <v>35847.6</v>
      </c>
      <c r="F113" s="1116" t="s">
        <v>1674</v>
      </c>
      <c r="G113" s="1116" t="s">
        <v>1674</v>
      </c>
      <c r="H113" s="1116" t="s">
        <v>1675</v>
      </c>
      <c r="I113" s="1116" t="s">
        <v>1686</v>
      </c>
      <c r="J113" s="1116" t="s">
        <v>1677</v>
      </c>
      <c r="K113" s="1119">
        <v>44811.0004976852</v>
      </c>
      <c r="L113" s="1119">
        <v>44811.0004976852</v>
      </c>
      <c r="M113" s="1116" t="s">
        <v>1678</v>
      </c>
      <c r="N113" s="1116" t="s">
        <v>2000</v>
      </c>
      <c r="O113" s="1116">
        <v>920</v>
      </c>
      <c r="P113" s="1116">
        <v>920</v>
      </c>
      <c r="Q113" s="1116">
        <v>34.22</v>
      </c>
      <c r="R113" s="1116">
        <v>257</v>
      </c>
      <c r="S113" s="1116">
        <v>0</v>
      </c>
    </row>
    <row r="114" s="1116" customFormat="1" spans="1:19">
      <c r="A114" s="1116" t="s">
        <v>1693</v>
      </c>
      <c r="B114" s="1116" t="s">
        <v>1672</v>
      </c>
      <c r="C114" s="1116" t="s">
        <v>2001</v>
      </c>
      <c r="D114" s="1116">
        <v>50000</v>
      </c>
      <c r="E114" s="1116">
        <v>50000</v>
      </c>
      <c r="F114" s="1116" t="s">
        <v>1674</v>
      </c>
      <c r="G114" s="1116" t="s">
        <v>1674</v>
      </c>
      <c r="H114" s="1116" t="s">
        <v>1675</v>
      </c>
      <c r="I114" s="1116" t="s">
        <v>1923</v>
      </c>
      <c r="J114" s="1116" t="s">
        <v>1677</v>
      </c>
      <c r="K114" s="1119">
        <v>44776.0004976852</v>
      </c>
      <c r="L114" s="1119">
        <v>44776.0004976852</v>
      </c>
      <c r="M114" s="1116" t="s">
        <v>1678</v>
      </c>
      <c r="N114" s="1116" t="s">
        <v>2002</v>
      </c>
      <c r="O114" s="1116">
        <v>2750</v>
      </c>
      <c r="P114" s="1116">
        <v>2750</v>
      </c>
      <c r="Q114" s="1116">
        <v>36.67</v>
      </c>
      <c r="R114" s="1116">
        <v>550</v>
      </c>
      <c r="S114" s="1116">
        <v>0</v>
      </c>
    </row>
    <row r="115" s="1116" customFormat="1" spans="1:19">
      <c r="A115" s="1116" t="s">
        <v>1697</v>
      </c>
      <c r="B115" s="1116" t="s">
        <v>1672</v>
      </c>
      <c r="C115" s="1116" t="s">
        <v>2003</v>
      </c>
      <c r="D115" s="1116">
        <v>67722.4</v>
      </c>
      <c r="E115" s="1116">
        <v>135444.8</v>
      </c>
      <c r="F115" s="1116" t="s">
        <v>1674</v>
      </c>
      <c r="G115" s="1116" t="s">
        <v>1674</v>
      </c>
      <c r="H115" s="1116" t="s">
        <v>1675</v>
      </c>
      <c r="I115" s="1116" t="s">
        <v>1686</v>
      </c>
      <c r="J115" s="1116" t="s">
        <v>1677</v>
      </c>
      <c r="K115" s="1119">
        <v>44776.0004976852</v>
      </c>
      <c r="L115" s="1119">
        <v>44776.0004976852</v>
      </c>
      <c r="M115" s="1116" t="s">
        <v>1678</v>
      </c>
      <c r="N115" s="1116" t="s">
        <v>1739</v>
      </c>
      <c r="O115" s="1116">
        <v>3460</v>
      </c>
      <c r="P115" s="1116">
        <v>3460</v>
      </c>
      <c r="Q115" s="1116">
        <v>34.06</v>
      </c>
      <c r="R115" s="1116">
        <v>255</v>
      </c>
      <c r="S115" s="1116">
        <v>0</v>
      </c>
    </row>
    <row r="116" s="1116" customFormat="1" spans="1:19">
      <c r="A116" s="1116" t="s">
        <v>1709</v>
      </c>
      <c r="B116" s="1116" t="s">
        <v>1672</v>
      </c>
      <c r="C116" s="1116" t="s">
        <v>2004</v>
      </c>
      <c r="D116" s="1116">
        <v>19602.5</v>
      </c>
      <c r="E116" s="1116">
        <v>39205</v>
      </c>
      <c r="F116" s="1116" t="s">
        <v>1674</v>
      </c>
      <c r="G116" s="1116" t="s">
        <v>1674</v>
      </c>
      <c r="H116" s="1116" t="s">
        <v>1675</v>
      </c>
      <c r="I116" s="1116" t="s">
        <v>1699</v>
      </c>
      <c r="J116" s="1116" t="s">
        <v>1677</v>
      </c>
      <c r="K116" s="1119">
        <v>44769.0004976852</v>
      </c>
      <c r="L116" s="1119">
        <v>44769.0004976852</v>
      </c>
      <c r="M116" s="1116" t="s">
        <v>1678</v>
      </c>
      <c r="N116" s="1116" t="s">
        <v>2005</v>
      </c>
      <c r="O116" s="1116">
        <v>900</v>
      </c>
      <c r="P116" s="1116">
        <v>900</v>
      </c>
      <c r="Q116" s="1116">
        <v>30.61</v>
      </c>
      <c r="R116" s="1116">
        <v>230</v>
      </c>
      <c r="S116" s="1116">
        <v>0</v>
      </c>
    </row>
    <row r="117" s="1116" customFormat="1" spans="1:19">
      <c r="A117" s="1116" t="s">
        <v>1925</v>
      </c>
      <c r="B117" s="1116" t="s">
        <v>1672</v>
      </c>
      <c r="C117" s="1116" t="s">
        <v>2006</v>
      </c>
      <c r="D117" s="1116">
        <v>62700</v>
      </c>
      <c r="E117" s="1116">
        <v>43890</v>
      </c>
      <c r="F117" s="1116" t="s">
        <v>1674</v>
      </c>
      <c r="G117" s="1116" t="s">
        <v>1674</v>
      </c>
      <c r="H117" s="1116" t="s">
        <v>1675</v>
      </c>
      <c r="I117" s="1116" t="s">
        <v>1889</v>
      </c>
      <c r="J117" s="1116" t="s">
        <v>1677</v>
      </c>
      <c r="K117" s="1119">
        <v>44769.0004976852</v>
      </c>
      <c r="L117" s="1119">
        <v>44769.0004976852</v>
      </c>
      <c r="M117" s="1116" t="s">
        <v>1678</v>
      </c>
      <c r="N117" s="1116" t="s">
        <v>2007</v>
      </c>
      <c r="O117" s="1116">
        <v>3540</v>
      </c>
      <c r="P117" s="1116">
        <v>3540</v>
      </c>
      <c r="Q117" s="1116">
        <v>37.64</v>
      </c>
      <c r="R117" s="1116">
        <v>807</v>
      </c>
      <c r="S117" s="1116">
        <v>0</v>
      </c>
    </row>
    <row r="118" s="1116" customFormat="1" spans="1:19">
      <c r="A118" s="1116" t="s">
        <v>1860</v>
      </c>
      <c r="B118" s="1116" t="s">
        <v>1672</v>
      </c>
      <c r="C118" s="1116" t="s">
        <v>2008</v>
      </c>
      <c r="D118" s="1116">
        <v>273459.8</v>
      </c>
      <c r="E118" s="1116">
        <v>273459.8</v>
      </c>
      <c r="F118" s="1116" t="s">
        <v>1674</v>
      </c>
      <c r="G118" s="1116" t="s">
        <v>1674</v>
      </c>
      <c r="H118" s="1116" t="s">
        <v>1675</v>
      </c>
      <c r="I118" s="1116" t="s">
        <v>1942</v>
      </c>
      <c r="J118" s="1116" t="s">
        <v>1677</v>
      </c>
      <c r="K118" s="1119">
        <v>44762.0004976852</v>
      </c>
      <c r="L118" s="1119">
        <v>44762.0004976852</v>
      </c>
      <c r="M118" s="1116" t="s">
        <v>1678</v>
      </c>
      <c r="N118" s="1116" t="s">
        <v>2009</v>
      </c>
      <c r="O118" s="1116">
        <v>15050</v>
      </c>
      <c r="P118" s="1116">
        <v>15050</v>
      </c>
      <c r="Q118" s="1116">
        <v>36.69</v>
      </c>
      <c r="R118" s="1116">
        <v>550</v>
      </c>
      <c r="S118" s="1116">
        <v>0</v>
      </c>
    </row>
    <row r="119" s="1116" customFormat="1" spans="1:19">
      <c r="A119" s="1116" t="s">
        <v>2010</v>
      </c>
      <c r="B119" s="1116" t="s">
        <v>1672</v>
      </c>
      <c r="C119" s="1116" t="s">
        <v>2011</v>
      </c>
      <c r="D119" s="1116">
        <v>42020.9</v>
      </c>
      <c r="E119" s="1116">
        <v>29414.63</v>
      </c>
      <c r="F119" s="1116" t="s">
        <v>1674</v>
      </c>
      <c r="G119" s="1116" t="s">
        <v>1674</v>
      </c>
      <c r="H119" s="1116" t="s">
        <v>1675</v>
      </c>
      <c r="I119" s="1116" t="s">
        <v>1889</v>
      </c>
      <c r="J119" s="1116" t="s">
        <v>1677</v>
      </c>
      <c r="K119" s="1119">
        <v>44741.0004976852</v>
      </c>
      <c r="L119" s="1119">
        <v>44741.0004976852</v>
      </c>
      <c r="M119" s="1116" t="s">
        <v>1678</v>
      </c>
      <c r="N119" s="1116" t="s">
        <v>2012</v>
      </c>
      <c r="O119" s="1116">
        <v>2370</v>
      </c>
      <c r="P119" s="1116">
        <v>2370</v>
      </c>
      <c r="Q119" s="1116">
        <v>37.6</v>
      </c>
      <c r="R119" s="1116">
        <v>806</v>
      </c>
      <c r="S119" s="1116">
        <v>0</v>
      </c>
    </row>
    <row r="120" s="1116" customFormat="1" spans="1:19">
      <c r="A120" s="1116" t="s">
        <v>1693</v>
      </c>
      <c r="B120" s="1116" t="s">
        <v>1672</v>
      </c>
      <c r="C120" s="1116" t="s">
        <v>2013</v>
      </c>
      <c r="D120" s="1116">
        <v>446.7</v>
      </c>
      <c r="E120" s="1116">
        <v>446.7</v>
      </c>
      <c r="F120" s="1116" t="s">
        <v>1674</v>
      </c>
      <c r="G120" s="1116" t="s">
        <v>1674</v>
      </c>
      <c r="H120" s="1116" t="s">
        <v>1675</v>
      </c>
      <c r="I120" s="1116" t="s">
        <v>1923</v>
      </c>
      <c r="J120" s="1116" t="s">
        <v>1677</v>
      </c>
      <c r="K120" s="1119">
        <v>44734.0004976852</v>
      </c>
      <c r="L120" s="1119">
        <v>44734.0004976852</v>
      </c>
      <c r="M120" s="1116" t="s">
        <v>1678</v>
      </c>
      <c r="N120" s="1116" t="s">
        <v>2014</v>
      </c>
      <c r="O120" s="1116">
        <v>40</v>
      </c>
      <c r="P120" s="1116">
        <v>40</v>
      </c>
      <c r="Q120" s="1116">
        <v>59.7</v>
      </c>
      <c r="R120" s="1116">
        <v>895</v>
      </c>
      <c r="S120" s="1116">
        <v>0</v>
      </c>
    </row>
    <row r="121" s="1116" customFormat="1" spans="1:19">
      <c r="A121" s="1116" t="s">
        <v>1693</v>
      </c>
      <c r="B121" s="1116" t="s">
        <v>1672</v>
      </c>
      <c r="C121" s="1116" t="s">
        <v>2015</v>
      </c>
      <c r="D121" s="1116">
        <v>37458.4</v>
      </c>
      <c r="E121" s="1116">
        <v>37458.4</v>
      </c>
      <c r="F121" s="1116" t="s">
        <v>1674</v>
      </c>
      <c r="G121" s="1116" t="s">
        <v>1674</v>
      </c>
      <c r="H121" s="1116" t="s">
        <v>1675</v>
      </c>
      <c r="I121" s="1116" t="s">
        <v>1923</v>
      </c>
      <c r="J121" s="1116" t="s">
        <v>1677</v>
      </c>
      <c r="K121" s="1119">
        <v>44734.0004976852</v>
      </c>
      <c r="L121" s="1119">
        <v>44734.0004976852</v>
      </c>
      <c r="M121" s="1116" t="s">
        <v>1678</v>
      </c>
      <c r="N121" s="1116" t="s">
        <v>2016</v>
      </c>
      <c r="O121" s="1116">
        <v>2070</v>
      </c>
      <c r="P121" s="1116">
        <v>2070</v>
      </c>
      <c r="Q121" s="1116">
        <v>36.84</v>
      </c>
      <c r="R121" s="1116">
        <v>553</v>
      </c>
      <c r="S121" s="1116">
        <v>0</v>
      </c>
    </row>
    <row r="122" s="1116" customFormat="1" spans="1:19">
      <c r="A122" s="1116" t="s">
        <v>2017</v>
      </c>
      <c r="B122" s="1116" t="s">
        <v>1672</v>
      </c>
      <c r="C122" s="1116" t="s">
        <v>2018</v>
      </c>
      <c r="D122" s="1116">
        <v>25618.3</v>
      </c>
      <c r="E122" s="1116">
        <v>64045.75</v>
      </c>
      <c r="F122" s="1116" t="s">
        <v>1674</v>
      </c>
      <c r="G122" s="1116" t="s">
        <v>1674</v>
      </c>
      <c r="H122" s="1116" t="s">
        <v>1675</v>
      </c>
      <c r="I122" s="1116" t="s">
        <v>1781</v>
      </c>
      <c r="J122" s="1116" t="s">
        <v>1677</v>
      </c>
      <c r="K122" s="1119">
        <v>44734.0004976852</v>
      </c>
      <c r="L122" s="1119">
        <v>44734.0004976852</v>
      </c>
      <c r="M122" s="1116" t="s">
        <v>1678</v>
      </c>
      <c r="N122" s="1116" t="s">
        <v>2019</v>
      </c>
      <c r="O122" s="1116">
        <v>1300</v>
      </c>
      <c r="P122" s="1116">
        <v>1300</v>
      </c>
      <c r="Q122" s="1116">
        <v>33.83</v>
      </c>
      <c r="R122" s="1116">
        <v>203</v>
      </c>
      <c r="S122" s="1116">
        <v>0</v>
      </c>
    </row>
    <row r="123" s="1116" customFormat="1" spans="1:19">
      <c r="A123" s="1116" t="s">
        <v>2020</v>
      </c>
      <c r="B123" s="1116" t="s">
        <v>1672</v>
      </c>
      <c r="C123" s="1116" t="s">
        <v>2021</v>
      </c>
      <c r="D123" s="1116">
        <v>53678.5</v>
      </c>
      <c r="E123" s="1116">
        <v>107357</v>
      </c>
      <c r="F123" s="1116" t="s">
        <v>1674</v>
      </c>
      <c r="G123" s="1116" t="s">
        <v>1674</v>
      </c>
      <c r="H123" s="1116" t="s">
        <v>1675</v>
      </c>
      <c r="I123" s="1116" t="s">
        <v>1734</v>
      </c>
      <c r="J123" s="1116" t="s">
        <v>1677</v>
      </c>
      <c r="K123" s="1119">
        <v>44734.0004976852</v>
      </c>
      <c r="L123" s="1119">
        <v>44734.0004976852</v>
      </c>
      <c r="M123" s="1116" t="s">
        <v>1678</v>
      </c>
      <c r="N123" s="1116" t="s">
        <v>2022</v>
      </c>
      <c r="O123" s="1116">
        <v>3120</v>
      </c>
      <c r="P123" s="1116">
        <v>3120</v>
      </c>
      <c r="Q123" s="1116">
        <v>38.75</v>
      </c>
      <c r="R123" s="1116">
        <v>291</v>
      </c>
      <c r="S123" s="1116">
        <v>0</v>
      </c>
    </row>
    <row r="124" s="1116" customFormat="1" spans="1:19">
      <c r="A124" s="1116" t="s">
        <v>2017</v>
      </c>
      <c r="B124" s="1116" t="s">
        <v>1672</v>
      </c>
      <c r="C124" s="1116" t="s">
        <v>2023</v>
      </c>
      <c r="D124" s="1116">
        <v>80000</v>
      </c>
      <c r="E124" s="1116">
        <v>200000</v>
      </c>
      <c r="F124" s="1116" t="s">
        <v>1674</v>
      </c>
      <c r="G124" s="1116" t="s">
        <v>1674</v>
      </c>
      <c r="H124" s="1116" t="s">
        <v>1711</v>
      </c>
      <c r="I124" s="1116" t="s">
        <v>1781</v>
      </c>
      <c r="J124" s="1116" t="s">
        <v>1677</v>
      </c>
      <c r="K124" s="1119">
        <v>44727.0004976852</v>
      </c>
      <c r="L124" s="1119">
        <v>44727.0004976852</v>
      </c>
      <c r="M124" s="1116" t="s">
        <v>1678</v>
      </c>
      <c r="N124" s="1116" t="s">
        <v>2024</v>
      </c>
      <c r="O124" s="1116">
        <v>1620</v>
      </c>
      <c r="P124" s="1116">
        <v>1620</v>
      </c>
      <c r="Q124" s="1116">
        <v>13.5</v>
      </c>
      <c r="R124" s="1116">
        <v>81</v>
      </c>
      <c r="S124" s="1116">
        <v>0</v>
      </c>
    </row>
    <row r="125" s="1116" customFormat="1" spans="1:19">
      <c r="A125" s="1116" t="s">
        <v>1693</v>
      </c>
      <c r="B125" s="1116" t="s">
        <v>1672</v>
      </c>
      <c r="C125" s="1116" t="s">
        <v>2025</v>
      </c>
      <c r="D125" s="1116">
        <v>4239.5</v>
      </c>
      <c r="E125" s="1116">
        <v>4239.5</v>
      </c>
      <c r="F125" s="1116" t="s">
        <v>1674</v>
      </c>
      <c r="G125" s="1116" t="s">
        <v>1674</v>
      </c>
      <c r="H125" s="1116">
        <v>50</v>
      </c>
      <c r="I125" s="1116" t="s">
        <v>2026</v>
      </c>
      <c r="J125" s="1116" t="s">
        <v>1677</v>
      </c>
      <c r="K125" s="1119">
        <v>44713.0004976852</v>
      </c>
      <c r="L125" s="1119">
        <v>44713.0004976852</v>
      </c>
      <c r="M125" s="1116" t="s">
        <v>1678</v>
      </c>
      <c r="N125" s="1116" t="s">
        <v>2027</v>
      </c>
      <c r="O125" s="1116">
        <v>240</v>
      </c>
      <c r="P125" s="1116">
        <v>240</v>
      </c>
      <c r="Q125" s="1116">
        <v>37.74</v>
      </c>
      <c r="R125" s="1116">
        <v>566</v>
      </c>
      <c r="S125" s="1116">
        <v>0</v>
      </c>
    </row>
    <row r="126" s="1116" customFormat="1" spans="1:19">
      <c r="A126" s="1116" t="s">
        <v>1971</v>
      </c>
      <c r="B126" s="1116" t="s">
        <v>1672</v>
      </c>
      <c r="C126" s="1116" t="s">
        <v>2028</v>
      </c>
      <c r="D126" s="1116">
        <v>20006.1</v>
      </c>
      <c r="E126" s="1116">
        <v>20006.1</v>
      </c>
      <c r="F126" s="1116" t="s">
        <v>1674</v>
      </c>
      <c r="G126" s="1116" t="s">
        <v>1674</v>
      </c>
      <c r="H126" s="1116">
        <v>50</v>
      </c>
      <c r="I126" s="1116" t="s">
        <v>1853</v>
      </c>
      <c r="J126" s="1116" t="s">
        <v>1677</v>
      </c>
      <c r="K126" s="1119">
        <v>44706.0004976852</v>
      </c>
      <c r="L126" s="1119">
        <v>44706.0004976852</v>
      </c>
      <c r="M126" s="1116" t="s">
        <v>1678</v>
      </c>
      <c r="N126" s="1116" t="s">
        <v>2029</v>
      </c>
      <c r="O126" s="1116">
        <v>1020</v>
      </c>
      <c r="P126" s="1116">
        <v>1020</v>
      </c>
      <c r="Q126" s="1116">
        <v>33.99</v>
      </c>
      <c r="R126" s="1116">
        <v>510</v>
      </c>
      <c r="S126" s="1116">
        <v>0</v>
      </c>
    </row>
    <row r="127" s="1116" customFormat="1" spans="1:19">
      <c r="A127" s="1116" t="s">
        <v>1971</v>
      </c>
      <c r="B127" s="1116" t="s">
        <v>1672</v>
      </c>
      <c r="C127" s="1116" t="s">
        <v>2030</v>
      </c>
      <c r="D127" s="1116">
        <v>40429.7</v>
      </c>
      <c r="E127" s="1116">
        <v>101074.25</v>
      </c>
      <c r="F127" s="1116" t="s">
        <v>1674</v>
      </c>
      <c r="G127" s="1116" t="s">
        <v>1674</v>
      </c>
      <c r="H127" s="1116">
        <v>50</v>
      </c>
      <c r="I127" s="1116" t="s">
        <v>2031</v>
      </c>
      <c r="J127" s="1116" t="s">
        <v>1677</v>
      </c>
      <c r="K127" s="1119">
        <v>44706.0004976852</v>
      </c>
      <c r="L127" s="1119">
        <v>44706.0004976852</v>
      </c>
      <c r="M127" s="1116" t="s">
        <v>1678</v>
      </c>
      <c r="N127" s="1116" t="s">
        <v>2032</v>
      </c>
      <c r="O127" s="1116">
        <v>2050</v>
      </c>
      <c r="P127" s="1116">
        <v>2050</v>
      </c>
      <c r="Q127" s="1116">
        <v>33.8</v>
      </c>
      <c r="R127" s="1116">
        <v>203</v>
      </c>
      <c r="S127" s="1116">
        <v>0</v>
      </c>
    </row>
    <row r="128" s="1116" customFormat="1" spans="1:19">
      <c r="A128" s="1116" t="s">
        <v>1693</v>
      </c>
      <c r="B128" s="1116" t="s">
        <v>1672</v>
      </c>
      <c r="C128" s="1116" t="s">
        <v>2033</v>
      </c>
      <c r="D128" s="1116">
        <v>199998.6</v>
      </c>
      <c r="E128" s="1116">
        <v>199998.6</v>
      </c>
      <c r="F128" s="1116" t="s">
        <v>1674</v>
      </c>
      <c r="G128" s="1116" t="s">
        <v>1674</v>
      </c>
      <c r="H128" s="1116" t="s">
        <v>1675</v>
      </c>
      <c r="I128" s="1116" t="s">
        <v>1923</v>
      </c>
      <c r="J128" s="1116" t="s">
        <v>1677</v>
      </c>
      <c r="K128" s="1119">
        <v>44699.0004976852</v>
      </c>
      <c r="L128" s="1119">
        <v>44699.0004976852</v>
      </c>
      <c r="M128" s="1116" t="s">
        <v>1678</v>
      </c>
      <c r="N128" s="1116" t="s">
        <v>2034</v>
      </c>
      <c r="O128" s="1116">
        <v>15000</v>
      </c>
      <c r="P128" s="1116">
        <v>15000</v>
      </c>
      <c r="Q128" s="1116">
        <v>50</v>
      </c>
      <c r="R128" s="1116">
        <v>750</v>
      </c>
      <c r="S128" s="1116">
        <v>0</v>
      </c>
    </row>
    <row r="129" s="1116" customFormat="1" spans="1:19">
      <c r="A129" s="1116" t="s">
        <v>1693</v>
      </c>
      <c r="B129" s="1116" t="s">
        <v>1672</v>
      </c>
      <c r="C129" s="1116" t="s">
        <v>2035</v>
      </c>
      <c r="D129" s="1116">
        <v>462341</v>
      </c>
      <c r="E129" s="1116">
        <v>462341</v>
      </c>
      <c r="F129" s="1116" t="s">
        <v>1674</v>
      </c>
      <c r="G129" s="1116" t="s">
        <v>1674</v>
      </c>
      <c r="H129" s="1116" t="s">
        <v>1675</v>
      </c>
      <c r="I129" s="1116" t="s">
        <v>1923</v>
      </c>
      <c r="J129" s="1116" t="s">
        <v>1677</v>
      </c>
      <c r="K129" s="1119">
        <v>44678.0004976852</v>
      </c>
      <c r="L129" s="1119">
        <v>44678.0004976852</v>
      </c>
      <c r="M129" s="1116" t="s">
        <v>1678</v>
      </c>
      <c r="N129" s="1116" t="s">
        <v>2014</v>
      </c>
      <c r="O129" s="1116">
        <v>34680</v>
      </c>
      <c r="P129" s="1116">
        <v>34680</v>
      </c>
      <c r="Q129" s="1116">
        <v>50.01</v>
      </c>
      <c r="R129" s="1116">
        <v>750</v>
      </c>
      <c r="S129" s="1116">
        <v>0</v>
      </c>
    </row>
    <row r="130" s="1115" customFormat="1" spans="1:19">
      <c r="A130" s="1115" t="s">
        <v>1671</v>
      </c>
      <c r="B130" s="1115" t="s">
        <v>1672</v>
      </c>
      <c r="C130" s="1115" t="s">
        <v>2036</v>
      </c>
      <c r="D130" s="1115">
        <v>3480.4</v>
      </c>
      <c r="E130" s="1115">
        <v>5220</v>
      </c>
      <c r="F130" s="1115" t="s">
        <v>1674</v>
      </c>
      <c r="G130" s="1115" t="s">
        <v>1674</v>
      </c>
      <c r="H130" s="1115" t="s">
        <v>1675</v>
      </c>
      <c r="I130" s="1115" t="s">
        <v>2037</v>
      </c>
      <c r="J130" s="1115" t="s">
        <v>1677</v>
      </c>
      <c r="K130" s="1120">
        <v>44678.0004976852</v>
      </c>
      <c r="L130" s="1120">
        <v>44678.0004976852</v>
      </c>
      <c r="M130" s="1115" t="s">
        <v>1678</v>
      </c>
      <c r="N130" s="1115" t="s">
        <v>2038</v>
      </c>
      <c r="O130" s="1115">
        <v>200</v>
      </c>
      <c r="P130" s="1115">
        <v>200</v>
      </c>
      <c r="Q130" s="1115">
        <v>38.31</v>
      </c>
      <c r="R130" s="1115">
        <v>383</v>
      </c>
      <c r="S130" s="1115">
        <v>0</v>
      </c>
    </row>
    <row r="131" s="1115" customFormat="1" spans="1:19">
      <c r="A131" s="1115" t="s">
        <v>1671</v>
      </c>
      <c r="B131" s="1115" t="s">
        <v>1672</v>
      </c>
      <c r="C131" s="1115" t="s">
        <v>2039</v>
      </c>
      <c r="D131" s="1115">
        <v>72083.8</v>
      </c>
      <c r="E131" s="1115">
        <v>144167</v>
      </c>
      <c r="F131" s="1115" t="s">
        <v>1674</v>
      </c>
      <c r="G131" s="1115" t="s">
        <v>1674</v>
      </c>
      <c r="H131" s="1115" t="s">
        <v>1675</v>
      </c>
      <c r="I131" s="1115" t="s">
        <v>1734</v>
      </c>
      <c r="J131" s="1115" t="s">
        <v>1677</v>
      </c>
      <c r="K131" s="1120">
        <v>44678.0004976852</v>
      </c>
      <c r="L131" s="1120">
        <v>44678.0004976852</v>
      </c>
      <c r="M131" s="1115" t="s">
        <v>1678</v>
      </c>
      <c r="N131" s="1115" t="s">
        <v>2040</v>
      </c>
      <c r="O131" s="1115">
        <v>4060</v>
      </c>
      <c r="P131" s="1115">
        <v>4060</v>
      </c>
      <c r="Q131" s="1115">
        <v>37.55</v>
      </c>
      <c r="R131" s="1115">
        <v>282</v>
      </c>
      <c r="S131" s="1115">
        <v>0</v>
      </c>
    </row>
    <row r="132" s="1116" customFormat="1" spans="1:19">
      <c r="A132" s="1116" t="s">
        <v>2041</v>
      </c>
      <c r="B132" s="1116" t="s">
        <v>1672</v>
      </c>
      <c r="C132" s="1116" t="s">
        <v>2042</v>
      </c>
      <c r="D132" s="1116">
        <v>5355</v>
      </c>
      <c r="E132" s="1116">
        <v>10710</v>
      </c>
      <c r="F132" s="1116" t="s">
        <v>1674</v>
      </c>
      <c r="G132" s="1116" t="s">
        <v>1674</v>
      </c>
      <c r="H132" s="1116">
        <v>50</v>
      </c>
      <c r="I132" s="1116" t="s">
        <v>1686</v>
      </c>
      <c r="J132" s="1116" t="s">
        <v>1677</v>
      </c>
      <c r="K132" s="1119">
        <v>44664.0004976852</v>
      </c>
      <c r="L132" s="1119">
        <v>44664.0004976852</v>
      </c>
      <c r="M132" s="1116" t="s">
        <v>1678</v>
      </c>
      <c r="N132" s="1116" t="s">
        <v>2043</v>
      </c>
      <c r="O132" s="1116">
        <v>260</v>
      </c>
      <c r="P132" s="1116">
        <v>260</v>
      </c>
      <c r="Q132" s="1116">
        <v>32.37</v>
      </c>
      <c r="R132" s="1116">
        <v>243</v>
      </c>
      <c r="S132" s="1116">
        <v>0</v>
      </c>
    </row>
    <row r="133" s="1116" customFormat="1" spans="1:19">
      <c r="A133" s="1116" t="s">
        <v>1971</v>
      </c>
      <c r="B133" s="1116" t="s">
        <v>1672</v>
      </c>
      <c r="C133" s="1116" t="s">
        <v>2044</v>
      </c>
      <c r="D133" s="1116">
        <v>21501.8</v>
      </c>
      <c r="E133" s="1116">
        <v>21501.8</v>
      </c>
      <c r="F133" s="1116" t="s">
        <v>1674</v>
      </c>
      <c r="G133" s="1116" t="s">
        <v>1674</v>
      </c>
      <c r="H133" s="1116">
        <v>50</v>
      </c>
      <c r="I133" s="1116" t="s">
        <v>1853</v>
      </c>
      <c r="J133" s="1116" t="s">
        <v>1677</v>
      </c>
      <c r="K133" s="1119">
        <v>44671.0004976852</v>
      </c>
      <c r="L133" s="1119">
        <v>44671.0004976852</v>
      </c>
      <c r="M133" s="1116" t="s">
        <v>1678</v>
      </c>
      <c r="N133" s="1116" t="s">
        <v>2045</v>
      </c>
      <c r="O133" s="1116">
        <v>1090</v>
      </c>
      <c r="P133" s="1116">
        <v>1090</v>
      </c>
      <c r="Q133" s="1116">
        <v>33.8</v>
      </c>
      <c r="R133" s="1116">
        <v>507</v>
      </c>
      <c r="S133" s="1116">
        <v>0</v>
      </c>
    </row>
    <row r="134" s="1115" customFormat="1" spans="1:19">
      <c r="A134" s="1115" t="s">
        <v>2046</v>
      </c>
      <c r="B134" s="1115" t="s">
        <v>1672</v>
      </c>
      <c r="C134" s="1115" t="s">
        <v>2047</v>
      </c>
      <c r="D134" s="1115">
        <v>53000</v>
      </c>
      <c r="E134" s="1115">
        <v>106000</v>
      </c>
      <c r="F134" s="1115" t="s">
        <v>1674</v>
      </c>
      <c r="G134" s="1115" t="s">
        <v>1674</v>
      </c>
      <c r="H134" s="1115">
        <v>50</v>
      </c>
      <c r="I134" s="1115" t="s">
        <v>1686</v>
      </c>
      <c r="J134" s="1115" t="s">
        <v>1677</v>
      </c>
      <c r="K134" s="1120">
        <v>44664.0004976852</v>
      </c>
      <c r="L134" s="1120">
        <v>44664.0004976852</v>
      </c>
      <c r="M134" s="1115" t="s">
        <v>1678</v>
      </c>
      <c r="N134" s="1115" t="s">
        <v>2048</v>
      </c>
      <c r="O134" s="1115">
        <v>2420</v>
      </c>
      <c r="P134" s="1115">
        <v>2420</v>
      </c>
      <c r="Q134" s="1115">
        <v>30.44</v>
      </c>
      <c r="R134" s="1115">
        <v>228</v>
      </c>
      <c r="S134" s="1115">
        <v>0</v>
      </c>
    </row>
    <row r="135" s="1116" customFormat="1" spans="1:19">
      <c r="A135" s="1116" t="s">
        <v>1830</v>
      </c>
      <c r="B135" s="1116" t="s">
        <v>1672</v>
      </c>
      <c r="C135" s="1116" t="s">
        <v>2049</v>
      </c>
      <c r="D135" s="1116">
        <v>44871.2</v>
      </c>
      <c r="E135" s="1116">
        <v>89742</v>
      </c>
      <c r="F135" s="1116" t="s">
        <v>1674</v>
      </c>
      <c r="G135" s="1116" t="s">
        <v>1674</v>
      </c>
      <c r="H135" s="1116">
        <v>50</v>
      </c>
      <c r="I135" s="1116" t="s">
        <v>2050</v>
      </c>
      <c r="J135" s="1116" t="s">
        <v>1677</v>
      </c>
      <c r="K135" s="1119">
        <v>44634.0004976852</v>
      </c>
      <c r="L135" s="1119">
        <v>44634.0004976852</v>
      </c>
      <c r="M135" s="1116" t="s">
        <v>1678</v>
      </c>
      <c r="N135" s="1116" t="s">
        <v>2051</v>
      </c>
      <c r="O135" s="1116">
        <v>1850</v>
      </c>
      <c r="P135" s="1116">
        <v>1850</v>
      </c>
      <c r="Q135" s="1116">
        <v>27.49</v>
      </c>
      <c r="R135" s="1116">
        <v>206</v>
      </c>
      <c r="S135" s="1116">
        <v>0</v>
      </c>
    </row>
    <row r="136" s="1116" customFormat="1" spans="1:19">
      <c r="A136" s="1116" t="s">
        <v>1697</v>
      </c>
      <c r="B136" s="1116" t="s">
        <v>1672</v>
      </c>
      <c r="C136" s="1116" t="s">
        <v>2052</v>
      </c>
      <c r="D136" s="1116">
        <v>29302.7</v>
      </c>
      <c r="E136" s="1116">
        <v>58605.4</v>
      </c>
      <c r="F136" s="1116" t="s">
        <v>1674</v>
      </c>
      <c r="G136" s="1116" t="s">
        <v>1674</v>
      </c>
      <c r="H136" s="1116" t="s">
        <v>1675</v>
      </c>
      <c r="I136" s="1116" t="s">
        <v>1866</v>
      </c>
      <c r="J136" s="1116" t="s">
        <v>1677</v>
      </c>
      <c r="K136" s="1119">
        <v>44586.0004976852</v>
      </c>
      <c r="L136" s="1119">
        <v>44586.0004976852</v>
      </c>
      <c r="M136" s="1116" t="s">
        <v>1678</v>
      </c>
      <c r="N136" s="1116" t="s">
        <v>2053</v>
      </c>
      <c r="O136" s="1116">
        <v>1470</v>
      </c>
      <c r="P136" s="1116">
        <v>1740</v>
      </c>
      <c r="Q136" s="1116">
        <v>39.59</v>
      </c>
      <c r="R136" s="1116">
        <v>297</v>
      </c>
      <c r="S136" s="1116">
        <v>18.37</v>
      </c>
    </row>
    <row r="137" s="1116" customFormat="1" spans="1:19">
      <c r="A137" s="1116" t="s">
        <v>1725</v>
      </c>
      <c r="B137" s="1116" t="s">
        <v>1672</v>
      </c>
      <c r="C137" s="1116" t="s">
        <v>2054</v>
      </c>
      <c r="D137" s="1116">
        <v>72444.4</v>
      </c>
      <c r="E137" s="1116">
        <v>144888.8</v>
      </c>
      <c r="F137" s="1116" t="s">
        <v>1674</v>
      </c>
      <c r="G137" s="1116" t="s">
        <v>1674</v>
      </c>
      <c r="H137" s="1116" t="s">
        <v>1675</v>
      </c>
      <c r="I137" s="1116" t="s">
        <v>1686</v>
      </c>
      <c r="J137" s="1116" t="s">
        <v>1677</v>
      </c>
      <c r="K137" s="1119">
        <v>44615.0004976852</v>
      </c>
      <c r="L137" s="1119">
        <v>44615.0004976852</v>
      </c>
      <c r="M137" s="1116" t="s">
        <v>1678</v>
      </c>
      <c r="N137" s="1116" t="s">
        <v>2055</v>
      </c>
      <c r="O137" s="1116">
        <v>5410</v>
      </c>
      <c r="P137" s="1116">
        <v>5410</v>
      </c>
      <c r="Q137" s="1116">
        <v>49.79</v>
      </c>
      <c r="R137" s="1116">
        <v>373</v>
      </c>
      <c r="S137" s="1116">
        <v>0</v>
      </c>
    </row>
    <row r="138" s="1117" customFormat="1" spans="1:19">
      <c r="A138" s="1117" t="s">
        <v>2056</v>
      </c>
      <c r="B138" s="1117" t="s">
        <v>1672</v>
      </c>
      <c r="C138" s="1117" t="s">
        <v>2057</v>
      </c>
      <c r="D138" s="1117">
        <v>11574.8</v>
      </c>
      <c r="E138" s="1117">
        <v>13889</v>
      </c>
      <c r="F138" s="1117" t="s">
        <v>1674</v>
      </c>
      <c r="G138" s="1117" t="s">
        <v>1674</v>
      </c>
      <c r="H138" s="1117">
        <v>50</v>
      </c>
      <c r="I138" s="1117" t="s">
        <v>1750</v>
      </c>
      <c r="J138" s="1117" t="s">
        <v>1677</v>
      </c>
      <c r="K138" s="1121">
        <v>44608.0004976852</v>
      </c>
      <c r="L138" s="1121">
        <v>44608.0004976852</v>
      </c>
      <c r="M138" s="1117" t="s">
        <v>1678</v>
      </c>
      <c r="N138" s="1117" t="s">
        <v>1836</v>
      </c>
      <c r="O138" s="1117">
        <v>580</v>
      </c>
      <c r="P138" s="1117">
        <v>580</v>
      </c>
      <c r="Q138" s="1117">
        <v>33.41</v>
      </c>
      <c r="R138" s="1117">
        <v>418</v>
      </c>
      <c r="S138" s="1117">
        <v>0</v>
      </c>
    </row>
    <row r="139" s="1116" customFormat="1" spans="1:19">
      <c r="A139" s="1116" t="s">
        <v>1693</v>
      </c>
      <c r="B139" s="1116" t="s">
        <v>1672</v>
      </c>
      <c r="C139" s="1116" t="s">
        <v>2058</v>
      </c>
      <c r="D139" s="1116">
        <v>69786</v>
      </c>
      <c r="E139" s="1116">
        <v>139572</v>
      </c>
      <c r="F139" s="1116" t="s">
        <v>1674</v>
      </c>
      <c r="G139" s="1116" t="s">
        <v>1674</v>
      </c>
      <c r="H139" s="1116">
        <v>50</v>
      </c>
      <c r="I139" s="1116" t="s">
        <v>1898</v>
      </c>
      <c r="J139" s="1116" t="s">
        <v>1677</v>
      </c>
      <c r="K139" s="1119">
        <v>44577.0004976852</v>
      </c>
      <c r="L139" s="1119">
        <v>44577.0004976852</v>
      </c>
      <c r="M139" s="1116" t="s">
        <v>1678</v>
      </c>
      <c r="N139" s="1116" t="s">
        <v>2059</v>
      </c>
      <c r="O139" s="1116">
        <v>5240</v>
      </c>
      <c r="P139" s="1116">
        <v>5240</v>
      </c>
      <c r="Q139" s="1116">
        <v>50.06</v>
      </c>
      <c r="R139" s="1116">
        <v>375</v>
      </c>
      <c r="S139" s="1116">
        <v>0</v>
      </c>
    </row>
    <row r="140" s="1116" customFormat="1" spans="1:19">
      <c r="A140" s="1116" t="s">
        <v>1709</v>
      </c>
      <c r="B140" s="1116" t="s">
        <v>1672</v>
      </c>
      <c r="C140" s="1116" t="s">
        <v>2060</v>
      </c>
      <c r="D140" s="1116">
        <v>103738.6</v>
      </c>
      <c r="E140" s="1116">
        <v>207477.2</v>
      </c>
      <c r="F140" s="1116" t="s">
        <v>1674</v>
      </c>
      <c r="G140" s="1116" t="s">
        <v>1674</v>
      </c>
      <c r="H140" s="1116">
        <v>50</v>
      </c>
      <c r="I140" s="1116" t="s">
        <v>2061</v>
      </c>
      <c r="J140" s="1116" t="s">
        <v>1677</v>
      </c>
      <c r="K140" s="1119">
        <v>44577.0004976852</v>
      </c>
      <c r="L140" s="1119">
        <v>44577.0004976852</v>
      </c>
      <c r="M140" s="1116" t="s">
        <v>1678</v>
      </c>
      <c r="N140" s="1116" t="s">
        <v>2062</v>
      </c>
      <c r="O140" s="1116">
        <v>4730</v>
      </c>
      <c r="P140" s="1116">
        <v>4730</v>
      </c>
      <c r="Q140" s="1116">
        <v>30.4</v>
      </c>
      <c r="R140" s="1116">
        <v>228</v>
      </c>
      <c r="S140" s="1116">
        <v>0</v>
      </c>
    </row>
    <row r="141" s="1116" customFormat="1" spans="1:19">
      <c r="A141" s="1116" t="s">
        <v>1830</v>
      </c>
      <c r="B141" s="1116" t="s">
        <v>1672</v>
      </c>
      <c r="C141" s="1116" t="s">
        <v>2063</v>
      </c>
      <c r="D141" s="1116">
        <v>55514.5</v>
      </c>
      <c r="E141" s="1116">
        <v>111000</v>
      </c>
      <c r="F141" s="1116" t="s">
        <v>1674</v>
      </c>
      <c r="G141" s="1116" t="s">
        <v>1674</v>
      </c>
      <c r="H141" s="1116" t="s">
        <v>1675</v>
      </c>
      <c r="I141" s="1116" t="s">
        <v>1734</v>
      </c>
      <c r="J141" s="1116" t="s">
        <v>1677</v>
      </c>
      <c r="K141" s="1119">
        <v>44573.0004976852</v>
      </c>
      <c r="L141" s="1119">
        <v>44573.0004976852</v>
      </c>
      <c r="M141" s="1116" t="s">
        <v>1678</v>
      </c>
      <c r="N141" s="1116" t="s">
        <v>2064</v>
      </c>
      <c r="O141" s="1116">
        <v>2840</v>
      </c>
      <c r="P141" s="1116">
        <v>2840</v>
      </c>
      <c r="Q141" s="1116">
        <v>34.11</v>
      </c>
      <c r="R141" s="1116">
        <v>256</v>
      </c>
      <c r="S141" s="1116">
        <v>0</v>
      </c>
    </row>
    <row r="142" s="1116" customFormat="1" spans="1:19">
      <c r="A142" s="1116" t="s">
        <v>2065</v>
      </c>
      <c r="B142" s="1116" t="s">
        <v>1672</v>
      </c>
      <c r="C142" s="1116" t="s">
        <v>2066</v>
      </c>
      <c r="D142" s="1116">
        <v>32730.1</v>
      </c>
      <c r="E142" s="1116">
        <v>22911.07</v>
      </c>
      <c r="F142" s="1116" t="s">
        <v>1674</v>
      </c>
      <c r="G142" s="1116" t="s">
        <v>1674</v>
      </c>
      <c r="H142" s="1116" t="s">
        <v>1675</v>
      </c>
      <c r="I142" s="1116" t="s">
        <v>1889</v>
      </c>
      <c r="J142" s="1116" t="s">
        <v>1677</v>
      </c>
      <c r="K142" s="1119">
        <v>44573.0004976852</v>
      </c>
      <c r="L142" s="1119">
        <v>44573.0004976852</v>
      </c>
      <c r="M142" s="1116" t="s">
        <v>1678</v>
      </c>
      <c r="N142" s="1116" t="s">
        <v>2067</v>
      </c>
      <c r="O142" s="1116">
        <v>1850</v>
      </c>
      <c r="P142" s="1116">
        <v>1850</v>
      </c>
      <c r="Q142" s="1116">
        <v>37.68</v>
      </c>
      <c r="R142" s="1116">
        <v>807</v>
      </c>
      <c r="S142" s="1116">
        <v>0</v>
      </c>
    </row>
    <row r="143" s="1116" customFormat="1" spans="1:19">
      <c r="A143" s="1116" t="s">
        <v>1693</v>
      </c>
      <c r="B143" s="1116" t="s">
        <v>1672</v>
      </c>
      <c r="C143" s="1116" t="s">
        <v>2068</v>
      </c>
      <c r="D143" s="1116">
        <v>288287.9</v>
      </c>
      <c r="E143" s="1116">
        <v>518918.22</v>
      </c>
      <c r="F143" s="1116" t="s">
        <v>1674</v>
      </c>
      <c r="G143" s="1116" t="s">
        <v>1674</v>
      </c>
      <c r="H143" s="1116">
        <v>50</v>
      </c>
      <c r="I143" s="1116" t="s">
        <v>2069</v>
      </c>
      <c r="J143" s="1116" t="s">
        <v>1677</v>
      </c>
      <c r="K143" s="1119">
        <v>44550.0004976852</v>
      </c>
      <c r="L143" s="1119">
        <v>44550.0004976852</v>
      </c>
      <c r="M143" s="1116" t="s">
        <v>1678</v>
      </c>
      <c r="N143" s="1116" t="s">
        <v>2070</v>
      </c>
      <c r="O143" s="1116">
        <v>21630</v>
      </c>
      <c r="P143" s="1116">
        <v>21630</v>
      </c>
      <c r="Q143" s="1116">
        <v>50.02</v>
      </c>
      <c r="R143" s="1116">
        <v>417</v>
      </c>
      <c r="S143" s="1116">
        <v>0</v>
      </c>
    </row>
    <row r="144" s="1116" customFormat="1" spans="1:19">
      <c r="A144" s="1116" t="s">
        <v>1671</v>
      </c>
      <c r="B144" s="1116" t="s">
        <v>1672</v>
      </c>
      <c r="C144" s="1116" t="s">
        <v>2071</v>
      </c>
      <c r="D144" s="1116">
        <v>106246.8</v>
      </c>
      <c r="E144" s="1116">
        <v>212493.6</v>
      </c>
      <c r="F144" s="1116" t="s">
        <v>1674</v>
      </c>
      <c r="G144" s="1116" t="s">
        <v>1674</v>
      </c>
      <c r="H144" s="1116">
        <v>50</v>
      </c>
      <c r="I144" s="1116" t="s">
        <v>2072</v>
      </c>
      <c r="J144" s="1116" t="s">
        <v>1677</v>
      </c>
      <c r="K144" s="1119">
        <v>44552.0004976852</v>
      </c>
      <c r="L144" s="1119">
        <v>44552.0004976852</v>
      </c>
      <c r="M144" s="1116" t="s">
        <v>1678</v>
      </c>
      <c r="N144" s="1116" t="s">
        <v>2073</v>
      </c>
      <c r="O144" s="1116">
        <v>5650</v>
      </c>
      <c r="P144" s="1116">
        <v>5650</v>
      </c>
      <c r="Q144" s="1116">
        <v>35.45</v>
      </c>
      <c r="R144" s="1116">
        <v>266</v>
      </c>
      <c r="S144" s="1116">
        <v>0</v>
      </c>
    </row>
    <row r="145" s="1116" customFormat="1" spans="1:19">
      <c r="A145" s="1116" t="s">
        <v>2074</v>
      </c>
      <c r="B145" s="1116" t="s">
        <v>1672</v>
      </c>
      <c r="C145" s="1116" t="s">
        <v>2075</v>
      </c>
      <c r="D145" s="1116">
        <v>13349</v>
      </c>
      <c r="E145" s="1116">
        <v>20023.5</v>
      </c>
      <c r="F145" s="1116" t="s">
        <v>1674</v>
      </c>
      <c r="G145" s="1116" t="s">
        <v>1674</v>
      </c>
      <c r="H145" s="1116">
        <v>50</v>
      </c>
      <c r="I145" s="1116" t="s">
        <v>2076</v>
      </c>
      <c r="J145" s="1116" t="s">
        <v>1677</v>
      </c>
      <c r="K145" s="1119">
        <v>44531.0004976852</v>
      </c>
      <c r="L145" s="1119">
        <v>44531.0004976852</v>
      </c>
      <c r="M145" s="1116" t="s">
        <v>1678</v>
      </c>
      <c r="N145" s="1116" t="s">
        <v>2077</v>
      </c>
      <c r="O145" s="1116">
        <v>570</v>
      </c>
      <c r="P145" s="1116">
        <v>570</v>
      </c>
      <c r="Q145" s="1116">
        <v>28.47</v>
      </c>
      <c r="R145" s="1116">
        <v>285</v>
      </c>
      <c r="S145" s="1116">
        <v>0</v>
      </c>
    </row>
    <row r="146" s="1116" customFormat="1" spans="1:19">
      <c r="A146" s="1116" t="s">
        <v>2078</v>
      </c>
      <c r="B146" s="1116" t="s">
        <v>1672</v>
      </c>
      <c r="C146" s="1116" t="s">
        <v>2079</v>
      </c>
      <c r="D146" s="1116">
        <v>32042.3</v>
      </c>
      <c r="E146" s="1116">
        <v>48063.45</v>
      </c>
      <c r="F146" s="1116" t="s">
        <v>1674</v>
      </c>
      <c r="G146" s="1116" t="s">
        <v>1674</v>
      </c>
      <c r="H146" s="1116">
        <v>50</v>
      </c>
      <c r="I146" s="1116" t="s">
        <v>2076</v>
      </c>
      <c r="J146" s="1116" t="s">
        <v>1677</v>
      </c>
      <c r="K146" s="1119">
        <v>44524.0004976852</v>
      </c>
      <c r="L146" s="1119">
        <v>44524.0004976852</v>
      </c>
      <c r="M146" s="1116" t="s">
        <v>1678</v>
      </c>
      <c r="N146" s="1116" t="s">
        <v>2080</v>
      </c>
      <c r="O146" s="1116">
        <v>1465</v>
      </c>
      <c r="P146" s="1116">
        <v>1465</v>
      </c>
      <c r="Q146" s="1116">
        <v>30.48</v>
      </c>
      <c r="R146" s="1116">
        <v>305</v>
      </c>
      <c r="S146" s="1116">
        <v>0</v>
      </c>
    </row>
    <row r="147" s="1116" customFormat="1" spans="1:19">
      <c r="A147" s="1116" t="s">
        <v>1693</v>
      </c>
      <c r="B147" s="1116" t="s">
        <v>1672</v>
      </c>
      <c r="C147" s="1116" t="s">
        <v>2081</v>
      </c>
      <c r="D147" s="1116">
        <v>9602.1</v>
      </c>
      <c r="E147" s="1116">
        <v>17283.78</v>
      </c>
      <c r="F147" s="1116" t="s">
        <v>1674</v>
      </c>
      <c r="G147" s="1116" t="s">
        <v>1674</v>
      </c>
      <c r="H147" s="1116">
        <v>50</v>
      </c>
      <c r="I147" s="1116" t="s">
        <v>2082</v>
      </c>
      <c r="J147" s="1116" t="s">
        <v>1677</v>
      </c>
      <c r="K147" s="1119">
        <v>44519.0004976852</v>
      </c>
      <c r="L147" s="1119">
        <v>44519.0004976852</v>
      </c>
      <c r="M147" s="1116" t="s">
        <v>1678</v>
      </c>
      <c r="N147" s="1116" t="s">
        <v>2083</v>
      </c>
      <c r="O147" s="1116">
        <v>730</v>
      </c>
      <c r="P147" s="1116">
        <v>730</v>
      </c>
      <c r="Q147" s="1116">
        <v>50.68</v>
      </c>
      <c r="R147" s="1116">
        <v>422</v>
      </c>
      <c r="S147" s="1116">
        <v>0</v>
      </c>
    </row>
    <row r="148" s="1116" customFormat="1" spans="1:19">
      <c r="A148" s="1116" t="s">
        <v>2017</v>
      </c>
      <c r="B148" s="1116" t="s">
        <v>1672</v>
      </c>
      <c r="C148" s="1116" t="s">
        <v>2084</v>
      </c>
      <c r="D148" s="1116">
        <v>34286.3</v>
      </c>
      <c r="E148" s="1116">
        <v>34286.3</v>
      </c>
      <c r="F148" s="1116" t="s">
        <v>1674</v>
      </c>
      <c r="G148" s="1116" t="s">
        <v>1674</v>
      </c>
      <c r="H148" s="1116">
        <v>50</v>
      </c>
      <c r="I148" s="1116" t="s">
        <v>2085</v>
      </c>
      <c r="J148" s="1116" t="s">
        <v>1677</v>
      </c>
      <c r="K148" s="1119">
        <v>44517.0004976852</v>
      </c>
      <c r="L148" s="1119">
        <v>44517.0004976852</v>
      </c>
      <c r="M148" s="1116" t="s">
        <v>1678</v>
      </c>
      <c r="N148" s="1116" t="s">
        <v>2086</v>
      </c>
      <c r="O148" s="1116">
        <v>1740</v>
      </c>
      <c r="P148" s="1116">
        <v>1740</v>
      </c>
      <c r="Q148" s="1116">
        <v>33.83</v>
      </c>
      <c r="R148" s="1116">
        <v>507</v>
      </c>
      <c r="S148" s="1116">
        <v>0</v>
      </c>
    </row>
    <row r="149" s="1116" customFormat="1" spans="1:19">
      <c r="A149" s="1116" t="s">
        <v>1984</v>
      </c>
      <c r="B149" s="1116" t="s">
        <v>1672</v>
      </c>
      <c r="C149" s="1116" t="s">
        <v>2087</v>
      </c>
      <c r="D149" s="1116">
        <v>104681.6</v>
      </c>
      <c r="E149" s="1116">
        <v>261704</v>
      </c>
      <c r="F149" s="1116" t="s">
        <v>1674</v>
      </c>
      <c r="G149" s="1116" t="s">
        <v>1674</v>
      </c>
      <c r="H149" s="1116">
        <v>50</v>
      </c>
      <c r="I149" s="1116" t="s">
        <v>2088</v>
      </c>
      <c r="J149" s="1116" t="s">
        <v>1677</v>
      </c>
      <c r="K149" s="1119">
        <v>44517.0004976852</v>
      </c>
      <c r="L149" s="1119">
        <v>44517.0004976852</v>
      </c>
      <c r="M149" s="1116" t="s">
        <v>1678</v>
      </c>
      <c r="N149" s="1116" t="s">
        <v>2089</v>
      </c>
      <c r="O149" s="1116">
        <v>6020</v>
      </c>
      <c r="P149" s="1116">
        <v>6020</v>
      </c>
      <c r="Q149" s="1116">
        <v>38.34</v>
      </c>
      <c r="R149" s="1116">
        <v>230</v>
      </c>
      <c r="S149" s="1116">
        <v>0</v>
      </c>
    </row>
    <row r="150" s="1116" customFormat="1" spans="1:19">
      <c r="A150" s="1116" t="s">
        <v>1725</v>
      </c>
      <c r="B150" s="1116" t="s">
        <v>1672</v>
      </c>
      <c r="C150" s="1116" t="s">
        <v>2090</v>
      </c>
      <c r="D150" s="1116">
        <v>11907.3</v>
      </c>
      <c r="E150" s="1116">
        <v>23814.6</v>
      </c>
      <c r="F150" s="1116" t="s">
        <v>1674</v>
      </c>
      <c r="G150" s="1116" t="s">
        <v>1674</v>
      </c>
      <c r="H150" s="1116">
        <v>50</v>
      </c>
      <c r="I150" s="1116" t="s">
        <v>2091</v>
      </c>
      <c r="J150" s="1116" t="s">
        <v>1677</v>
      </c>
      <c r="K150" s="1119">
        <v>44510.0004976852</v>
      </c>
      <c r="L150" s="1119">
        <v>44510.0004976852</v>
      </c>
      <c r="M150" s="1116" t="s">
        <v>1678</v>
      </c>
      <c r="N150" s="1116" t="s">
        <v>2092</v>
      </c>
      <c r="O150" s="1116">
        <v>760</v>
      </c>
      <c r="P150" s="1116">
        <v>760</v>
      </c>
      <c r="Q150" s="1116">
        <v>42.55</v>
      </c>
      <c r="R150" s="1116">
        <v>319</v>
      </c>
      <c r="S150" s="1116">
        <v>0</v>
      </c>
    </row>
    <row r="151" s="1116" customFormat="1" spans="1:19">
      <c r="A151" s="1116" t="s">
        <v>1693</v>
      </c>
      <c r="B151" s="1116" t="s">
        <v>1672</v>
      </c>
      <c r="C151" s="1116" t="s">
        <v>2093</v>
      </c>
      <c r="D151" s="1116">
        <v>166779.9</v>
      </c>
      <c r="E151" s="1116">
        <v>333559.8</v>
      </c>
      <c r="F151" s="1116" t="s">
        <v>1674</v>
      </c>
      <c r="G151" s="1116" t="s">
        <v>1674</v>
      </c>
      <c r="H151" s="1116">
        <v>50</v>
      </c>
      <c r="I151" s="1116" t="s">
        <v>2094</v>
      </c>
      <c r="J151" s="1116" t="s">
        <v>1677</v>
      </c>
      <c r="K151" s="1119">
        <v>44510.0004976852</v>
      </c>
      <c r="L151" s="1119">
        <v>44510.0004976852</v>
      </c>
      <c r="M151" s="1116" t="s">
        <v>1678</v>
      </c>
      <c r="N151" s="1116" t="s">
        <v>2095</v>
      </c>
      <c r="O151" s="1116">
        <v>9340</v>
      </c>
      <c r="P151" s="1116">
        <v>9340</v>
      </c>
      <c r="Q151" s="1116">
        <v>37.33</v>
      </c>
      <c r="R151" s="1116">
        <v>280</v>
      </c>
      <c r="S151" s="1116">
        <v>0</v>
      </c>
    </row>
    <row r="152" s="1116" customFormat="1" spans="1:19">
      <c r="A152" s="1116" t="s">
        <v>2096</v>
      </c>
      <c r="B152" s="1116" t="s">
        <v>1672</v>
      </c>
      <c r="C152" s="1116" t="s">
        <v>2097</v>
      </c>
      <c r="D152" s="1116">
        <v>44314.7</v>
      </c>
      <c r="E152" s="1116">
        <v>88629.4</v>
      </c>
      <c r="F152" s="1116" t="s">
        <v>1674</v>
      </c>
      <c r="G152" s="1116" t="s">
        <v>1674</v>
      </c>
      <c r="H152" s="1116">
        <v>50</v>
      </c>
      <c r="I152" s="1116" t="s">
        <v>2098</v>
      </c>
      <c r="J152" s="1116" t="s">
        <v>1677</v>
      </c>
      <c r="K152" s="1119">
        <v>44510.0004976852</v>
      </c>
      <c r="L152" s="1119">
        <v>44510.0004976852</v>
      </c>
      <c r="M152" s="1116" t="s">
        <v>1678</v>
      </c>
      <c r="N152" s="1116" t="s">
        <v>1911</v>
      </c>
      <c r="O152" s="1116">
        <v>2330</v>
      </c>
      <c r="P152" s="1116">
        <v>2330</v>
      </c>
      <c r="Q152" s="1116">
        <v>35.05</v>
      </c>
      <c r="R152" s="1116">
        <v>263</v>
      </c>
      <c r="S152" s="1116">
        <v>0</v>
      </c>
    </row>
    <row r="153" s="1116" customFormat="1" spans="1:19">
      <c r="A153" s="1116" t="s">
        <v>1697</v>
      </c>
      <c r="B153" s="1116" t="s">
        <v>1672</v>
      </c>
      <c r="C153" s="1116" t="s">
        <v>2099</v>
      </c>
      <c r="D153" s="1116">
        <v>60605.6</v>
      </c>
      <c r="E153" s="1116">
        <v>121211.2</v>
      </c>
      <c r="F153" s="1116" t="s">
        <v>1674</v>
      </c>
      <c r="G153" s="1116" t="s">
        <v>1674</v>
      </c>
      <c r="H153" s="1116">
        <v>50</v>
      </c>
      <c r="I153" s="1116" t="s">
        <v>2098</v>
      </c>
      <c r="J153" s="1116" t="s">
        <v>1677</v>
      </c>
      <c r="K153" s="1119">
        <v>44510.0004976852</v>
      </c>
      <c r="L153" s="1119">
        <v>44510.0004976852</v>
      </c>
      <c r="M153" s="1116" t="s">
        <v>1678</v>
      </c>
      <c r="N153" s="1116" t="s">
        <v>2053</v>
      </c>
      <c r="O153" s="1116">
        <v>3040</v>
      </c>
      <c r="P153" s="1116">
        <v>3040</v>
      </c>
      <c r="Q153" s="1116">
        <v>33.44</v>
      </c>
      <c r="R153" s="1116">
        <v>251</v>
      </c>
      <c r="S153" s="1116">
        <v>0</v>
      </c>
    </row>
    <row r="154" s="1116" customFormat="1" spans="1:19">
      <c r="A154" s="1116" t="s">
        <v>2100</v>
      </c>
      <c r="B154" s="1116" t="s">
        <v>1672</v>
      </c>
      <c r="C154" s="1116" t="s">
        <v>2101</v>
      </c>
      <c r="D154" s="1116">
        <v>40000</v>
      </c>
      <c r="E154" s="1116">
        <v>80000</v>
      </c>
      <c r="F154" s="1116" t="s">
        <v>1674</v>
      </c>
      <c r="G154" s="1116" t="s">
        <v>1674</v>
      </c>
      <c r="H154" s="1116" t="s">
        <v>1675</v>
      </c>
      <c r="I154" s="1116" t="s">
        <v>1686</v>
      </c>
      <c r="J154" s="1116" t="s">
        <v>1677</v>
      </c>
      <c r="K154" s="1119">
        <v>44510.0004976852</v>
      </c>
      <c r="L154" s="1119">
        <v>44510.0004976852</v>
      </c>
      <c r="M154" s="1116" t="s">
        <v>1678</v>
      </c>
      <c r="N154" s="1116" t="s">
        <v>2102</v>
      </c>
      <c r="O154" s="1116">
        <v>2260</v>
      </c>
      <c r="P154" s="1116">
        <v>2260</v>
      </c>
      <c r="Q154" s="1116">
        <v>37.67</v>
      </c>
      <c r="R154" s="1116">
        <v>283</v>
      </c>
      <c r="S154" s="1116">
        <v>0</v>
      </c>
    </row>
    <row r="155" s="1116" customFormat="1" spans="1:19">
      <c r="A155" s="1116" t="s">
        <v>1693</v>
      </c>
      <c r="B155" s="1116" t="s">
        <v>1672</v>
      </c>
      <c r="C155" s="1116" t="s">
        <v>2103</v>
      </c>
      <c r="D155" s="1116">
        <v>1612426.2</v>
      </c>
      <c r="E155" s="1116">
        <v>2902367.16</v>
      </c>
      <c r="F155" s="1116" t="s">
        <v>1674</v>
      </c>
      <c r="G155" s="1116" t="s">
        <v>1674</v>
      </c>
      <c r="H155" s="1116" t="s">
        <v>1675</v>
      </c>
      <c r="I155" s="1116" t="s">
        <v>1799</v>
      </c>
      <c r="J155" s="1116" t="s">
        <v>1677</v>
      </c>
      <c r="K155" s="1119">
        <v>44498.0004976852</v>
      </c>
      <c r="L155" s="1119">
        <v>44498.0004976852</v>
      </c>
      <c r="M155" s="1116" t="s">
        <v>1678</v>
      </c>
      <c r="N155" s="1116" t="s">
        <v>2083</v>
      </c>
      <c r="O155" s="1116">
        <v>120940</v>
      </c>
      <c r="P155" s="1116">
        <v>120940</v>
      </c>
      <c r="Q155" s="1116">
        <v>50</v>
      </c>
      <c r="R155" s="1116">
        <v>417</v>
      </c>
      <c r="S155" s="1116">
        <v>0</v>
      </c>
    </row>
    <row r="156" s="1116" customFormat="1" spans="1:19">
      <c r="A156" s="1116" t="s">
        <v>2104</v>
      </c>
      <c r="B156" s="1116" t="s">
        <v>1672</v>
      </c>
      <c r="C156" s="1116" t="s">
        <v>2105</v>
      </c>
      <c r="D156" s="1116">
        <v>8401</v>
      </c>
      <c r="E156" s="1116">
        <v>12601.5</v>
      </c>
      <c r="F156" s="1116" t="s">
        <v>1674</v>
      </c>
      <c r="G156" s="1116" t="s">
        <v>1674</v>
      </c>
      <c r="H156" s="1116" t="s">
        <v>1675</v>
      </c>
      <c r="I156" s="1116" t="s">
        <v>1682</v>
      </c>
      <c r="J156" s="1116" t="s">
        <v>1677</v>
      </c>
      <c r="K156" s="1119">
        <v>44503.0004976852</v>
      </c>
      <c r="L156" s="1119">
        <v>44503.0004976852</v>
      </c>
      <c r="M156" s="1116" t="s">
        <v>1678</v>
      </c>
      <c r="N156" s="1116" t="s">
        <v>1747</v>
      </c>
      <c r="O156" s="1116">
        <v>470</v>
      </c>
      <c r="P156" s="1116">
        <v>470</v>
      </c>
      <c r="Q156" s="1116">
        <v>37.3</v>
      </c>
      <c r="R156" s="1116">
        <v>373</v>
      </c>
      <c r="S156" s="1116">
        <v>0</v>
      </c>
    </row>
    <row r="157" s="1116" customFormat="1" spans="1:19">
      <c r="A157" s="1116" t="s">
        <v>2106</v>
      </c>
      <c r="B157" s="1116" t="s">
        <v>1672</v>
      </c>
      <c r="C157" s="1116" t="s">
        <v>2107</v>
      </c>
      <c r="D157" s="1116">
        <v>94984.1</v>
      </c>
      <c r="E157" s="1116">
        <v>66488.87</v>
      </c>
      <c r="F157" s="1116" t="s">
        <v>1674</v>
      </c>
      <c r="G157" s="1116" t="s">
        <v>1674</v>
      </c>
      <c r="H157" s="1116" t="s">
        <v>1675</v>
      </c>
      <c r="I157" s="1116" t="s">
        <v>1889</v>
      </c>
      <c r="J157" s="1116" t="s">
        <v>1677</v>
      </c>
      <c r="K157" s="1119">
        <v>44482.0004976852</v>
      </c>
      <c r="L157" s="1119">
        <v>44482.0004976852</v>
      </c>
      <c r="M157" s="1116" t="s">
        <v>1678</v>
      </c>
      <c r="N157" s="1116" t="s">
        <v>2108</v>
      </c>
      <c r="O157" s="1116">
        <v>6630</v>
      </c>
      <c r="P157" s="1116">
        <v>6630</v>
      </c>
      <c r="Q157" s="1116">
        <v>46.53</v>
      </c>
      <c r="R157" s="1116">
        <v>997</v>
      </c>
      <c r="S157" s="1116">
        <v>0</v>
      </c>
    </row>
    <row r="158" s="1116" customFormat="1" spans="1:19">
      <c r="A158" s="1116" t="s">
        <v>2109</v>
      </c>
      <c r="B158" s="1116" t="s">
        <v>1672</v>
      </c>
      <c r="C158" s="1116" t="s">
        <v>2110</v>
      </c>
      <c r="D158" s="1116">
        <v>59816.7</v>
      </c>
      <c r="E158" s="1116">
        <v>119635.4</v>
      </c>
      <c r="F158" s="1116" t="s">
        <v>1674</v>
      </c>
      <c r="G158" s="1116" t="s">
        <v>1674</v>
      </c>
      <c r="H158" s="1116" t="s">
        <v>1675</v>
      </c>
      <c r="I158" s="1116" t="s">
        <v>1686</v>
      </c>
      <c r="J158" s="1116" t="s">
        <v>1677</v>
      </c>
      <c r="K158" s="1119">
        <v>44482.0004976852</v>
      </c>
      <c r="L158" s="1119">
        <v>44482.0004976852</v>
      </c>
      <c r="M158" s="1116" t="s">
        <v>1678</v>
      </c>
      <c r="N158" s="1116" t="s">
        <v>2111</v>
      </c>
      <c r="O158" s="1116">
        <v>5200</v>
      </c>
      <c r="P158" s="1116">
        <v>5200</v>
      </c>
      <c r="Q158" s="1116">
        <v>57.95</v>
      </c>
      <c r="R158" s="1116">
        <v>435</v>
      </c>
      <c r="S158" s="1116">
        <v>0</v>
      </c>
    </row>
    <row r="159" s="1116" customFormat="1" spans="1:19">
      <c r="A159" s="1116" t="s">
        <v>2112</v>
      </c>
      <c r="B159" s="1116" t="s">
        <v>1672</v>
      </c>
      <c r="C159" s="1116" t="s">
        <v>2113</v>
      </c>
      <c r="D159" s="1116">
        <v>103994.5</v>
      </c>
      <c r="E159" s="1116">
        <v>155993.25</v>
      </c>
      <c r="F159" s="1116" t="s">
        <v>1674</v>
      </c>
      <c r="G159" s="1116" t="s">
        <v>1674</v>
      </c>
      <c r="H159" s="1116" t="s">
        <v>1675</v>
      </c>
      <c r="I159" s="1116" t="s">
        <v>1778</v>
      </c>
      <c r="J159" s="1116" t="s">
        <v>1677</v>
      </c>
      <c r="K159" s="1119">
        <v>44482.0004976852</v>
      </c>
      <c r="L159" s="1119">
        <v>44482.0004976852</v>
      </c>
      <c r="M159" s="1116" t="s">
        <v>1678</v>
      </c>
      <c r="N159" s="1116" t="s">
        <v>2114</v>
      </c>
      <c r="O159" s="1116">
        <v>5830</v>
      </c>
      <c r="P159" s="1116">
        <v>5830</v>
      </c>
      <c r="Q159" s="1116">
        <v>37.37</v>
      </c>
      <c r="R159" s="1116">
        <v>374</v>
      </c>
      <c r="S159" s="1116">
        <v>0</v>
      </c>
    </row>
    <row r="160" s="1116" customFormat="1" spans="1:19">
      <c r="A160" s="1116" t="s">
        <v>2017</v>
      </c>
      <c r="B160" s="1116" t="s">
        <v>1672</v>
      </c>
      <c r="C160" s="1116" t="s">
        <v>2115</v>
      </c>
      <c r="D160" s="1116">
        <v>13581.8</v>
      </c>
      <c r="E160" s="1116">
        <v>13581.8</v>
      </c>
      <c r="F160" s="1116" t="s">
        <v>1674</v>
      </c>
      <c r="G160" s="1116" t="s">
        <v>1674</v>
      </c>
      <c r="H160" s="1116" t="s">
        <v>1675</v>
      </c>
      <c r="I160" s="1116" t="s">
        <v>1853</v>
      </c>
      <c r="J160" s="1116" t="s">
        <v>1677</v>
      </c>
      <c r="K160" s="1119">
        <v>44482.0004976852</v>
      </c>
      <c r="L160" s="1119">
        <v>44482.0004976852</v>
      </c>
      <c r="M160" s="1116" t="s">
        <v>1678</v>
      </c>
      <c r="N160" s="1116" t="s">
        <v>2116</v>
      </c>
      <c r="O160" s="1116">
        <v>690</v>
      </c>
      <c r="P160" s="1116">
        <v>690</v>
      </c>
      <c r="Q160" s="1116">
        <v>33.87</v>
      </c>
      <c r="R160" s="1116">
        <v>508</v>
      </c>
      <c r="S160" s="1116">
        <v>0</v>
      </c>
    </row>
    <row r="161" s="1116" customFormat="1" spans="1:19">
      <c r="A161" s="1116" t="s">
        <v>2117</v>
      </c>
      <c r="B161" s="1116" t="s">
        <v>1672</v>
      </c>
      <c r="C161" s="1116" t="s">
        <v>2118</v>
      </c>
      <c r="D161" s="1116">
        <v>67000</v>
      </c>
      <c r="E161" s="1116">
        <v>134000</v>
      </c>
      <c r="F161" s="1116" t="s">
        <v>1674</v>
      </c>
      <c r="G161" s="1116" t="s">
        <v>1674</v>
      </c>
      <c r="H161" s="1116">
        <v>50</v>
      </c>
      <c r="I161" s="1116" t="s">
        <v>1686</v>
      </c>
      <c r="J161" s="1116" t="s">
        <v>1677</v>
      </c>
      <c r="K161" s="1119">
        <v>44468.0004976852</v>
      </c>
      <c r="L161" s="1119">
        <v>44468.0004976852</v>
      </c>
      <c r="M161" s="1116" t="s">
        <v>1678</v>
      </c>
      <c r="N161" s="1116" t="s">
        <v>2102</v>
      </c>
      <c r="O161" s="1116">
        <v>3780</v>
      </c>
      <c r="P161" s="1116">
        <v>3780</v>
      </c>
      <c r="Q161" s="1116">
        <v>37.61</v>
      </c>
      <c r="R161" s="1116">
        <v>282</v>
      </c>
      <c r="S161" s="1116">
        <v>0</v>
      </c>
    </row>
    <row r="162" s="1116" customFormat="1" spans="1:19">
      <c r="A162" s="1116" t="s">
        <v>1693</v>
      </c>
      <c r="B162" s="1116" t="s">
        <v>1672</v>
      </c>
      <c r="C162" s="1116" t="s">
        <v>2119</v>
      </c>
      <c r="D162" s="1116">
        <v>27993</v>
      </c>
      <c r="E162" s="1116">
        <v>55986</v>
      </c>
      <c r="F162" s="1116" t="s">
        <v>1674</v>
      </c>
      <c r="G162" s="1116" t="s">
        <v>1674</v>
      </c>
      <c r="H162" s="1116">
        <v>50</v>
      </c>
      <c r="I162" s="1116" t="s">
        <v>1866</v>
      </c>
      <c r="J162" s="1116" t="s">
        <v>1677</v>
      </c>
      <c r="K162" s="1119">
        <v>44454.0004976852</v>
      </c>
      <c r="L162" s="1119">
        <v>44454.0004976852</v>
      </c>
      <c r="M162" s="1116" t="s">
        <v>1678</v>
      </c>
      <c r="N162" s="1116" t="s">
        <v>2120</v>
      </c>
      <c r="O162" s="1116">
        <v>1540</v>
      </c>
      <c r="P162" s="1116">
        <v>1540</v>
      </c>
      <c r="Q162" s="1116">
        <v>36.68</v>
      </c>
      <c r="R162" s="1116">
        <v>275</v>
      </c>
      <c r="S162" s="1116">
        <v>0</v>
      </c>
    </row>
    <row r="163" s="1116" customFormat="1" spans="1:19">
      <c r="A163" s="1116" t="s">
        <v>2121</v>
      </c>
      <c r="B163" s="1116" t="s">
        <v>1672</v>
      </c>
      <c r="C163" s="1116" t="s">
        <v>2122</v>
      </c>
      <c r="D163" s="1116">
        <v>64677.9</v>
      </c>
      <c r="E163" s="1116">
        <v>97016.85</v>
      </c>
      <c r="F163" s="1116" t="s">
        <v>1674</v>
      </c>
      <c r="G163" s="1116" t="s">
        <v>1674</v>
      </c>
      <c r="H163" s="1116">
        <v>50</v>
      </c>
      <c r="I163" s="1116" t="s">
        <v>1682</v>
      </c>
      <c r="J163" s="1116" t="s">
        <v>1677</v>
      </c>
      <c r="K163" s="1119">
        <v>44454.0004976852</v>
      </c>
      <c r="L163" s="1119">
        <v>44454.0004976852</v>
      </c>
      <c r="M163" s="1116" t="s">
        <v>1678</v>
      </c>
      <c r="N163" s="1116" t="s">
        <v>2123</v>
      </c>
      <c r="O163" s="1116">
        <v>2000</v>
      </c>
      <c r="P163" s="1116">
        <v>2000</v>
      </c>
      <c r="Q163" s="1116">
        <v>20.61</v>
      </c>
      <c r="R163" s="1116">
        <v>206</v>
      </c>
      <c r="S163" s="1116">
        <v>0</v>
      </c>
    </row>
    <row r="165" spans="1:19">
      <c r="A165" s="1116" t="s">
        <v>2124</v>
      </c>
      <c r="B165" s="1116" t="s">
        <v>1672</v>
      </c>
      <c r="C165" s="1116" t="s">
        <v>2125</v>
      </c>
      <c r="D165" s="1116">
        <v>30000</v>
      </c>
      <c r="E165" s="1116">
        <v>60000</v>
      </c>
      <c r="F165" s="1116" t="s">
        <v>1674</v>
      </c>
      <c r="G165" s="1116" t="s">
        <v>1674</v>
      </c>
      <c r="H165" s="1116">
        <v>50</v>
      </c>
      <c r="I165" s="1116" t="s">
        <v>1699</v>
      </c>
      <c r="J165" s="1116" t="s">
        <v>1677</v>
      </c>
      <c r="K165" s="1119">
        <v>45467.0004976852</v>
      </c>
      <c r="L165" s="1119">
        <v>45467.0004976852</v>
      </c>
      <c r="M165" s="1116" t="s">
        <v>1678</v>
      </c>
      <c r="N165" s="1116" t="s">
        <v>2126</v>
      </c>
      <c r="O165" s="1116">
        <v>1575</v>
      </c>
      <c r="P165" s="1116">
        <v>1575</v>
      </c>
      <c r="Q165" s="1116">
        <v>35</v>
      </c>
      <c r="R165" s="1116">
        <v>263</v>
      </c>
      <c r="S165" s="1116">
        <v>0</v>
      </c>
    </row>
    <row r="166" spans="1:19">
      <c r="A166" s="1116" t="s">
        <v>2127</v>
      </c>
      <c r="B166" s="1116" t="s">
        <v>1672</v>
      </c>
      <c r="C166" s="1116" t="s">
        <v>2128</v>
      </c>
      <c r="D166" s="1116">
        <v>53333.3</v>
      </c>
      <c r="E166" s="1116">
        <v>133333.25</v>
      </c>
      <c r="F166" s="1116" t="s">
        <v>1674</v>
      </c>
      <c r="G166" s="1116" t="s">
        <v>1674</v>
      </c>
      <c r="H166" s="1116">
        <v>50</v>
      </c>
      <c r="I166" s="1116" t="s">
        <v>1781</v>
      </c>
      <c r="J166" s="1116" t="s">
        <v>1677</v>
      </c>
      <c r="K166" s="1119">
        <v>45410.0004976852</v>
      </c>
      <c r="L166" s="1119">
        <v>45410.0004976852</v>
      </c>
      <c r="M166" s="1116" t="s">
        <v>1678</v>
      </c>
      <c r="N166" s="1116" t="s">
        <v>2129</v>
      </c>
      <c r="O166" s="1116">
        <v>2800</v>
      </c>
      <c r="P166" s="1116">
        <v>2800</v>
      </c>
      <c r="Q166" s="1116">
        <v>35</v>
      </c>
      <c r="R166" s="1116">
        <v>210</v>
      </c>
      <c r="S166" s="1116">
        <v>0</v>
      </c>
    </row>
    <row r="167" spans="1:19">
      <c r="A167" s="1116" t="s">
        <v>2130</v>
      </c>
      <c r="B167" s="1116" t="s">
        <v>1672</v>
      </c>
      <c r="C167" s="1116" t="s">
        <v>2131</v>
      </c>
      <c r="D167" s="1116">
        <v>20672.3</v>
      </c>
      <c r="E167" s="1116">
        <v>31008.45</v>
      </c>
      <c r="F167" s="1116" t="s">
        <v>1674</v>
      </c>
      <c r="G167" s="1116" t="s">
        <v>2132</v>
      </c>
      <c r="H167" s="1116">
        <v>50</v>
      </c>
      <c r="I167" s="1116" t="s">
        <v>1778</v>
      </c>
      <c r="J167" s="1116" t="s">
        <v>1677</v>
      </c>
      <c r="K167" s="1119">
        <v>45254.0004976852</v>
      </c>
      <c r="L167" s="1119">
        <v>45254.0004976852</v>
      </c>
      <c r="M167" s="1116" t="s">
        <v>1678</v>
      </c>
      <c r="N167" s="1116" t="s">
        <v>2133</v>
      </c>
      <c r="O167" s="1116">
        <v>640</v>
      </c>
      <c r="P167" s="1116">
        <v>640</v>
      </c>
      <c r="Q167" s="1116">
        <v>20.64</v>
      </c>
      <c r="R167" s="1116">
        <v>206</v>
      </c>
      <c r="S167" s="1116">
        <v>0</v>
      </c>
    </row>
    <row r="168" spans="1:19">
      <c r="A168" s="1116" t="s">
        <v>2134</v>
      </c>
      <c r="B168" s="1116" t="s">
        <v>1672</v>
      </c>
      <c r="C168" s="1116" t="s">
        <v>2135</v>
      </c>
      <c r="D168" s="1116">
        <v>22000</v>
      </c>
      <c r="E168" s="1116">
        <v>44000</v>
      </c>
      <c r="F168" s="1116" t="s">
        <v>1674</v>
      </c>
      <c r="G168" s="1116" t="s">
        <v>1674</v>
      </c>
      <c r="H168" s="1116" t="s">
        <v>1675</v>
      </c>
      <c r="I168" s="1116" t="s">
        <v>1866</v>
      </c>
      <c r="J168" s="1116" t="s">
        <v>1677</v>
      </c>
      <c r="K168" s="1119">
        <v>45154.0004976852</v>
      </c>
      <c r="L168" s="1119">
        <v>45154.0004976852</v>
      </c>
      <c r="M168" s="1116" t="s">
        <v>1678</v>
      </c>
      <c r="N168" s="1116" t="s">
        <v>2136</v>
      </c>
      <c r="O168" s="1116">
        <v>1155</v>
      </c>
      <c r="P168" s="1116">
        <v>1155</v>
      </c>
      <c r="Q168" s="1116">
        <v>35</v>
      </c>
      <c r="R168" s="1116">
        <v>263</v>
      </c>
      <c r="S168" s="1116">
        <v>0</v>
      </c>
    </row>
    <row r="169" spans="1:19">
      <c r="A169" s="1116" t="s">
        <v>2137</v>
      </c>
      <c r="B169" s="1116" t="s">
        <v>1672</v>
      </c>
      <c r="C169" s="1116" t="s">
        <v>2138</v>
      </c>
      <c r="D169" s="1116">
        <v>33333.3</v>
      </c>
      <c r="E169" s="1116">
        <v>66666.6</v>
      </c>
      <c r="F169" s="1116" t="s">
        <v>1674</v>
      </c>
      <c r="G169" s="1116" t="s">
        <v>1674</v>
      </c>
      <c r="H169" s="1116" t="s">
        <v>1675</v>
      </c>
      <c r="I169" s="1116" t="s">
        <v>1866</v>
      </c>
      <c r="J169" s="1116" t="s">
        <v>1677</v>
      </c>
      <c r="K169" s="1119">
        <v>44876.0004976852</v>
      </c>
      <c r="L169" s="1119">
        <v>44876.0004976852</v>
      </c>
      <c r="M169" s="1116" t="s">
        <v>1678</v>
      </c>
      <c r="N169" s="1116" t="s">
        <v>2139</v>
      </c>
      <c r="O169" s="1116">
        <v>1750</v>
      </c>
      <c r="P169" s="1116">
        <v>1750</v>
      </c>
      <c r="Q169" s="1116">
        <v>35</v>
      </c>
      <c r="R169" s="1116">
        <v>263</v>
      </c>
      <c r="S169" s="1116">
        <v>0</v>
      </c>
    </row>
    <row r="170" spans="1:19">
      <c r="A170" s="1116" t="s">
        <v>2137</v>
      </c>
      <c r="B170" s="1116" t="s">
        <v>1672</v>
      </c>
      <c r="C170" s="1116" t="s">
        <v>2140</v>
      </c>
      <c r="D170" s="1116">
        <v>33333.3</v>
      </c>
      <c r="E170" s="1116">
        <v>66666.6</v>
      </c>
      <c r="F170" s="1116" t="s">
        <v>1674</v>
      </c>
      <c r="G170" s="1116" t="s">
        <v>1674</v>
      </c>
      <c r="H170" s="1116" t="s">
        <v>1675</v>
      </c>
      <c r="I170" s="1116" t="s">
        <v>1866</v>
      </c>
      <c r="J170" s="1116" t="s">
        <v>1677</v>
      </c>
      <c r="K170" s="1119">
        <v>44876.0004976852</v>
      </c>
      <c r="L170" s="1119">
        <v>44876.0004976852</v>
      </c>
      <c r="M170" s="1116" t="s">
        <v>1678</v>
      </c>
      <c r="N170" s="1116" t="s">
        <v>2141</v>
      </c>
      <c r="O170" s="1116">
        <v>1747</v>
      </c>
      <c r="P170" s="1116">
        <v>1747</v>
      </c>
      <c r="Q170" s="1116">
        <v>34.94</v>
      </c>
      <c r="R170" s="1116">
        <v>262</v>
      </c>
      <c r="S170" s="1116">
        <v>0</v>
      </c>
    </row>
    <row r="171" spans="1:19">
      <c r="A171" s="1116" t="s">
        <v>2137</v>
      </c>
      <c r="B171" s="1116" t="s">
        <v>1672</v>
      </c>
      <c r="C171" s="1116" t="s">
        <v>2142</v>
      </c>
      <c r="D171" s="1116">
        <v>49989</v>
      </c>
      <c r="E171" s="1116">
        <v>34992.3</v>
      </c>
      <c r="F171" s="1116" t="s">
        <v>1674</v>
      </c>
      <c r="G171" s="1116" t="s">
        <v>1674</v>
      </c>
      <c r="H171" s="1116">
        <v>50</v>
      </c>
      <c r="I171" s="1116" t="s">
        <v>1889</v>
      </c>
      <c r="J171" s="1116" t="s">
        <v>1677</v>
      </c>
      <c r="K171" s="1119">
        <v>44809.0004976852</v>
      </c>
      <c r="L171" s="1119">
        <v>44809.0004976852</v>
      </c>
      <c r="M171" s="1116" t="s">
        <v>1678</v>
      </c>
      <c r="N171" s="1116" t="s">
        <v>2143</v>
      </c>
      <c r="O171" s="1116">
        <v>2622</v>
      </c>
      <c r="P171" s="1116">
        <v>2622</v>
      </c>
      <c r="Q171" s="1116">
        <v>34.97</v>
      </c>
      <c r="R171" s="1116">
        <v>749</v>
      </c>
      <c r="S171" s="1116">
        <v>0</v>
      </c>
    </row>
    <row r="172" spans="1:19">
      <c r="A172" s="1116" t="s">
        <v>2144</v>
      </c>
      <c r="B172" s="1116" t="s">
        <v>1672</v>
      </c>
      <c r="C172" s="1116" t="s">
        <v>2145</v>
      </c>
      <c r="D172" s="1116">
        <v>20000.1</v>
      </c>
      <c r="E172" s="1116">
        <v>14000.07</v>
      </c>
      <c r="F172" s="1116" t="s">
        <v>1674</v>
      </c>
      <c r="G172" s="1116" t="s">
        <v>1674</v>
      </c>
      <c r="H172" s="1116" t="s">
        <v>1675</v>
      </c>
      <c r="I172" s="1116" t="s">
        <v>1889</v>
      </c>
      <c r="J172" s="1116" t="s">
        <v>1677</v>
      </c>
      <c r="K172" s="1119">
        <v>44771.0004976852</v>
      </c>
      <c r="L172" s="1119">
        <v>44771.0004976852</v>
      </c>
      <c r="M172" s="1116" t="s">
        <v>1678</v>
      </c>
      <c r="N172" s="1116" t="s">
        <v>2146</v>
      </c>
      <c r="O172" s="1116">
        <v>866</v>
      </c>
      <c r="P172" s="1116">
        <v>866</v>
      </c>
      <c r="Q172" s="1116">
        <v>28.87</v>
      </c>
      <c r="R172" s="1116">
        <v>619</v>
      </c>
      <c r="S172" s="1116">
        <v>0</v>
      </c>
    </row>
    <row r="173" spans="1:19">
      <c r="A173" s="1116" t="s">
        <v>2144</v>
      </c>
      <c r="B173" s="1116" t="s">
        <v>1672</v>
      </c>
      <c r="C173" s="1116" t="s">
        <v>2147</v>
      </c>
      <c r="D173" s="1116">
        <v>24226.2</v>
      </c>
      <c r="E173" s="1116">
        <v>16958.34</v>
      </c>
      <c r="F173" s="1116" t="s">
        <v>1674</v>
      </c>
      <c r="G173" s="1116" t="s">
        <v>1674</v>
      </c>
      <c r="H173" s="1116" t="s">
        <v>1675</v>
      </c>
      <c r="I173" s="1116" t="s">
        <v>1889</v>
      </c>
      <c r="J173" s="1116" t="s">
        <v>1677</v>
      </c>
      <c r="K173" s="1119">
        <v>44771.0004976852</v>
      </c>
      <c r="L173" s="1119">
        <v>44771.0004976852</v>
      </c>
      <c r="M173" s="1116" t="s">
        <v>1678</v>
      </c>
      <c r="N173" s="1116" t="s">
        <v>2148</v>
      </c>
      <c r="O173" s="1116">
        <v>1053</v>
      </c>
      <c r="P173" s="1116">
        <v>1053</v>
      </c>
      <c r="Q173" s="1116">
        <v>28.98</v>
      </c>
      <c r="R173" s="1116">
        <v>621</v>
      </c>
      <c r="S173" s="1116">
        <v>0</v>
      </c>
    </row>
    <row r="174" spans="1:19">
      <c r="A174" s="1116" t="s">
        <v>2137</v>
      </c>
      <c r="B174" s="1116" t="s">
        <v>1672</v>
      </c>
      <c r="C174" s="1116" t="s">
        <v>2149</v>
      </c>
      <c r="D174" s="1116">
        <v>15340.6</v>
      </c>
      <c r="E174" s="1116">
        <v>10738.42</v>
      </c>
      <c r="F174" s="1116" t="s">
        <v>1674</v>
      </c>
      <c r="G174" s="1116" t="s">
        <v>1674</v>
      </c>
      <c r="H174" s="1116" t="s">
        <v>1675</v>
      </c>
      <c r="I174" s="1116" t="s">
        <v>1889</v>
      </c>
      <c r="J174" s="1116" t="s">
        <v>1677</v>
      </c>
      <c r="K174" s="1119">
        <v>44760.0004976852</v>
      </c>
      <c r="L174" s="1119">
        <v>44760.0004976852</v>
      </c>
      <c r="M174" s="1116" t="s">
        <v>1678</v>
      </c>
      <c r="N174" s="1116" t="s">
        <v>2150</v>
      </c>
      <c r="O174" s="1116">
        <v>679</v>
      </c>
      <c r="P174" s="1116">
        <v>679</v>
      </c>
      <c r="Q174" s="1116">
        <v>29.51</v>
      </c>
      <c r="R174" s="1116">
        <v>632</v>
      </c>
      <c r="S174" s="1116">
        <v>0</v>
      </c>
    </row>
    <row r="175" spans="1:19">
      <c r="A175" s="1116" t="s">
        <v>2137</v>
      </c>
      <c r="B175" s="1116" t="s">
        <v>1672</v>
      </c>
      <c r="C175" s="1116" t="s">
        <v>2151</v>
      </c>
      <c r="D175" s="1116">
        <v>99576.6</v>
      </c>
      <c r="E175" s="1116">
        <v>69703.62</v>
      </c>
      <c r="F175" s="1116" t="s">
        <v>1674</v>
      </c>
      <c r="G175" s="1116" t="s">
        <v>1674</v>
      </c>
      <c r="H175" s="1116">
        <v>50</v>
      </c>
      <c r="I175" s="1116" t="s">
        <v>1889</v>
      </c>
      <c r="J175" s="1116" t="s">
        <v>1677</v>
      </c>
      <c r="K175" s="1119">
        <v>44547.0004976852</v>
      </c>
      <c r="L175" s="1119">
        <v>44547.0004976852</v>
      </c>
      <c r="M175" s="1116" t="s">
        <v>1678</v>
      </c>
      <c r="N175" s="1116" t="s">
        <v>2152</v>
      </c>
      <c r="O175" s="1116">
        <v>4501</v>
      </c>
      <c r="P175" s="1116">
        <v>4501</v>
      </c>
      <c r="Q175" s="1116">
        <v>30.13</v>
      </c>
      <c r="R175" s="1116">
        <v>646</v>
      </c>
      <c r="S175" s="1116">
        <v>0</v>
      </c>
    </row>
    <row r="176" spans="1:19">
      <c r="A176" s="1116" t="s">
        <v>2137</v>
      </c>
      <c r="B176" s="1116" t="s">
        <v>1672</v>
      </c>
      <c r="C176" s="1116" t="s">
        <v>2153</v>
      </c>
      <c r="D176" s="1116">
        <v>32640</v>
      </c>
      <c r="E176" s="1116">
        <v>22848</v>
      </c>
      <c r="F176" s="1116" t="s">
        <v>1674</v>
      </c>
      <c r="G176" s="1116" t="s">
        <v>1674</v>
      </c>
      <c r="H176" s="1116">
        <v>50</v>
      </c>
      <c r="I176" s="1116" t="s">
        <v>2154</v>
      </c>
      <c r="J176" s="1116" t="s">
        <v>1677</v>
      </c>
      <c r="K176" s="1119">
        <v>44579.0004976852</v>
      </c>
      <c r="L176" s="1119">
        <v>44579.0004976852</v>
      </c>
      <c r="M176" s="1116" t="s">
        <v>1678</v>
      </c>
      <c r="N176" s="1116" t="s">
        <v>2155</v>
      </c>
      <c r="O176" s="1116">
        <v>1450</v>
      </c>
      <c r="P176" s="1116">
        <v>1450</v>
      </c>
      <c r="Q176" s="1116">
        <v>29.62</v>
      </c>
      <c r="R176" s="1116">
        <v>635</v>
      </c>
      <c r="S176" s="1116">
        <v>0</v>
      </c>
    </row>
    <row r="177" spans="1:19">
      <c r="A177" s="1116" t="s">
        <v>2156</v>
      </c>
      <c r="B177" s="1116" t="s">
        <v>1672</v>
      </c>
      <c r="C177" s="1116" t="s">
        <v>2157</v>
      </c>
      <c r="D177" s="1116">
        <v>154522.3</v>
      </c>
      <c r="E177" s="1116">
        <v>309044.6</v>
      </c>
      <c r="F177" s="1116" t="s">
        <v>1674</v>
      </c>
      <c r="G177" s="1116" t="s">
        <v>1690</v>
      </c>
      <c r="H177" s="1116">
        <v>50</v>
      </c>
      <c r="I177" s="1116" t="s">
        <v>2158</v>
      </c>
      <c r="J177" s="1116" t="s">
        <v>1677</v>
      </c>
      <c r="K177" s="1119">
        <v>44452.0004976852</v>
      </c>
      <c r="L177" s="1119">
        <v>44452.0004976852</v>
      </c>
      <c r="M177" s="1116" t="s">
        <v>1678</v>
      </c>
      <c r="N177" s="1116" t="s">
        <v>2159</v>
      </c>
      <c r="O177" s="1116">
        <v>6993</v>
      </c>
      <c r="P177" s="1116">
        <v>6993</v>
      </c>
      <c r="Q177" s="1116">
        <v>30.17</v>
      </c>
      <c r="R177" s="1116">
        <v>226</v>
      </c>
      <c r="S177" s="1116">
        <v>0</v>
      </c>
    </row>
    <row r="178" spans="1:19">
      <c r="A178" s="1116" t="s">
        <v>2137</v>
      </c>
      <c r="B178" s="1116" t="s">
        <v>1672</v>
      </c>
      <c r="C178" s="1116" t="s">
        <v>2160</v>
      </c>
      <c r="D178" s="1116">
        <v>11750</v>
      </c>
      <c r="E178" s="1116">
        <v>8225</v>
      </c>
      <c r="F178" s="1116" t="s">
        <v>1674</v>
      </c>
      <c r="G178" s="1116" t="s">
        <v>1690</v>
      </c>
      <c r="H178" s="1116">
        <v>50</v>
      </c>
      <c r="I178" s="1116" t="s">
        <v>1889</v>
      </c>
      <c r="J178" s="1116" t="s">
        <v>1677</v>
      </c>
      <c r="K178" s="1119">
        <v>44452.0004976852</v>
      </c>
      <c r="L178" s="1119">
        <v>44452.0004976852</v>
      </c>
      <c r="M178" s="1116" t="s">
        <v>1678</v>
      </c>
      <c r="N178" s="1116" t="s">
        <v>2161</v>
      </c>
      <c r="O178" s="1116">
        <v>494</v>
      </c>
      <c r="P178" s="1116">
        <v>654</v>
      </c>
      <c r="Q178" s="1116">
        <v>37.11</v>
      </c>
      <c r="R178" s="1116">
        <v>795</v>
      </c>
      <c r="S178" s="1116">
        <v>32.39</v>
      </c>
    </row>
  </sheetData>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2162</v>
      </c>
      <c r="C1" s="995" t="s">
        <v>2163</v>
      </c>
      <c r="D1" s="996"/>
      <c r="E1" s="996"/>
      <c r="F1" s="996"/>
      <c r="G1" s="996"/>
      <c r="H1" s="996"/>
      <c r="I1" s="996"/>
      <c r="J1" s="996"/>
      <c r="K1" s="996"/>
      <c r="L1" s="996"/>
      <c r="M1" s="996"/>
      <c r="N1" s="996"/>
      <c r="O1" s="996"/>
      <c r="P1" s="996"/>
      <c r="Q1" s="996"/>
      <c r="R1" s="996"/>
      <c r="S1" s="1078"/>
      <c r="T1" s="994" t="s">
        <v>2164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2165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2166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2167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2168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2169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2170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2171</v>
      </c>
      <c r="B17" s="1029" t="s">
        <v>2172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2173</v>
      </c>
      <c r="E19" s="1039"/>
      <c r="F19" s="1039"/>
      <c r="G19" s="1039"/>
      <c r="H19" s="1040"/>
      <c r="I19" s="1037"/>
      <c r="J19" s="1037"/>
      <c r="K19" s="1037"/>
      <c r="L19" s="1037"/>
      <c r="M19" s="1037"/>
      <c r="N19" s="1037"/>
      <c r="O19" s="1037"/>
      <c r="P19" s="1037"/>
      <c r="Q19" s="1037"/>
      <c r="R19" s="1105"/>
      <c r="S19" s="1036"/>
    </row>
    <row r="20" ht="16.5" spans="1:19">
      <c r="A20" s="1041" t="s">
        <v>2174</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75" spans="1:19">
      <c r="A21" s="1041" t="s">
        <v>2175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2176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2177</v>
      </c>
      <c r="B23" s="1050" t="s">
        <v>456</v>
      </c>
      <c r="C23" s="1050" t="s">
        <v>2164</v>
      </c>
      <c r="D23" s="1050" t="str">
        <f>B5</f>
        <v>修正项2</v>
      </c>
      <c r="E23" s="1050" t="s">
        <v>2164</v>
      </c>
      <c r="F23" s="1050" t="str">
        <f>B7</f>
        <v>修正项3</v>
      </c>
      <c r="G23" s="1050" t="s">
        <v>2164</v>
      </c>
      <c r="H23" s="1050" t="str">
        <f>B9</f>
        <v>修正项4</v>
      </c>
      <c r="I23" s="1050" t="s">
        <v>2164</v>
      </c>
      <c r="J23" s="1050" t="str">
        <f>B11</f>
        <v>修正项5</v>
      </c>
      <c r="K23" s="1050" t="s">
        <v>2164</v>
      </c>
      <c r="L23" s="1050" t="str">
        <f>B13</f>
        <v>修正项6</v>
      </c>
      <c r="M23" s="1050" t="s">
        <v>2164</v>
      </c>
      <c r="N23" s="1050" t="str">
        <f>B15</f>
        <v>修正项7</v>
      </c>
      <c r="O23" s="1050" t="s">
        <v>2164</v>
      </c>
      <c r="P23" s="1050" t="str">
        <f>B17</f>
        <v>楼层</v>
      </c>
      <c r="Q23" s="1050" t="s">
        <v>2164</v>
      </c>
      <c r="R23" s="1108" t="s">
        <v>2178</v>
      </c>
      <c r="S23" s="1050" t="s">
        <v>2179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2180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2181</v>
      </c>
      <c r="B1" s="973"/>
      <c r="C1" s="973"/>
      <c r="D1" s="973"/>
      <c r="E1" s="973"/>
      <c r="F1" s="974"/>
      <c r="G1" s="974"/>
      <c r="H1" s="974"/>
      <c r="I1" s="974"/>
      <c r="J1" s="974"/>
      <c r="K1" s="974"/>
      <c r="L1" s="974"/>
      <c r="M1" s="974"/>
      <c r="N1" s="974"/>
      <c r="O1" s="974"/>
      <c r="P1" s="974"/>
    </row>
    <row r="2" spans="1:16">
      <c r="A2" s="975" t="s">
        <v>97</v>
      </c>
      <c r="B2" s="976" t="e">
        <f ca="1">SUMIF(B6:B13,"&lt;&gt;#ref!",B6:B13)</f>
        <v>#DIV/0!</v>
      </c>
      <c r="C2" s="975" t="s">
        <v>2182</v>
      </c>
      <c r="D2" s="975" t="s">
        <v>2183</v>
      </c>
      <c r="E2" s="977">
        <f ca="1">SUMIF(E6:E13,"&lt;&gt;#ref!",E6:E13)</f>
        <v>0</v>
      </c>
      <c r="F2" s="974"/>
      <c r="G2" s="974"/>
      <c r="H2" s="974"/>
      <c r="I2" s="974"/>
      <c r="J2" s="974"/>
      <c r="K2" s="974"/>
      <c r="L2" s="974"/>
      <c r="M2" s="974"/>
      <c r="N2" s="974"/>
      <c r="O2" s="974"/>
      <c r="P2" s="974"/>
    </row>
    <row r="3" ht="15.75" spans="1:16">
      <c r="A3" s="975" t="s">
        <v>2184</v>
      </c>
      <c r="B3" s="976" t="e">
        <f ca="1">ROUND(B2*10000/E2,0)</f>
        <v>#DIV/0!</v>
      </c>
      <c r="C3" s="975" t="s">
        <v>2185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2186</v>
      </c>
      <c r="B5" s="980" t="s">
        <v>2187</v>
      </c>
      <c r="C5" s="981"/>
      <c r="D5" s="974"/>
      <c r="E5" s="982" t="s">
        <v>2188</v>
      </c>
      <c r="F5" s="974"/>
      <c r="G5" s="974"/>
      <c r="H5" s="974"/>
      <c r="I5" s="974"/>
      <c r="J5" s="974"/>
      <c r="K5" s="974"/>
      <c r="L5" s="974"/>
      <c r="M5" s="974"/>
      <c r="N5" s="974"/>
      <c r="O5" s="974"/>
      <c r="P5" s="974"/>
    </row>
    <row r="6" spans="1:16">
      <c r="A6" s="983" t="s">
        <v>2189</v>
      </c>
      <c r="B6" s="976" t="e">
        <f ca="1">SUMIF(INDIRECT("'"&amp;A6&amp;"'"&amp;"!A:A"),"总价",INDIRECT("'"&amp;A6&amp;"'"&amp;"!B:B"))</f>
        <v>#DIV/0!</v>
      </c>
      <c r="C6" s="975" t="s">
        <v>2182</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2182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2182</v>
      </c>
      <c r="D8" s="974"/>
      <c r="E8" s="977" t="e">
        <f ca="1" t="shared" si="0"/>
        <v>#REF!</v>
      </c>
      <c r="F8" s="974"/>
      <c r="G8" s="974"/>
      <c r="H8" s="974"/>
      <c r="I8" s="974"/>
      <c r="J8" s="974"/>
      <c r="K8" s="974"/>
      <c r="L8" s="974"/>
      <c r="M8" s="974"/>
      <c r="N8" s="974"/>
      <c r="O8" s="974"/>
      <c r="P8" s="974"/>
    </row>
    <row r="9" ht="15.75" spans="1:16">
      <c r="A9" s="983"/>
      <c r="B9" s="976" t="e">
        <f ca="1" t="shared" si="1"/>
        <v>#REF!</v>
      </c>
      <c r="C9" s="975" t="s">
        <v>2182</v>
      </c>
      <c r="D9" s="974"/>
      <c r="E9" s="977" t="e">
        <f ca="1" t="shared" si="0"/>
        <v>#REF!</v>
      </c>
      <c r="F9" s="974"/>
      <c r="G9" s="974"/>
      <c r="H9" s="974"/>
      <c r="I9" s="974"/>
      <c r="J9" s="974"/>
      <c r="K9" s="974"/>
      <c r="L9" s="974"/>
      <c r="M9" s="974"/>
      <c r="N9" s="974"/>
      <c r="O9" s="974"/>
      <c r="P9" s="974"/>
    </row>
    <row r="10" ht="15.75" spans="1:16">
      <c r="A10" s="983"/>
      <c r="B10" s="976" t="e">
        <f ca="1" t="shared" si="1"/>
        <v>#REF!</v>
      </c>
      <c r="C10" s="975" t="s">
        <v>2182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2182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2182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2182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H20" sqref="H2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2190</v>
      </c>
      <c r="B1" s="390"/>
      <c r="C1" s="393" t="s">
        <v>1474</v>
      </c>
      <c r="D1" s="574">
        <f>SUM(D33:D34,D37:D42)</f>
        <v>0</v>
      </c>
      <c r="E1" s="575"/>
      <c r="F1" s="575"/>
      <c r="G1" s="575"/>
      <c r="H1" s="575"/>
      <c r="I1" s="575"/>
      <c r="J1" s="575"/>
      <c r="K1" s="567"/>
      <c r="L1" s="787" t="s">
        <v>2191</v>
      </c>
      <c r="M1" s="788">
        <f>SUMPRODUCT((区片价!B5:B9=I2)*(区片价!C3:G3=E2)*(区片价!C5:G9))</f>
        <v>0</v>
      </c>
      <c r="N1" s="789">
        <f>SUMPRODUCT((因素修正幅度!B5:B9=I2)*(因素修正幅度!C3:G3=E2)*(因素修正幅度!C5:G9))</f>
        <v>0</v>
      </c>
      <c r="O1" s="568"/>
      <c r="P1" s="568"/>
      <c r="Q1" s="567"/>
      <c r="R1" s="882" t="s">
        <v>2192</v>
      </c>
      <c r="S1" s="882" t="s">
        <v>2193</v>
      </c>
      <c r="T1" s="882" t="s">
        <v>2194</v>
      </c>
      <c r="U1" s="882" t="s">
        <v>2195</v>
      </c>
      <c r="V1" s="882" t="s">
        <v>2196</v>
      </c>
      <c r="W1" s="883"/>
      <c r="X1" s="883"/>
      <c r="Y1" s="883"/>
      <c r="Z1" s="883"/>
      <c r="AA1" s="883"/>
      <c r="AB1" s="883"/>
      <c r="AC1" s="896"/>
      <c r="AD1" s="897"/>
      <c r="AE1" s="897"/>
      <c r="AF1" s="897"/>
      <c r="AG1" s="897"/>
      <c r="AH1" s="897"/>
      <c r="AI1" s="897"/>
      <c r="AJ1" s="906"/>
    </row>
    <row r="2" ht="15.75" spans="1:36">
      <c r="A2" s="393" t="s">
        <v>987</v>
      </c>
      <c r="B2" s="397" t="e">
        <f>C30</f>
        <v>#DIV/0!</v>
      </c>
      <c r="C2" s="576" t="s">
        <v>988</v>
      </c>
      <c r="D2" s="577" t="s">
        <v>2197</v>
      </c>
      <c r="E2" s="578"/>
      <c r="F2" s="577" t="s">
        <v>2198</v>
      </c>
      <c r="G2" s="579">
        <f>IF(E2="商业",项目基本情况!B37,IF(E2="办公",项目基本情况!C37,IF(E2="住宅",项目基本情况!D37,IF(E2="工业",项目基本情况!E37,项目基本情况!F37))))</f>
        <v>0</v>
      </c>
      <c r="H2" s="577" t="s">
        <v>2199</v>
      </c>
      <c r="I2" s="579">
        <f>IF(E2="商业",项目基本情况!B38,IF(E2="办公",项目基本情况!C38,IF(E2="住宅",项目基本情况!D38,IF(E2="工业",项目基本情况!E38,项目基本情况!F38))))</f>
        <v>0</v>
      </c>
      <c r="J2" s="790"/>
      <c r="K2" s="567"/>
      <c r="L2" s="791" t="s">
        <v>2200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989</v>
      </c>
      <c r="B3" s="397" t="e">
        <f>ROUND(B2*10000/D1,0)</f>
        <v>#DIV/0!</v>
      </c>
      <c r="C3" s="576" t="s">
        <v>990</v>
      </c>
      <c r="D3" s="577" t="s">
        <v>2201</v>
      </c>
      <c r="E3" s="580"/>
      <c r="F3" s="581"/>
      <c r="G3" s="582">
        <f>IF(F3="宗地容积率",'数据-汇总表'!I4,IF(F3="估价对象容积率",'数据-汇总表'!I6,'数据-汇总表'!I7))</f>
        <v>0</v>
      </c>
      <c r="H3" s="583" t="s">
        <v>2202</v>
      </c>
      <c r="I3" s="793"/>
      <c r="J3" s="790" t="s">
        <v>2203</v>
      </c>
      <c r="K3" s="567"/>
      <c r="L3" s="791" t="s">
        <v>2204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2205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893</v>
      </c>
      <c r="B5" s="588" t="s">
        <v>2206</v>
      </c>
      <c r="C5" s="589" t="e">
        <f>ROUND(IF(E2="商业",C6*C7*C17+C20,(IF(E2="住宅",C6*C13*C17+C20,IF(E2="办公",C6*C12*C17+C20,C6+C20)))),0)</f>
        <v>#DIV/0!</v>
      </c>
      <c r="D5" s="590" t="e">
        <f>ROUND(C6*C17+C20,0)</f>
        <v>#DIV/0!</v>
      </c>
      <c r="E5" s="590"/>
      <c r="F5" s="591"/>
      <c r="G5" s="592"/>
      <c r="H5" s="592"/>
      <c r="I5" s="592"/>
      <c r="J5" s="795"/>
      <c r="K5" s="796"/>
      <c r="L5" s="791" t="s">
        <v>2207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992</v>
      </c>
      <c r="B6" s="594" t="s">
        <v>2208</v>
      </c>
      <c r="C6" s="595">
        <f>SUMIF(L1:L12,G2,M1:M12)</f>
        <v>0</v>
      </c>
      <c r="D6" s="596"/>
      <c r="E6" s="597"/>
      <c r="F6" s="597"/>
      <c r="G6" s="598"/>
      <c r="H6" s="598"/>
      <c r="I6" s="598"/>
      <c r="J6" s="797"/>
      <c r="K6" s="798"/>
      <c r="L6" s="791" t="s">
        <v>2209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2210</v>
      </c>
      <c r="B7" s="600" t="s">
        <v>2211</v>
      </c>
      <c r="C7" s="601" t="e">
        <f>IF(C8="不临65条商业街",1,ROUND(1+(1.6*E8+1.2*E9+0.8*E10+0.4*E11)*C9,4))</f>
        <v>#DIV/0!</v>
      </c>
      <c r="D7" s="602" t="s">
        <v>2212</v>
      </c>
      <c r="E7" s="603"/>
      <c r="F7" s="604"/>
      <c r="G7" s="605"/>
      <c r="H7" s="605"/>
      <c r="I7" s="605"/>
      <c r="J7" s="799"/>
      <c r="K7" s="798"/>
      <c r="L7" s="791" t="s">
        <v>2213</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2214</v>
      </c>
      <c r="X7" s="888">
        <f>G2</f>
        <v>0</v>
      </c>
      <c r="Y7" s="888" t="s">
        <v>2215</v>
      </c>
      <c r="Z7" s="900">
        <f>G3</f>
        <v>0</v>
      </c>
      <c r="AA7" s="883"/>
      <c r="AB7" s="883"/>
      <c r="AC7" s="896"/>
      <c r="AD7" s="897"/>
      <c r="AE7" s="897"/>
      <c r="AF7" s="897"/>
      <c r="AG7" s="897"/>
      <c r="AH7" s="897"/>
      <c r="AI7" s="897"/>
      <c r="AJ7" s="906"/>
    </row>
    <row r="8" ht="15" spans="1:36">
      <c r="A8" s="606"/>
      <c r="B8" s="583" t="s">
        <v>2216</v>
      </c>
      <c r="C8" s="607"/>
      <c r="D8" s="608" t="s">
        <v>2217</v>
      </c>
      <c r="E8" s="609" t="e">
        <f>ROUND(C11/E7,4)</f>
        <v>#DIV/0!</v>
      </c>
      <c r="F8" s="610" t="s">
        <v>2218</v>
      </c>
      <c r="G8" s="611"/>
      <c r="H8" s="611"/>
      <c r="I8" s="611"/>
      <c r="J8" s="800"/>
      <c r="K8" s="567"/>
      <c r="L8" s="791" t="s">
        <v>2219</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2220</v>
      </c>
      <c r="X8" s="890"/>
      <c r="Y8" s="901" t="s">
        <v>2221</v>
      </c>
      <c r="Z8" s="901" t="s">
        <v>2222</v>
      </c>
      <c r="AA8" s="901" t="s">
        <v>2223</v>
      </c>
      <c r="AB8" s="901" t="s">
        <v>2224</v>
      </c>
      <c r="AC8" s="901" t="s">
        <v>2225</v>
      </c>
      <c r="AD8" s="901" t="s">
        <v>2226</v>
      </c>
      <c r="AE8" s="901" t="s">
        <v>2227</v>
      </c>
      <c r="AF8" s="901" t="s">
        <v>2228</v>
      </c>
      <c r="AG8" s="901" t="s">
        <v>2229</v>
      </c>
      <c r="AH8" s="901" t="s">
        <v>2230</v>
      </c>
      <c r="AI8" s="901" t="s">
        <v>2231</v>
      </c>
      <c r="AJ8" s="901" t="s">
        <v>2232</v>
      </c>
    </row>
    <row r="9" ht="15" spans="1:36">
      <c r="A9" s="606"/>
      <c r="B9" s="583" t="s">
        <v>2233</v>
      </c>
      <c r="C9" s="612">
        <f>SUMIF(修正!C71:C138,C8,修正!E71:E138)</f>
        <v>0</v>
      </c>
      <c r="D9" s="613" t="s">
        <v>2234</v>
      </c>
      <c r="E9" s="613" t="e">
        <f>ROUND(C11/E7,4)</f>
        <v>#DIV/0!</v>
      </c>
      <c r="F9" s="610" t="s">
        <v>2235</v>
      </c>
      <c r="G9" s="611"/>
      <c r="H9" s="611"/>
      <c r="I9" s="611"/>
      <c r="J9" s="800"/>
      <c r="K9" s="567"/>
      <c r="L9" s="791" t="s">
        <v>2236</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2237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2238</v>
      </c>
      <c r="C10" s="613">
        <f>SUMIF(修正!C71:C138,C8,修正!F71:F138)</f>
        <v>0</v>
      </c>
      <c r="D10" s="613" t="s">
        <v>2239</v>
      </c>
      <c r="E10" s="613" t="e">
        <f>ROUND(C11/E7,4)</f>
        <v>#DIV/0!</v>
      </c>
      <c r="F10" s="610" t="s">
        <v>2240</v>
      </c>
      <c r="G10" s="611"/>
      <c r="H10" s="611"/>
      <c r="I10" s="611"/>
      <c r="J10" s="800"/>
      <c r="K10" s="567"/>
      <c r="L10" s="791" t="s">
        <v>2241</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2242</v>
      </c>
      <c r="C11" s="616">
        <f>C10/4</f>
        <v>0</v>
      </c>
      <c r="D11" s="616" t="s">
        <v>2243</v>
      </c>
      <c r="E11" s="616" t="e">
        <f>ROUND(C11/E7,4)</f>
        <v>#DIV/0!</v>
      </c>
      <c r="F11" s="617" t="s">
        <v>2244</v>
      </c>
      <c r="G11" s="618"/>
      <c r="H11" s="618"/>
      <c r="I11" s="618"/>
      <c r="J11" s="801"/>
      <c r="K11" s="567"/>
      <c r="L11" s="791" t="s">
        <v>2245</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2246</v>
      </c>
      <c r="B12" s="619" t="s">
        <v>2247</v>
      </c>
      <c r="C12" s="620"/>
      <c r="D12" s="621" t="s">
        <v>2248</v>
      </c>
      <c r="E12" s="622" t="s">
        <v>2249</v>
      </c>
      <c r="F12" s="623"/>
      <c r="G12" s="624"/>
      <c r="H12" s="624"/>
      <c r="I12" s="624"/>
      <c r="J12" s="802"/>
      <c r="K12" s="567"/>
      <c r="L12" s="803" t="s">
        <v>2250</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2251</v>
      </c>
      <c r="B13" s="625" t="s">
        <v>2252</v>
      </c>
      <c r="C13" s="601">
        <f>ROUND(C16*D16*E16*F16*G16*H16*I16*J16,4)</f>
        <v>0</v>
      </c>
      <c r="D13" s="626" t="s">
        <v>2253</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2254</v>
      </c>
      <c r="C14" s="631" t="s">
        <v>2255</v>
      </c>
      <c r="D14" s="632" t="s">
        <v>2256</v>
      </c>
      <c r="E14" s="633" t="s">
        <v>2257</v>
      </c>
      <c r="F14" s="634" t="s">
        <v>2258</v>
      </c>
      <c r="G14" s="634" t="s">
        <v>2258</v>
      </c>
      <c r="H14" s="634" t="s">
        <v>2258</v>
      </c>
      <c r="I14" s="634" t="s">
        <v>2258</v>
      </c>
      <c r="J14" s="634" t="s">
        <v>2258</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2259</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2164</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2260</v>
      </c>
      <c r="B17" s="645" t="s">
        <v>2261</v>
      </c>
      <c r="C17" s="646">
        <f>ROUND(IF(OR(E2="工业",E2="公共服务"),1,IF(AND(E18=0,E19=0),1,IF(AND(E18=J24,E19=G19),0.8,IF(E19=0,1+E17*(-0.2),1+E17*G17*(-0.2))))),4)</f>
        <v>1</v>
      </c>
      <c r="D17" s="647" t="s">
        <v>2262</v>
      </c>
      <c r="E17" s="646" t="e">
        <f>ROUND(G18/I18,2)</f>
        <v>#DIV/0!</v>
      </c>
      <c r="F17" s="647" t="s">
        <v>2263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2264</v>
      </c>
      <c r="E18" s="652"/>
      <c r="F18" s="653" t="s">
        <v>2265</v>
      </c>
      <c r="G18" s="650">
        <f>ROUND(1-(1/(POWER(1+G24,E18))),4)</f>
        <v>0</v>
      </c>
      <c r="H18" s="653" t="s">
        <v>2266</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2267</v>
      </c>
      <c r="E19" s="657"/>
      <c r="F19" s="658" t="s">
        <v>2268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2269</v>
      </c>
      <c r="B20" s="660" t="s">
        <v>2270</v>
      </c>
      <c r="C20" s="661" t="e">
        <f>ROUND(IF(F21="与级别开发程度一致",0,(G21-E21)/C21),0)</f>
        <v>#DIV/0!</v>
      </c>
      <c r="D20" s="662" t="s">
        <v>2271</v>
      </c>
      <c r="E20" s="663"/>
      <c r="F20" s="664" t="s">
        <v>2272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2273</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904</v>
      </c>
      <c r="B22" s="675" t="s">
        <v>2274</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909</v>
      </c>
      <c r="B23" s="680" t="s">
        <v>2275</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2276</v>
      </c>
      <c r="E23" s="683">
        <v>44197</v>
      </c>
      <c r="F23" s="682" t="s">
        <v>2277</v>
      </c>
      <c r="G23" s="684">
        <f>'数据-取费表'!B2</f>
        <v>45539</v>
      </c>
      <c r="H23" s="685" t="s">
        <v>2278</v>
      </c>
      <c r="I23" s="824" t="str">
        <f>IF(H23="季度增幅（自定义）",SUMIF(N25:N28,E2,O25:O28),"")</f>
        <v/>
      </c>
      <c r="J23" s="825" t="s">
        <v>2279</v>
      </c>
      <c r="K23" s="821"/>
      <c r="L23" s="826" t="s">
        <v>2280</v>
      </c>
      <c r="M23" s="827">
        <f>ROUND(SUMIF(地价!B2:G2,E2,地价!B16:G16),0)</f>
        <v>0</v>
      </c>
      <c r="N23" s="828" t="s">
        <v>2281</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912</v>
      </c>
      <c r="B24" s="687" t="s">
        <v>2282</v>
      </c>
      <c r="C24" s="688" t="e">
        <f>ROUND(POWER(1+G24,J24-I24)*(POWER(1+G24,I24)-1)/(POWER(1+G24,J24)-1),4)</f>
        <v>#DIV/0!</v>
      </c>
      <c r="D24" s="689" t="s">
        <v>2283</v>
      </c>
      <c r="E24" s="690">
        <f>存贷款利率!E24/100</f>
        <v>0.0425</v>
      </c>
      <c r="F24" s="689" t="s">
        <v>2284</v>
      </c>
      <c r="G24" s="691">
        <f>SUMIF(M30:Q30,E2,M33:Q33)</f>
        <v>0</v>
      </c>
      <c r="H24" s="689" t="s">
        <v>2285</v>
      </c>
      <c r="I24" s="831" t="e">
        <f>SUMIF('数据-取费表'!C6:C15,E2,'数据-取费表'!F6:F15)/COUNTIF('数据-取费表'!C6:C15,E2)</f>
        <v>#DIV/0!</v>
      </c>
      <c r="J24" s="832">
        <f>IF(E2="住宅",70,IF(E2="商业",40,50))</f>
        <v>50</v>
      </c>
      <c r="K24" s="821"/>
      <c r="L24" s="833" t="s">
        <v>2286</v>
      </c>
      <c r="M24" s="834">
        <f>ROUND(SUMPRODUCT((地价!A4:A16=YEAR(G23)&amp;"-"&amp;ROUNDUP(MONTH(G23)/3,0))*(地价!B2:G2=E2)*(地价!B4:G16)),0)</f>
        <v>0</v>
      </c>
      <c r="N24" s="835" t="s">
        <v>2287</v>
      </c>
      <c r="O24" s="836" t="s">
        <v>2288</v>
      </c>
      <c r="P24" s="837" t="s">
        <v>2289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934</v>
      </c>
      <c r="B25" s="693" t="s">
        <v>2290</v>
      </c>
      <c r="C25" s="694">
        <f>IF(B25="容积率修正",IF(G3&lt;10,D26,J26),C27)</f>
        <v>0</v>
      </c>
      <c r="D25" s="695"/>
      <c r="E25" s="695"/>
      <c r="F25" s="695"/>
      <c r="G25" s="695"/>
      <c r="H25" s="695"/>
      <c r="I25" s="695"/>
      <c r="J25" s="838"/>
      <c r="K25" s="821"/>
      <c r="L25" s="822"/>
      <c r="M25" s="822"/>
      <c r="N25" s="839" t="s">
        <v>2291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2292</v>
      </c>
      <c r="B26" s="697" t="s">
        <v>2293</v>
      </c>
      <c r="C26" s="698" t="s">
        <v>2294</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2295</v>
      </c>
      <c r="J26" s="842" t="str">
        <f>IF(G3&gt;=10,D115,"——")</f>
        <v>——</v>
      </c>
      <c r="K26" s="821"/>
      <c r="L26" s="822"/>
      <c r="M26" s="822"/>
      <c r="N26" s="839" t="s">
        <v>2296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2297</v>
      </c>
      <c r="B27" s="700" t="s">
        <v>2298</v>
      </c>
      <c r="C27" s="701">
        <f>ROUND(IF(I3&lt;6,SUMPRODUCT((B106:B110=I3)*(C105:N105=G2)*(C106:N110)),SUMIF(C105:N105,G2,C112:N112)),4)</f>
        <v>0</v>
      </c>
      <c r="D27" s="702"/>
      <c r="E27" s="702"/>
      <c r="F27" s="703"/>
      <c r="G27" s="704"/>
      <c r="H27" s="705"/>
      <c r="I27" s="843"/>
      <c r="J27" s="844"/>
      <c r="K27" s="567"/>
      <c r="L27" s="568"/>
      <c r="M27" s="568"/>
      <c r="N27" s="839" t="s">
        <v>2299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2300</v>
      </c>
      <c r="B28" s="680" t="s">
        <v>2301</v>
      </c>
      <c r="C28" s="681">
        <f>SUMIF(A47:A101,E2,B47:B101)</f>
        <v>0</v>
      </c>
      <c r="D28" s="706"/>
      <c r="E28" s="707"/>
      <c r="F28" s="707"/>
      <c r="G28" s="707"/>
      <c r="H28" s="707"/>
      <c r="I28" s="707"/>
      <c r="J28" s="845"/>
      <c r="K28" s="821"/>
      <c r="L28" s="822"/>
      <c r="M28" s="822"/>
      <c r="N28" s="846" t="s">
        <v>2302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2303</v>
      </c>
      <c r="B29" s="708" t="s">
        <v>2304</v>
      </c>
      <c r="C29" s="709"/>
      <c r="D29" s="605"/>
      <c r="E29" s="605"/>
      <c r="F29" s="710"/>
      <c r="G29" s="605"/>
      <c r="H29" s="605"/>
      <c r="I29" s="605"/>
      <c r="J29" s="799"/>
      <c r="K29" s="567"/>
      <c r="L29" s="568"/>
      <c r="M29" s="568"/>
      <c r="N29" s="849" t="s">
        <v>2305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2306</v>
      </c>
      <c r="C30" s="712" t="e">
        <f>IF(B25="容积率修正",E33+SUM(E37:E42),SUM(V2:V16)+SUM(E37:E42))</f>
        <v>#DIV/0!</v>
      </c>
      <c r="D30" s="713"/>
      <c r="E30" s="702"/>
      <c r="F30" s="714"/>
      <c r="G30" s="702"/>
      <c r="H30" s="702"/>
      <c r="I30" s="702"/>
      <c r="J30" s="852"/>
      <c r="K30" s="567"/>
      <c r="L30" s="853" t="s">
        <v>2197</v>
      </c>
      <c r="M30" s="854" t="s">
        <v>2307</v>
      </c>
      <c r="N30" s="854" t="s">
        <v>2308</v>
      </c>
      <c r="O30" s="854" t="s">
        <v>2309</v>
      </c>
      <c r="P30" s="854" t="s">
        <v>2310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2311</v>
      </c>
      <c r="C31" s="716" t="e">
        <f>E34+SUM(I37:I42)</f>
        <v>#DIV/0!</v>
      </c>
      <c r="D31" s="717"/>
      <c r="E31" s="718"/>
      <c r="F31" s="719"/>
      <c r="G31" s="718"/>
      <c r="H31" s="718"/>
      <c r="I31" s="718"/>
      <c r="J31" s="855"/>
      <c r="K31" s="567"/>
      <c r="L31" s="856" t="s">
        <v>2312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2313</v>
      </c>
      <c r="C32" s="722" t="s">
        <v>2314</v>
      </c>
      <c r="D32" s="722" t="s">
        <v>559</v>
      </c>
      <c r="E32" s="723" t="s">
        <v>2315</v>
      </c>
      <c r="F32" s="724"/>
      <c r="G32" s="628"/>
      <c r="H32" s="628"/>
      <c r="I32" s="628"/>
      <c r="J32" s="805"/>
      <c r="K32" s="567"/>
      <c r="L32" s="857" t="s">
        <v>2284</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2316</v>
      </c>
      <c r="C33" s="727" t="e">
        <f>ROUND(C5*C22*C23*C24*C25*C28,0)</f>
        <v>#DIV/0!</v>
      </c>
      <c r="D33" s="728"/>
      <c r="E33" s="729" t="e">
        <f>ROUND(C33*D33/10000,0)</f>
        <v>#DIV/0!</v>
      </c>
      <c r="F33" s="730" t="s">
        <v>2317</v>
      </c>
      <c r="G33" s="731"/>
      <c r="H33" s="731"/>
      <c r="I33" s="731"/>
      <c r="J33" s="859"/>
      <c r="K33" s="567"/>
      <c r="L33" s="860" t="s">
        <v>2318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2319</v>
      </c>
      <c r="C34" s="670" t="e">
        <f>ROUND(IF(E2="工业",C33*M42,IF(B25="楼层修正",SUM(V2:V16)*M41*10000/D34,C33*M41)),0)</f>
        <v>#DIV/0!</v>
      </c>
      <c r="D34" s="734"/>
      <c r="E34" s="729" t="e">
        <f>ROUND(IF(B25="楼层修正",SUM(V2:V16)*M40,C34*D34/10000),0)</f>
        <v>#DIV/0!</v>
      </c>
      <c r="F34" s="735" t="s">
        <v>2320</v>
      </c>
      <c r="G34" s="736"/>
      <c r="H34" s="736"/>
      <c r="I34" s="736"/>
      <c r="J34" s="862"/>
      <c r="K34" s="567"/>
      <c r="L34" s="860" t="s">
        <v>2321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2322</v>
      </c>
      <c r="C35" s="739" t="s">
        <v>2323</v>
      </c>
      <c r="D35" s="628"/>
      <c r="E35" s="740"/>
      <c r="F35" s="740"/>
      <c r="G35" s="626" t="s">
        <v>2320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2314</v>
      </c>
      <c r="D36" s="743" t="s">
        <v>559</v>
      </c>
      <c r="E36" s="743" t="s">
        <v>2315</v>
      </c>
      <c r="F36" s="574" t="s">
        <v>2324</v>
      </c>
      <c r="G36" s="744" t="s">
        <v>2314</v>
      </c>
      <c r="H36" s="744" t="s">
        <v>559</v>
      </c>
      <c r="I36" s="744" t="s">
        <v>2315</v>
      </c>
      <c r="J36" s="444"/>
      <c r="K36" s="864" t="s">
        <v>2325</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2326</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2327</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2328</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2329</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2330</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2331</v>
      </c>
      <c r="M40" s="871"/>
      <c r="Z40" s="751"/>
      <c r="AA40" s="751"/>
      <c r="AB40" s="751"/>
      <c r="AC40" s="751"/>
      <c r="AD40" s="751"/>
      <c r="AE40" s="751"/>
      <c r="AF40" s="751"/>
      <c r="AG40" s="751"/>
      <c r="AH40" s="751"/>
      <c r="AI40" s="751"/>
      <c r="AJ40" s="751"/>
    </row>
    <row r="41" s="567" customFormat="1" spans="1:36">
      <c r="A41" s="748"/>
      <c r="B41" s="631" t="s">
        <v>2332</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2333</v>
      </c>
      <c r="M41" s="873">
        <v>0.25</v>
      </c>
      <c r="Z41" s="751"/>
      <c r="AA41" s="751"/>
      <c r="AB41" s="751"/>
      <c r="AC41" s="751"/>
      <c r="AD41" s="751"/>
      <c r="AE41" s="751"/>
      <c r="AF41" s="751"/>
      <c r="AG41" s="751"/>
      <c r="AH41" s="751"/>
      <c r="AI41" s="751"/>
      <c r="AJ41" s="751"/>
    </row>
    <row r="42" s="567" customFormat="1" ht="13.5" spans="1:36">
      <c r="A42" s="732"/>
      <c r="B42" s="749" t="s">
        <v>2334</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2310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2335</v>
      </c>
      <c r="C44" s="574" t="e">
        <f>ROUND(POWER(1+E44,H44-G44)*(POWER(1+E44,G44)-1)/(POWER(1+E44,H44)-1),4)</f>
        <v>#DIV/0!</v>
      </c>
      <c r="D44" s="613" t="s">
        <v>2284</v>
      </c>
      <c r="E44" s="753">
        <f>G24</f>
        <v>0</v>
      </c>
      <c r="F44" s="613" t="s">
        <v>2285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2336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2337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2338</v>
      </c>
      <c r="B49" s="767" t="s">
        <v>2339</v>
      </c>
      <c r="C49" s="767" t="s">
        <v>2340</v>
      </c>
      <c r="D49" s="767" t="s">
        <v>2341</v>
      </c>
      <c r="E49" s="768" t="s">
        <v>2342</v>
      </c>
      <c r="F49" s="769" t="s">
        <v>2343</v>
      </c>
      <c r="G49" s="767" t="s">
        <v>2164</v>
      </c>
      <c r="H49" s="770" t="s">
        <v>2344</v>
      </c>
      <c r="I49" s="767" t="s">
        <v>2345</v>
      </c>
      <c r="J49" s="878" t="s">
        <v>1532</v>
      </c>
      <c r="K49" s="878" t="s">
        <v>1533</v>
      </c>
      <c r="L49" s="878" t="s">
        <v>1534</v>
      </c>
      <c r="M49" s="878" t="s">
        <v>1535</v>
      </c>
      <c r="N49" s="878" t="s">
        <v>1536</v>
      </c>
      <c r="AA49" s="751"/>
      <c r="AB49" s="751"/>
      <c r="AC49" s="751"/>
      <c r="AD49" s="751"/>
      <c r="AE49" s="751"/>
      <c r="AF49" s="751"/>
      <c r="AG49" s="751"/>
      <c r="AH49" s="751"/>
      <c r="AI49" s="751"/>
      <c r="AJ49" s="751"/>
      <c r="AK49" s="751"/>
    </row>
    <row r="50" s="567" customFormat="1" ht="36.75" spans="1:37">
      <c r="A50" s="766" t="s">
        <v>2346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2347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2348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2349</v>
      </c>
      <c r="B53" s="780" t="s">
        <v>2350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2351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2352</v>
      </c>
      <c r="B55" s="781" t="s">
        <v>2353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2354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2355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2356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2357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2338</v>
      </c>
      <c r="B60" s="767"/>
      <c r="C60" s="767" t="s">
        <v>2340</v>
      </c>
      <c r="D60" s="767" t="s">
        <v>2341</v>
      </c>
      <c r="E60" s="768" t="s">
        <v>2342</v>
      </c>
      <c r="F60" s="769" t="s">
        <v>2358</v>
      </c>
      <c r="G60" s="767" t="s">
        <v>2164</v>
      </c>
      <c r="H60" s="770" t="s">
        <v>2344</v>
      </c>
      <c r="I60" s="767" t="s">
        <v>2345</v>
      </c>
      <c r="J60" s="878" t="s">
        <v>1532</v>
      </c>
      <c r="K60" s="878" t="s">
        <v>1533</v>
      </c>
      <c r="L60" s="878" t="s">
        <v>1534</v>
      </c>
      <c r="M60" s="878" t="s">
        <v>1535</v>
      </c>
      <c r="N60" s="878" t="s">
        <v>1536</v>
      </c>
      <c r="AA60" s="751"/>
      <c r="AB60" s="751"/>
      <c r="AC60" s="751"/>
      <c r="AD60" s="751"/>
      <c r="AE60" s="751"/>
      <c r="AF60" s="751"/>
      <c r="AG60" s="751"/>
      <c r="AH60" s="751"/>
      <c r="AI60" s="751"/>
      <c r="AJ60" s="751"/>
      <c r="AK60" s="751"/>
    </row>
    <row r="61" s="567" customFormat="1" ht="36.75" spans="1:37">
      <c r="A61" s="766" t="s">
        <v>2359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2347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2348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2349</v>
      </c>
      <c r="B64" s="780" t="s">
        <v>2350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2351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2352</v>
      </c>
      <c r="B66" s="781" t="s">
        <v>2353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2354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2355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2356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2360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2338</v>
      </c>
      <c r="B71" s="767"/>
      <c r="C71" s="767" t="s">
        <v>2340</v>
      </c>
      <c r="D71" s="767" t="s">
        <v>2341</v>
      </c>
      <c r="E71" s="768" t="s">
        <v>2342</v>
      </c>
      <c r="F71" s="769" t="s">
        <v>2358</v>
      </c>
      <c r="G71" s="767" t="s">
        <v>2164</v>
      </c>
      <c r="H71" s="770" t="s">
        <v>2344</v>
      </c>
      <c r="I71" s="767" t="s">
        <v>2345</v>
      </c>
      <c r="J71" s="878" t="s">
        <v>1532</v>
      </c>
      <c r="K71" s="878" t="s">
        <v>1533</v>
      </c>
      <c r="L71" s="878" t="s">
        <v>1534</v>
      </c>
      <c r="M71" s="878" t="s">
        <v>1535</v>
      </c>
      <c r="N71" s="878" t="s">
        <v>1536</v>
      </c>
      <c r="AA71" s="751"/>
      <c r="AB71" s="751"/>
      <c r="AC71" s="751"/>
      <c r="AD71" s="751"/>
      <c r="AE71" s="751"/>
      <c r="AF71" s="751"/>
      <c r="AG71" s="751"/>
      <c r="AH71" s="751"/>
      <c r="AI71" s="751"/>
      <c r="AJ71" s="751"/>
      <c r="AK71" s="751"/>
    </row>
    <row r="72" s="567" customFormat="1" ht="48" spans="1:37">
      <c r="A72" s="766" t="s">
        <v>2361</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2347</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2348</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2362</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2354</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2355</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2352</v>
      </c>
      <c r="B78" s="781" t="s">
        <v>2353</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2356</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2363</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2364</v>
      </c>
      <c r="B81" s="761">
        <f>1+E83</f>
        <v>1</v>
      </c>
      <c r="C81" s="763"/>
      <c r="D81" s="763"/>
      <c r="E81" s="764"/>
      <c r="F81" s="765"/>
      <c r="G81" s="759"/>
      <c r="H81" s="759"/>
      <c r="I81" s="759"/>
      <c r="J81" s="758"/>
      <c r="K81" s="758"/>
      <c r="L81" s="758"/>
      <c r="M81" s="758"/>
      <c r="N81" s="758"/>
      <c r="Z81" s="571"/>
      <c r="AA81" s="569"/>
      <c r="AG81" s="573"/>
      <c r="AK81" s="569"/>
    </row>
    <row r="82" ht="24.75" spans="1:37">
      <c r="A82" s="766" t="s">
        <v>2338</v>
      </c>
      <c r="B82" s="767"/>
      <c r="C82" s="767" t="s">
        <v>2340</v>
      </c>
      <c r="D82" s="767" t="s">
        <v>2341</v>
      </c>
      <c r="E82" s="768" t="s">
        <v>2342</v>
      </c>
      <c r="F82" s="769" t="s">
        <v>2358</v>
      </c>
      <c r="G82" s="767" t="s">
        <v>2164</v>
      </c>
      <c r="H82" s="770" t="s">
        <v>2344</v>
      </c>
      <c r="I82" s="767" t="s">
        <v>2345</v>
      </c>
      <c r="J82" s="878" t="s">
        <v>1532</v>
      </c>
      <c r="K82" s="878" t="s">
        <v>1533</v>
      </c>
      <c r="L82" s="878" t="s">
        <v>1534</v>
      </c>
      <c r="M82" s="878" t="s">
        <v>1535</v>
      </c>
      <c r="N82" s="878" t="s">
        <v>1536</v>
      </c>
      <c r="Z82" s="571"/>
      <c r="AA82" s="569"/>
      <c r="AG82" s="573"/>
      <c r="AK82" s="569"/>
    </row>
    <row r="83" ht="38.25" spans="1:37">
      <c r="A83" s="766" t="s">
        <v>2365</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2347</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2348</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2362</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2354</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2355</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2352</v>
      </c>
      <c r="B89" s="781" t="s">
        <v>2366</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2367</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2338</v>
      </c>
      <c r="B92" s="925"/>
      <c r="C92" s="925" t="s">
        <v>2340</v>
      </c>
      <c r="D92" s="925" t="s">
        <v>2341</v>
      </c>
      <c r="E92" s="894" t="s">
        <v>2342</v>
      </c>
      <c r="F92" s="926" t="s">
        <v>2358</v>
      </c>
      <c r="G92" s="925" t="s">
        <v>2164</v>
      </c>
      <c r="H92" s="927" t="s">
        <v>2344</v>
      </c>
      <c r="I92" s="925" t="s">
        <v>2345</v>
      </c>
      <c r="J92" s="963" t="s">
        <v>1532</v>
      </c>
      <c r="K92" s="963" t="s">
        <v>1533</v>
      </c>
      <c r="L92" s="963" t="s">
        <v>1534</v>
      </c>
      <c r="M92" s="963" t="s">
        <v>1535</v>
      </c>
      <c r="N92" s="963" t="s">
        <v>1536</v>
      </c>
    </row>
    <row r="93" ht="24" spans="1:14">
      <c r="A93" s="779" t="s">
        <v>2368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2347</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2348</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2349</v>
      </c>
      <c r="B96" s="933" t="s">
        <v>2350</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2351</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2352</v>
      </c>
      <c r="B98" s="934" t="s">
        <v>2353</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2354</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2355</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2356</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2369</v>
      </c>
      <c r="B103" s="938"/>
      <c r="C103" s="938"/>
      <c r="D103" s="938"/>
      <c r="E103" s="938"/>
      <c r="F103" s="938"/>
      <c r="G103" s="938"/>
      <c r="H103" s="938"/>
      <c r="I103" s="938"/>
      <c r="J103" s="938"/>
      <c r="K103" s="938"/>
      <c r="L103" s="938"/>
      <c r="M103" s="938"/>
      <c r="N103" s="938"/>
    </row>
    <row r="104" spans="1:14">
      <c r="A104" s="939" t="s">
        <v>2370</v>
      </c>
      <c r="B104" s="939" t="s">
        <v>2371</v>
      </c>
      <c r="C104" s="940" t="s">
        <v>2372</v>
      </c>
      <c r="D104" s="941"/>
      <c r="E104" s="941"/>
      <c r="F104" s="941"/>
      <c r="G104" s="941"/>
      <c r="H104" s="941"/>
      <c r="I104" s="941"/>
      <c r="J104" s="964"/>
      <c r="K104" s="965"/>
      <c r="L104" s="965"/>
      <c r="M104" s="965"/>
      <c r="N104" s="965"/>
    </row>
    <row r="105" spans="1:14">
      <c r="A105" s="939"/>
      <c r="B105" s="939"/>
      <c r="C105" s="939" t="s">
        <v>2221</v>
      </c>
      <c r="D105" s="939" t="s">
        <v>2222</v>
      </c>
      <c r="E105" s="939" t="s">
        <v>2223</v>
      </c>
      <c r="F105" s="939" t="s">
        <v>2224</v>
      </c>
      <c r="G105" s="939" t="s">
        <v>2225</v>
      </c>
      <c r="H105" s="939" t="s">
        <v>2226</v>
      </c>
      <c r="I105" s="939" t="s">
        <v>2227</v>
      </c>
      <c r="J105" s="939" t="s">
        <v>2228</v>
      </c>
      <c r="K105" s="939" t="s">
        <v>2229</v>
      </c>
      <c r="L105" s="939" t="s">
        <v>2230</v>
      </c>
      <c r="M105" s="939" t="s">
        <v>2231</v>
      </c>
      <c r="N105" s="939" t="s">
        <v>2232</v>
      </c>
    </row>
    <row r="106" spans="1:14">
      <c r="A106" s="942" t="s">
        <v>2373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2237</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2374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2375</v>
      </c>
      <c r="B116" s="949">
        <f>G3</f>
        <v>0</v>
      </c>
      <c r="C116" s="950" t="s">
        <v>2376</v>
      </c>
      <c r="D116" s="951">
        <f>SUMPRODUCT((A118:A122=F116)*(B117:M117=H116)*B118:M122)</f>
        <v>0</v>
      </c>
      <c r="E116" s="577" t="s">
        <v>2197</v>
      </c>
      <c r="F116" s="952">
        <f>E2</f>
        <v>0</v>
      </c>
      <c r="G116" s="577" t="s">
        <v>2198</v>
      </c>
      <c r="H116" s="952">
        <f>G2</f>
        <v>0</v>
      </c>
      <c r="I116" s="577"/>
      <c r="J116" s="966"/>
      <c r="K116" s="966"/>
      <c r="L116" s="966"/>
      <c r="M116" s="966"/>
      <c r="N116" s="947"/>
    </row>
    <row r="117" spans="1:14">
      <c r="A117" s="953"/>
      <c r="B117" s="954" t="s">
        <v>2377</v>
      </c>
      <c r="C117" s="954" t="s">
        <v>2378</v>
      </c>
      <c r="D117" s="954" t="s">
        <v>2379</v>
      </c>
      <c r="E117" s="955" t="s">
        <v>2380</v>
      </c>
      <c r="F117" s="955" t="s">
        <v>2381</v>
      </c>
      <c r="G117" s="955" t="s">
        <v>2382</v>
      </c>
      <c r="H117" s="956" t="s">
        <v>2383</v>
      </c>
      <c r="I117" s="956" t="s">
        <v>2384</v>
      </c>
      <c r="J117" s="967" t="s">
        <v>2385</v>
      </c>
      <c r="K117" s="967" t="s">
        <v>2386</v>
      </c>
      <c r="L117" s="967" t="s">
        <v>2387</v>
      </c>
      <c r="M117" s="968" t="s">
        <v>2388</v>
      </c>
      <c r="N117" s="947"/>
    </row>
    <row r="118" spans="1:14">
      <c r="A118" s="957" t="s">
        <v>2307</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2308</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2309</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2310</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2389</v>
      </c>
      <c r="B2" s="501">
        <v>3.5</v>
      </c>
      <c r="C2" s="501">
        <v>3.5</v>
      </c>
      <c r="D2" s="502">
        <v>2.5</v>
      </c>
      <c r="E2" s="502">
        <v>2.5</v>
      </c>
      <c r="F2" s="502">
        <v>2.5</v>
      </c>
      <c r="G2" s="502">
        <v>2.5</v>
      </c>
      <c r="H2" s="502">
        <v>2.5</v>
      </c>
      <c r="I2" s="501">
        <v>2</v>
      </c>
      <c r="J2" s="501">
        <v>2</v>
      </c>
      <c r="K2" s="501">
        <v>2</v>
      </c>
      <c r="L2" s="501">
        <v>2</v>
      </c>
      <c r="M2" s="555">
        <v>2</v>
      </c>
    </row>
    <row r="3" customHeight="1" spans="1:13">
      <c r="A3" s="503" t="s">
        <v>2390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2391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2392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2393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2394</v>
      </c>
      <c r="B18" s="517"/>
      <c r="C18" s="518"/>
      <c r="D18" s="518"/>
      <c r="E18" s="517"/>
      <c r="F18" s="518"/>
      <c r="G18" s="518"/>
    </row>
    <row r="19" customHeight="1" spans="1:7">
      <c r="A19" s="516" t="s">
        <v>2395</v>
      </c>
      <c r="B19" s="519" t="s">
        <v>2396</v>
      </c>
      <c r="C19" s="519" t="s">
        <v>2397</v>
      </c>
      <c r="D19" s="520"/>
      <c r="E19" s="516" t="s">
        <v>2398</v>
      </c>
      <c r="F19" s="521"/>
      <c r="G19" s="521"/>
    </row>
    <row r="20" customHeight="1" spans="1:7">
      <c r="A20" s="522" t="s">
        <v>2389</v>
      </c>
      <c r="B20" s="523" t="s">
        <v>2399</v>
      </c>
      <c r="C20" s="524" t="s">
        <v>2400</v>
      </c>
      <c r="D20" s="525"/>
      <c r="E20" s="526">
        <v>1</v>
      </c>
      <c r="F20" s="527" t="s">
        <v>2401</v>
      </c>
      <c r="G20" s="527"/>
    </row>
    <row r="21" customHeight="1" spans="1:7">
      <c r="A21" s="528"/>
      <c r="B21" s="529"/>
      <c r="C21" s="530" t="s">
        <v>2402</v>
      </c>
      <c r="D21" s="531"/>
      <c r="E21" s="532">
        <v>1</v>
      </c>
      <c r="F21" s="527" t="s">
        <v>2403</v>
      </c>
      <c r="G21" s="527"/>
    </row>
    <row r="22" customHeight="1" spans="1:7">
      <c r="A22" s="528"/>
      <c r="B22" s="529"/>
      <c r="C22" s="530" t="s">
        <v>2404</v>
      </c>
      <c r="D22" s="531"/>
      <c r="E22" s="532">
        <v>0.9</v>
      </c>
      <c r="F22" s="527" t="s">
        <v>2405</v>
      </c>
      <c r="G22" s="527"/>
    </row>
    <row r="23" customHeight="1" spans="1:7">
      <c r="A23" s="528"/>
      <c r="B23" s="529"/>
      <c r="C23" s="530" t="s">
        <v>2406</v>
      </c>
      <c r="D23" s="531"/>
      <c r="E23" s="532">
        <v>0.9</v>
      </c>
      <c r="F23" s="527" t="s">
        <v>2407</v>
      </c>
      <c r="G23" s="527"/>
    </row>
    <row r="24" customHeight="1" spans="1:7">
      <c r="A24" s="528"/>
      <c r="B24" s="529"/>
      <c r="C24" s="530" t="s">
        <v>2408</v>
      </c>
      <c r="D24" s="531"/>
      <c r="E24" s="532">
        <v>0.8</v>
      </c>
      <c r="F24" s="527" t="s">
        <v>2409</v>
      </c>
      <c r="G24" s="527"/>
    </row>
    <row r="25" customHeight="1" spans="1:7">
      <c r="A25" s="533"/>
      <c r="B25" s="534"/>
      <c r="C25" s="535" t="s">
        <v>2410</v>
      </c>
      <c r="D25" s="536"/>
      <c r="E25" s="537">
        <v>0.8</v>
      </c>
      <c r="F25" s="527" t="s">
        <v>2411</v>
      </c>
      <c r="G25" s="527"/>
    </row>
    <row r="26" customHeight="1" spans="1:7">
      <c r="A26" s="538" t="s">
        <v>2390</v>
      </c>
      <c r="B26" s="539" t="s">
        <v>2399</v>
      </c>
      <c r="C26" s="540" t="s">
        <v>2412</v>
      </c>
      <c r="D26" s="541"/>
      <c r="E26" s="542">
        <v>1</v>
      </c>
      <c r="F26" s="527" t="s">
        <v>2413</v>
      </c>
      <c r="G26" s="527"/>
    </row>
    <row r="27" customHeight="1" spans="1:7">
      <c r="A27" s="543" t="s">
        <v>280</v>
      </c>
      <c r="B27" s="523" t="s">
        <v>280</v>
      </c>
      <c r="C27" s="524" t="s">
        <v>2414</v>
      </c>
      <c r="D27" s="525"/>
      <c r="E27" s="526">
        <v>1</v>
      </c>
      <c r="F27" s="527" t="s">
        <v>2415</v>
      </c>
      <c r="G27" s="527"/>
    </row>
    <row r="28" customHeight="1" spans="1:7">
      <c r="A28" s="544"/>
      <c r="B28" s="529"/>
      <c r="C28" s="530" t="s">
        <v>2416</v>
      </c>
      <c r="D28" s="531"/>
      <c r="E28" s="532">
        <v>1</v>
      </c>
      <c r="F28" s="527" t="s">
        <v>2417</v>
      </c>
      <c r="G28" s="527"/>
    </row>
    <row r="29" customHeight="1" spans="1:7">
      <c r="A29" s="544"/>
      <c r="B29" s="529"/>
      <c r="C29" s="530" t="s">
        <v>2418</v>
      </c>
      <c r="D29" s="531"/>
      <c r="E29" s="532">
        <v>0.8</v>
      </c>
      <c r="F29" s="527" t="s">
        <v>2419</v>
      </c>
      <c r="G29" s="527"/>
    </row>
    <row r="30" customHeight="1" spans="1:7">
      <c r="A30" s="544"/>
      <c r="B30" s="529"/>
      <c r="C30" s="530" t="s">
        <v>2420</v>
      </c>
      <c r="D30" s="531"/>
      <c r="E30" s="532">
        <v>0.8</v>
      </c>
      <c r="F30" s="527" t="s">
        <v>2421</v>
      </c>
      <c r="G30" s="527"/>
    </row>
    <row r="31" customHeight="1" spans="1:7">
      <c r="A31" s="544"/>
      <c r="B31" s="529"/>
      <c r="C31" s="530" t="s">
        <v>2422</v>
      </c>
      <c r="D31" s="531"/>
      <c r="E31" s="532">
        <v>0.8</v>
      </c>
      <c r="F31" s="527" t="s">
        <v>2423</v>
      </c>
      <c r="G31" s="527"/>
    </row>
    <row r="32" customHeight="1" spans="1:7">
      <c r="A32" s="544"/>
      <c r="B32" s="529"/>
      <c r="C32" s="530" t="s">
        <v>2424</v>
      </c>
      <c r="D32" s="531"/>
      <c r="E32" s="532">
        <v>0.7</v>
      </c>
      <c r="F32" s="527" t="s">
        <v>2425</v>
      </c>
      <c r="G32" s="527"/>
    </row>
    <row r="33" customHeight="1" spans="1:7">
      <c r="A33" s="544"/>
      <c r="B33" s="529"/>
      <c r="C33" s="530" t="s">
        <v>2426</v>
      </c>
      <c r="D33" s="531"/>
      <c r="E33" s="532">
        <v>0.8</v>
      </c>
      <c r="F33" s="527" t="s">
        <v>2427</v>
      </c>
      <c r="G33" s="527"/>
    </row>
    <row r="34" customHeight="1" spans="1:7">
      <c r="A34" s="544"/>
      <c r="B34" s="529"/>
      <c r="C34" s="530" t="s">
        <v>2428</v>
      </c>
      <c r="D34" s="531"/>
      <c r="E34" s="532">
        <v>0.6</v>
      </c>
      <c r="F34" s="527" t="s">
        <v>2429</v>
      </c>
      <c r="G34" s="527"/>
    </row>
    <row r="35" customHeight="1" spans="1:7">
      <c r="A35" s="544"/>
      <c r="B35" s="529"/>
      <c r="C35" s="530" t="s">
        <v>2430</v>
      </c>
      <c r="D35" s="531"/>
      <c r="E35" s="532">
        <v>0.2</v>
      </c>
      <c r="F35" s="527" t="s">
        <v>2431</v>
      </c>
      <c r="G35" s="527"/>
    </row>
    <row r="36" customHeight="1" spans="1:7">
      <c r="A36" s="544"/>
      <c r="B36" s="529"/>
      <c r="C36" s="530" t="s">
        <v>2432</v>
      </c>
      <c r="D36" s="531"/>
      <c r="E36" s="532">
        <v>0.2</v>
      </c>
      <c r="F36" s="527" t="s">
        <v>2433</v>
      </c>
      <c r="G36" s="527"/>
    </row>
    <row r="37" customHeight="1" spans="1:7">
      <c r="A37" s="544"/>
      <c r="B37" s="545" t="s">
        <v>2434</v>
      </c>
      <c r="C37" s="530" t="s">
        <v>2435</v>
      </c>
      <c r="D37" s="531"/>
      <c r="E37" s="532">
        <v>0.6</v>
      </c>
      <c r="F37" s="527" t="s">
        <v>2436</v>
      </c>
      <c r="G37" s="527"/>
    </row>
    <row r="38" customHeight="1" spans="1:7">
      <c r="A38" s="544"/>
      <c r="B38" s="529"/>
      <c r="C38" s="530" t="s">
        <v>2437</v>
      </c>
      <c r="D38" s="531"/>
      <c r="E38" s="532">
        <v>0.6</v>
      </c>
      <c r="F38" s="527" t="s">
        <v>2438</v>
      </c>
      <c r="G38" s="527"/>
    </row>
    <row r="39" customHeight="1" spans="1:7">
      <c r="A39" s="546"/>
      <c r="B39" s="534"/>
      <c r="C39" s="535" t="s">
        <v>2439</v>
      </c>
      <c r="D39" s="536"/>
      <c r="E39" s="537">
        <v>0.6</v>
      </c>
      <c r="F39" s="527" t="s">
        <v>2440</v>
      </c>
      <c r="G39" s="527"/>
    </row>
    <row r="40" customHeight="1" spans="1:7">
      <c r="A40" s="538" t="s">
        <v>412</v>
      </c>
      <c r="B40" s="539" t="s">
        <v>412</v>
      </c>
      <c r="C40" s="540" t="s">
        <v>2441</v>
      </c>
      <c r="D40" s="541"/>
      <c r="E40" s="542">
        <v>1</v>
      </c>
      <c r="F40" s="527" t="s">
        <v>2442</v>
      </c>
      <c r="G40" s="527"/>
    </row>
    <row r="41" customHeight="1" spans="1:7">
      <c r="A41" s="522" t="s">
        <v>408</v>
      </c>
      <c r="B41" s="523" t="s">
        <v>2443</v>
      </c>
      <c r="C41" s="524" t="s">
        <v>2444</v>
      </c>
      <c r="D41" s="525"/>
      <c r="E41" s="526">
        <v>1</v>
      </c>
      <c r="F41" s="527" t="s">
        <v>2445</v>
      </c>
      <c r="G41" s="527"/>
    </row>
    <row r="42" customHeight="1" spans="1:7">
      <c r="A42" s="528"/>
      <c r="B42" s="529"/>
      <c r="C42" s="530" t="s">
        <v>2446</v>
      </c>
      <c r="D42" s="531"/>
      <c r="E42" s="532">
        <v>1</v>
      </c>
      <c r="F42" s="527" t="s">
        <v>2447</v>
      </c>
      <c r="G42" s="527"/>
    </row>
    <row r="43" customHeight="1" spans="1:7">
      <c r="A43" s="528"/>
      <c r="B43" s="547"/>
      <c r="C43" s="530" t="s">
        <v>2448</v>
      </c>
      <c r="D43" s="531"/>
      <c r="E43" s="532">
        <v>1.5</v>
      </c>
      <c r="F43" s="527" t="s">
        <v>2449</v>
      </c>
      <c r="G43" s="527"/>
    </row>
    <row r="44" customHeight="1" spans="1:7">
      <c r="A44" s="528"/>
      <c r="B44" s="548" t="s">
        <v>280</v>
      </c>
      <c r="C44" s="530" t="s">
        <v>2391</v>
      </c>
      <c r="D44" s="531"/>
      <c r="E44" s="532">
        <v>2</v>
      </c>
      <c r="F44" s="527" t="s">
        <v>2450</v>
      </c>
      <c r="G44" s="527"/>
    </row>
    <row r="45" customHeight="1" spans="1:7">
      <c r="A45" s="528"/>
      <c r="B45" s="545" t="s">
        <v>2451</v>
      </c>
      <c r="C45" s="530" t="s">
        <v>2452</v>
      </c>
      <c r="D45" s="531"/>
      <c r="E45" s="532">
        <v>1</v>
      </c>
      <c r="F45" s="527" t="s">
        <v>2453</v>
      </c>
      <c r="G45" s="527"/>
    </row>
    <row r="46" customHeight="1" spans="1:7">
      <c r="A46" s="528"/>
      <c r="B46" s="529"/>
      <c r="C46" s="530" t="s">
        <v>2454</v>
      </c>
      <c r="D46" s="531"/>
      <c r="E46" s="532">
        <v>1</v>
      </c>
      <c r="F46" s="527" t="s">
        <v>2455</v>
      </c>
      <c r="G46" s="527"/>
    </row>
    <row r="47" customHeight="1" spans="1:7">
      <c r="A47" s="528"/>
      <c r="B47" s="529"/>
      <c r="C47" s="530" t="s">
        <v>2456</v>
      </c>
      <c r="D47" s="531"/>
      <c r="E47" s="532">
        <v>1</v>
      </c>
      <c r="F47" s="527" t="s">
        <v>2457</v>
      </c>
      <c r="G47" s="527"/>
    </row>
    <row r="48" customHeight="1" spans="1:7">
      <c r="A48" s="528"/>
      <c r="B48" s="529"/>
      <c r="C48" s="530" t="s">
        <v>2458</v>
      </c>
      <c r="D48" s="531"/>
      <c r="E48" s="532">
        <v>1</v>
      </c>
      <c r="F48" s="527" t="s">
        <v>2459</v>
      </c>
      <c r="G48" s="527"/>
    </row>
    <row r="49" customHeight="1" spans="1:7">
      <c r="A49" s="528"/>
      <c r="B49" s="529"/>
      <c r="C49" s="530" t="s">
        <v>2460</v>
      </c>
      <c r="D49" s="531"/>
      <c r="E49" s="532">
        <v>1</v>
      </c>
      <c r="F49" s="527" t="s">
        <v>2461</v>
      </c>
      <c r="G49" s="527"/>
    </row>
    <row r="50" customHeight="1" spans="1:7">
      <c r="A50" s="528"/>
      <c r="B50" s="529"/>
      <c r="C50" s="530" t="s">
        <v>2462</v>
      </c>
      <c r="D50" s="531"/>
      <c r="E50" s="532">
        <v>1</v>
      </c>
      <c r="F50" s="527" t="s">
        <v>2463</v>
      </c>
      <c r="G50" s="527"/>
    </row>
    <row r="51" customHeight="1" spans="1:7">
      <c r="A51" s="533"/>
      <c r="B51" s="534"/>
      <c r="C51" s="535" t="s">
        <v>2464</v>
      </c>
      <c r="D51" s="536"/>
      <c r="E51" s="537">
        <v>1</v>
      </c>
      <c r="F51" s="527" t="s">
        <v>2465</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2466</v>
      </c>
      <c r="G54" s="516" t="s">
        <v>541</v>
      </c>
    </row>
    <row r="55" customHeight="1" spans="1:7">
      <c r="A55" s="551"/>
      <c r="B55" s="516" t="s">
        <v>2389</v>
      </c>
      <c r="C55" s="516" t="s">
        <v>2389</v>
      </c>
      <c r="D55" s="516" t="s">
        <v>2389</v>
      </c>
      <c r="E55" s="514" t="s">
        <v>2390</v>
      </c>
      <c r="F55" s="514" t="s">
        <v>408</v>
      </c>
      <c r="G55" s="514" t="s">
        <v>1586</v>
      </c>
    </row>
    <row r="56" customHeight="1" spans="1:7">
      <c r="A56" s="552"/>
      <c r="B56" s="514">
        <v>1</v>
      </c>
      <c r="C56" s="514">
        <v>2</v>
      </c>
      <c r="D56" s="514">
        <v>3</v>
      </c>
      <c r="E56" s="553" t="s">
        <v>2467</v>
      </c>
      <c r="F56" s="553" t="s">
        <v>2467</v>
      </c>
      <c r="G56" s="553" t="s">
        <v>2467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2468</v>
      </c>
      <c r="E70" s="565"/>
      <c r="F70" s="565"/>
    </row>
    <row r="71" customHeight="1" spans="1:6">
      <c r="A71" s="548" t="s">
        <v>2469</v>
      </c>
      <c r="B71" s="548" t="s">
        <v>2470</v>
      </c>
      <c r="C71" s="548" t="s">
        <v>2471</v>
      </c>
      <c r="D71" s="548" t="s">
        <v>2472</v>
      </c>
      <c r="E71" s="548" t="s">
        <v>2473</v>
      </c>
      <c r="F71" s="548" t="s">
        <v>2474</v>
      </c>
    </row>
    <row r="72" ht="13.5" spans="1:6">
      <c r="A72" s="548"/>
      <c r="B72" s="548"/>
      <c r="C72" s="548" t="s">
        <v>2475</v>
      </c>
      <c r="D72" s="548"/>
      <c r="E72" s="548" t="s">
        <v>124</v>
      </c>
      <c r="F72" s="548" t="s">
        <v>124</v>
      </c>
    </row>
    <row r="73" ht="13.5" spans="1:6">
      <c r="A73" s="548">
        <v>1</v>
      </c>
      <c r="B73" s="545" t="s">
        <v>2476</v>
      </c>
      <c r="C73" s="514" t="s">
        <v>2477</v>
      </c>
      <c r="D73" s="514" t="s">
        <v>2478</v>
      </c>
      <c r="E73" s="548">
        <v>0.2</v>
      </c>
      <c r="F73" s="548">
        <v>25</v>
      </c>
    </row>
    <row r="74" ht="24" spans="1:6">
      <c r="A74" s="548">
        <v>2</v>
      </c>
      <c r="B74" s="529"/>
      <c r="C74" s="514" t="s">
        <v>2479</v>
      </c>
      <c r="D74" s="514" t="s">
        <v>2480</v>
      </c>
      <c r="E74" s="548">
        <v>0.2</v>
      </c>
      <c r="F74" s="548">
        <v>25</v>
      </c>
    </row>
    <row r="75" ht="24" spans="1:6">
      <c r="A75" s="548">
        <v>3</v>
      </c>
      <c r="B75" s="529"/>
      <c r="C75" s="514" t="s">
        <v>2481</v>
      </c>
      <c r="D75" s="514" t="s">
        <v>2482</v>
      </c>
      <c r="E75" s="548">
        <v>0.2</v>
      </c>
      <c r="F75" s="548">
        <v>25</v>
      </c>
    </row>
    <row r="76" ht="13.5" spans="1:6">
      <c r="A76" s="548">
        <v>4</v>
      </c>
      <c r="B76" s="529"/>
      <c r="C76" s="514" t="s">
        <v>2483</v>
      </c>
      <c r="D76" s="514" t="s">
        <v>2484</v>
      </c>
      <c r="E76" s="548">
        <v>0.15</v>
      </c>
      <c r="F76" s="548">
        <v>20</v>
      </c>
    </row>
    <row r="77" ht="24" spans="1:6">
      <c r="A77" s="548">
        <v>5</v>
      </c>
      <c r="B77" s="529"/>
      <c r="C77" s="514" t="s">
        <v>2485</v>
      </c>
      <c r="D77" s="514" t="s">
        <v>2486</v>
      </c>
      <c r="E77" s="548">
        <v>0.15</v>
      </c>
      <c r="F77" s="548">
        <v>20</v>
      </c>
    </row>
    <row r="78" ht="24" spans="1:6">
      <c r="A78" s="548">
        <v>6</v>
      </c>
      <c r="B78" s="529"/>
      <c r="C78" s="514" t="s">
        <v>2487</v>
      </c>
      <c r="D78" s="514" t="s">
        <v>2488</v>
      </c>
      <c r="E78" s="548">
        <v>0.15</v>
      </c>
      <c r="F78" s="548">
        <v>20</v>
      </c>
    </row>
    <row r="79" ht="24" spans="1:6">
      <c r="A79" s="548">
        <v>7</v>
      </c>
      <c r="B79" s="529"/>
      <c r="C79" s="514" t="s">
        <v>2489</v>
      </c>
      <c r="D79" s="514" t="s">
        <v>2490</v>
      </c>
      <c r="E79" s="548">
        <v>0.15</v>
      </c>
      <c r="F79" s="548">
        <v>20</v>
      </c>
    </row>
    <row r="80" ht="24" spans="1:6">
      <c r="A80" s="548">
        <v>8</v>
      </c>
      <c r="B80" s="529"/>
      <c r="C80" s="514" t="s">
        <v>2491</v>
      </c>
      <c r="D80" s="514" t="s">
        <v>2492</v>
      </c>
      <c r="E80" s="548">
        <v>0.1</v>
      </c>
      <c r="F80" s="548">
        <v>15</v>
      </c>
    </row>
    <row r="81" ht="24" spans="1:6">
      <c r="A81" s="548">
        <v>9</v>
      </c>
      <c r="B81" s="529"/>
      <c r="C81" s="514" t="s">
        <v>2493</v>
      </c>
      <c r="D81" s="514" t="s">
        <v>2494</v>
      </c>
      <c r="E81" s="548">
        <v>0.1</v>
      </c>
      <c r="F81" s="548">
        <v>15</v>
      </c>
    </row>
    <row r="82" ht="24" spans="1:6">
      <c r="A82" s="548">
        <v>10</v>
      </c>
      <c r="B82" s="529"/>
      <c r="C82" s="514" t="s">
        <v>2495</v>
      </c>
      <c r="D82" s="514" t="s">
        <v>2496</v>
      </c>
      <c r="E82" s="548">
        <v>0.1</v>
      </c>
      <c r="F82" s="548">
        <v>15</v>
      </c>
    </row>
    <row r="83" ht="24" spans="1:6">
      <c r="A83" s="548">
        <v>11</v>
      </c>
      <c r="B83" s="529"/>
      <c r="C83" s="514" t="s">
        <v>2497</v>
      </c>
      <c r="D83" s="514" t="s">
        <v>2498</v>
      </c>
      <c r="E83" s="548">
        <v>0.1</v>
      </c>
      <c r="F83" s="548">
        <v>15</v>
      </c>
    </row>
    <row r="84" ht="24" spans="1:6">
      <c r="A84" s="548">
        <v>12</v>
      </c>
      <c r="B84" s="529"/>
      <c r="C84" s="514" t="s">
        <v>2499</v>
      </c>
      <c r="D84" s="514" t="s">
        <v>2500</v>
      </c>
      <c r="E84" s="548">
        <v>0.1</v>
      </c>
      <c r="F84" s="548">
        <v>15</v>
      </c>
    </row>
    <row r="85" ht="13.5" spans="1:6">
      <c r="A85" s="548">
        <v>13</v>
      </c>
      <c r="B85" s="529"/>
      <c r="C85" s="514" t="s">
        <v>2501</v>
      </c>
      <c r="D85" s="514" t="s">
        <v>2502</v>
      </c>
      <c r="E85" s="548">
        <v>0.1</v>
      </c>
      <c r="F85" s="548">
        <v>15</v>
      </c>
    </row>
    <row r="86" ht="13.5" spans="1:6">
      <c r="A86" s="548">
        <v>14</v>
      </c>
      <c r="B86" s="529"/>
      <c r="C86" s="514" t="s">
        <v>2503</v>
      </c>
      <c r="D86" s="514" t="s">
        <v>2504</v>
      </c>
      <c r="E86" s="548">
        <v>0.1</v>
      </c>
      <c r="F86" s="548">
        <v>15</v>
      </c>
    </row>
    <row r="87" ht="13.5" spans="1:6">
      <c r="A87" s="548">
        <v>15</v>
      </c>
      <c r="B87" s="529"/>
      <c r="C87" s="514" t="s">
        <v>2505</v>
      </c>
      <c r="D87" s="514" t="s">
        <v>2506</v>
      </c>
      <c r="E87" s="548">
        <v>0.1</v>
      </c>
      <c r="F87" s="548">
        <v>15</v>
      </c>
    </row>
    <row r="88" ht="24" spans="1:6">
      <c r="A88" s="548">
        <v>16</v>
      </c>
      <c r="B88" s="529"/>
      <c r="C88" s="514" t="s">
        <v>2507</v>
      </c>
      <c r="D88" s="514" t="s">
        <v>2508</v>
      </c>
      <c r="E88" s="548">
        <v>0.1</v>
      </c>
      <c r="F88" s="548">
        <v>15</v>
      </c>
    </row>
    <row r="89" ht="24" spans="1:6">
      <c r="A89" s="548">
        <v>17</v>
      </c>
      <c r="B89" s="547"/>
      <c r="C89" s="514" t="s">
        <v>2509</v>
      </c>
      <c r="D89" s="514" t="s">
        <v>2510</v>
      </c>
      <c r="E89" s="548">
        <v>0.1</v>
      </c>
      <c r="F89" s="548">
        <v>15</v>
      </c>
    </row>
    <row r="90" ht="13.5" spans="1:6">
      <c r="A90" s="548">
        <v>18</v>
      </c>
      <c r="B90" s="545" t="s">
        <v>2511</v>
      </c>
      <c r="C90" s="514" t="s">
        <v>2512</v>
      </c>
      <c r="D90" s="514" t="s">
        <v>2513</v>
      </c>
      <c r="E90" s="548">
        <v>0.2</v>
      </c>
      <c r="F90" s="548">
        <v>25</v>
      </c>
    </row>
    <row r="91" ht="24" spans="1:6">
      <c r="A91" s="548">
        <v>19</v>
      </c>
      <c r="B91" s="529"/>
      <c r="C91" s="514" t="s">
        <v>2514</v>
      </c>
      <c r="D91" s="514" t="s">
        <v>2515</v>
      </c>
      <c r="E91" s="548">
        <v>0.2</v>
      </c>
      <c r="F91" s="548">
        <v>25</v>
      </c>
    </row>
    <row r="92" ht="13.5" spans="1:6">
      <c r="A92" s="548">
        <v>20</v>
      </c>
      <c r="B92" s="529"/>
      <c r="C92" s="514" t="s">
        <v>2516</v>
      </c>
      <c r="D92" s="514" t="s">
        <v>2517</v>
      </c>
      <c r="E92" s="548">
        <v>0.15</v>
      </c>
      <c r="F92" s="548">
        <v>20</v>
      </c>
    </row>
    <row r="93" ht="13.5" spans="1:6">
      <c r="A93" s="548">
        <v>21</v>
      </c>
      <c r="B93" s="529"/>
      <c r="C93" s="514" t="s">
        <v>2518</v>
      </c>
      <c r="D93" s="514" t="s">
        <v>2519</v>
      </c>
      <c r="E93" s="548">
        <v>0.15</v>
      </c>
      <c r="F93" s="548">
        <v>20</v>
      </c>
    </row>
    <row r="94" ht="13.5" spans="1:6">
      <c r="A94" s="548">
        <v>22</v>
      </c>
      <c r="B94" s="529"/>
      <c r="C94" s="514" t="s">
        <v>2520</v>
      </c>
      <c r="D94" s="514" t="s">
        <v>2521</v>
      </c>
      <c r="E94" s="548">
        <v>0.15</v>
      </c>
      <c r="F94" s="548">
        <v>20</v>
      </c>
    </row>
    <row r="95" ht="36" spans="1:6">
      <c r="A95" s="548">
        <v>23</v>
      </c>
      <c r="B95" s="529"/>
      <c r="C95" s="514" t="s">
        <v>2522</v>
      </c>
      <c r="D95" s="514" t="s">
        <v>2523</v>
      </c>
      <c r="E95" s="548">
        <v>0.15</v>
      </c>
      <c r="F95" s="548">
        <v>20</v>
      </c>
    </row>
    <row r="96" ht="13.5" spans="1:6">
      <c r="A96" s="548">
        <v>24</v>
      </c>
      <c r="B96" s="529"/>
      <c r="C96" s="514" t="s">
        <v>2524</v>
      </c>
      <c r="D96" s="514" t="s">
        <v>2525</v>
      </c>
      <c r="E96" s="548">
        <v>0.1</v>
      </c>
      <c r="F96" s="548">
        <v>15</v>
      </c>
    </row>
    <row r="97" ht="13.5" spans="1:6">
      <c r="A97" s="548">
        <v>25</v>
      </c>
      <c r="B97" s="529"/>
      <c r="C97" s="514" t="s">
        <v>2526</v>
      </c>
      <c r="D97" s="514" t="s">
        <v>2527</v>
      </c>
      <c r="E97" s="548">
        <v>0.1</v>
      </c>
      <c r="F97" s="548">
        <v>15</v>
      </c>
    </row>
    <row r="98" ht="24" spans="1:6">
      <c r="A98" s="548">
        <v>26</v>
      </c>
      <c r="B98" s="529"/>
      <c r="C98" s="514" t="s">
        <v>2528</v>
      </c>
      <c r="D98" s="514" t="s">
        <v>2529</v>
      </c>
      <c r="E98" s="548">
        <v>0.1</v>
      </c>
      <c r="F98" s="548">
        <v>15</v>
      </c>
    </row>
    <row r="99" ht="24" spans="1:6">
      <c r="A99" s="548">
        <v>27</v>
      </c>
      <c r="B99" s="529"/>
      <c r="C99" s="514" t="s">
        <v>2530</v>
      </c>
      <c r="D99" s="514" t="s">
        <v>2531</v>
      </c>
      <c r="E99" s="548">
        <v>0.1</v>
      </c>
      <c r="F99" s="548">
        <v>15</v>
      </c>
    </row>
    <row r="100" ht="13.5" spans="1:6">
      <c r="A100" s="548">
        <v>28</v>
      </c>
      <c r="B100" s="529"/>
      <c r="C100" s="514" t="s">
        <v>2532</v>
      </c>
      <c r="D100" s="514" t="s">
        <v>2533</v>
      </c>
      <c r="E100" s="548">
        <v>0.1</v>
      </c>
      <c r="F100" s="548">
        <v>15</v>
      </c>
    </row>
    <row r="101" ht="13.5" spans="1:6">
      <c r="A101" s="548">
        <v>29</v>
      </c>
      <c r="B101" s="529"/>
      <c r="C101" s="514" t="s">
        <v>2534</v>
      </c>
      <c r="D101" s="514" t="s">
        <v>2535</v>
      </c>
      <c r="E101" s="548">
        <v>0.1</v>
      </c>
      <c r="F101" s="548">
        <v>15</v>
      </c>
    </row>
    <row r="102" ht="13.5" spans="1:6">
      <c r="A102" s="548">
        <v>30</v>
      </c>
      <c r="B102" s="529"/>
      <c r="C102" s="514" t="s">
        <v>2536</v>
      </c>
      <c r="D102" s="514" t="s">
        <v>2537</v>
      </c>
      <c r="E102" s="548">
        <v>0.1</v>
      </c>
      <c r="F102" s="548">
        <v>15</v>
      </c>
    </row>
    <row r="103" ht="24" spans="1:6">
      <c r="A103" s="548">
        <v>31</v>
      </c>
      <c r="B103" s="529"/>
      <c r="C103" s="514" t="s">
        <v>2538</v>
      </c>
      <c r="D103" s="514" t="s">
        <v>2539</v>
      </c>
      <c r="E103" s="548">
        <v>0.1</v>
      </c>
      <c r="F103" s="548">
        <v>15</v>
      </c>
    </row>
    <row r="104" ht="24" spans="1:6">
      <c r="A104" s="548">
        <v>32</v>
      </c>
      <c r="B104" s="529"/>
      <c r="C104" s="514" t="s">
        <v>2540</v>
      </c>
      <c r="D104" s="514" t="s">
        <v>2541</v>
      </c>
      <c r="E104" s="548">
        <v>0.1</v>
      </c>
      <c r="F104" s="548">
        <v>15</v>
      </c>
    </row>
    <row r="105" ht="24" spans="1:6">
      <c r="A105" s="548">
        <v>33</v>
      </c>
      <c r="B105" s="529"/>
      <c r="C105" s="514" t="s">
        <v>2542</v>
      </c>
      <c r="D105" s="514" t="s">
        <v>2543</v>
      </c>
      <c r="E105" s="548">
        <v>0.1</v>
      </c>
      <c r="F105" s="548">
        <v>15</v>
      </c>
    </row>
    <row r="106" ht="24" spans="1:6">
      <c r="A106" s="548">
        <v>34</v>
      </c>
      <c r="B106" s="547"/>
      <c r="C106" s="514" t="s">
        <v>2544</v>
      </c>
      <c r="D106" s="514" t="s">
        <v>2545</v>
      </c>
      <c r="E106" s="548">
        <v>0.1</v>
      </c>
      <c r="F106" s="548">
        <v>15</v>
      </c>
    </row>
    <row r="107" ht="24" spans="1:6">
      <c r="A107" s="548">
        <v>35</v>
      </c>
      <c r="B107" s="545" t="s">
        <v>2546</v>
      </c>
      <c r="C107" s="548" t="s">
        <v>2547</v>
      </c>
      <c r="D107" s="514" t="s">
        <v>2548</v>
      </c>
      <c r="E107" s="548">
        <v>0.15</v>
      </c>
      <c r="F107" s="548">
        <v>20</v>
      </c>
    </row>
    <row r="108" ht="13.5" spans="1:6">
      <c r="A108" s="548">
        <v>36</v>
      </c>
      <c r="B108" s="529"/>
      <c r="C108" s="548" t="s">
        <v>2549</v>
      </c>
      <c r="D108" s="514" t="s">
        <v>2550</v>
      </c>
      <c r="E108" s="548">
        <v>0.15</v>
      </c>
      <c r="F108" s="548">
        <v>20</v>
      </c>
    </row>
    <row r="109" ht="13.5" spans="1:6">
      <c r="A109" s="548">
        <v>37</v>
      </c>
      <c r="B109" s="529"/>
      <c r="C109" s="548" t="s">
        <v>2551</v>
      </c>
      <c r="D109" s="514" t="s">
        <v>2552</v>
      </c>
      <c r="E109" s="548">
        <v>0.15</v>
      </c>
      <c r="F109" s="548">
        <v>20</v>
      </c>
    </row>
    <row r="110" ht="13.5" spans="1:6">
      <c r="A110" s="548">
        <v>38</v>
      </c>
      <c r="B110" s="529"/>
      <c r="C110" s="548" t="s">
        <v>2553</v>
      </c>
      <c r="D110" s="514" t="s">
        <v>2554</v>
      </c>
      <c r="E110" s="548">
        <v>0.1</v>
      </c>
      <c r="F110" s="548">
        <v>15</v>
      </c>
    </row>
    <row r="111" ht="24" spans="1:6">
      <c r="A111" s="548">
        <v>39</v>
      </c>
      <c r="B111" s="529"/>
      <c r="C111" s="548" t="s">
        <v>2555</v>
      </c>
      <c r="D111" s="514" t="s">
        <v>2556</v>
      </c>
      <c r="E111" s="548">
        <v>0.1</v>
      </c>
      <c r="F111" s="548">
        <v>15</v>
      </c>
    </row>
    <row r="112" ht="24" spans="1:6">
      <c r="A112" s="548">
        <v>40</v>
      </c>
      <c r="B112" s="547"/>
      <c r="C112" s="548" t="s">
        <v>2557</v>
      </c>
      <c r="D112" s="514" t="s">
        <v>2558</v>
      </c>
      <c r="E112" s="548">
        <v>0.1</v>
      </c>
      <c r="F112" s="548">
        <v>15</v>
      </c>
    </row>
    <row r="113" ht="13.5" spans="1:6">
      <c r="A113" s="548">
        <v>41</v>
      </c>
      <c r="B113" s="548" t="s">
        <v>2559</v>
      </c>
      <c r="C113" s="548" t="s">
        <v>2560</v>
      </c>
      <c r="D113" s="514" t="s">
        <v>2561</v>
      </c>
      <c r="E113" s="548">
        <v>0.1</v>
      </c>
      <c r="F113" s="548">
        <v>15</v>
      </c>
    </row>
    <row r="114" ht="13.5" spans="1:6">
      <c r="A114" s="548">
        <v>42</v>
      </c>
      <c r="B114" s="548"/>
      <c r="C114" s="548" t="s">
        <v>2562</v>
      </c>
      <c r="D114" s="514" t="s">
        <v>2563</v>
      </c>
      <c r="E114" s="548">
        <v>0.1</v>
      </c>
      <c r="F114" s="548">
        <v>15</v>
      </c>
    </row>
    <row r="115" ht="24" spans="1:6">
      <c r="A115" s="548">
        <v>43</v>
      </c>
      <c r="B115" s="548"/>
      <c r="C115" s="548" t="s">
        <v>2564</v>
      </c>
      <c r="D115" s="514" t="s">
        <v>2565</v>
      </c>
      <c r="E115" s="548">
        <v>0.1</v>
      </c>
      <c r="F115" s="548">
        <v>15</v>
      </c>
    </row>
    <row r="116" ht="13.5" spans="1:6">
      <c r="A116" s="548">
        <v>44</v>
      </c>
      <c r="B116" s="545" t="s">
        <v>2566</v>
      </c>
      <c r="C116" s="548" t="s">
        <v>2567</v>
      </c>
      <c r="D116" s="514" t="s">
        <v>2568</v>
      </c>
      <c r="E116" s="548">
        <v>0.1</v>
      </c>
      <c r="F116" s="548">
        <v>15</v>
      </c>
    </row>
    <row r="117" ht="24" spans="1:6">
      <c r="A117" s="548">
        <v>45</v>
      </c>
      <c r="B117" s="547"/>
      <c r="C117" s="514" t="s">
        <v>2569</v>
      </c>
      <c r="D117" s="514" t="s">
        <v>2570</v>
      </c>
      <c r="E117" s="548">
        <v>0.1</v>
      </c>
      <c r="F117" s="548">
        <v>15</v>
      </c>
    </row>
    <row r="118" ht="24" spans="1:6">
      <c r="A118" s="548">
        <v>46</v>
      </c>
      <c r="B118" s="545" t="s">
        <v>2571</v>
      </c>
      <c r="C118" s="548" t="s">
        <v>2572</v>
      </c>
      <c r="D118" s="514" t="s">
        <v>2573</v>
      </c>
      <c r="E118" s="548">
        <v>0.1</v>
      </c>
      <c r="F118" s="548">
        <v>15</v>
      </c>
    </row>
    <row r="119" ht="24" spans="1:6">
      <c r="A119" s="548">
        <v>47</v>
      </c>
      <c r="B119" s="547"/>
      <c r="C119" s="548" t="s">
        <v>2574</v>
      </c>
      <c r="D119" s="514" t="s">
        <v>2575</v>
      </c>
      <c r="E119" s="548">
        <v>0.1</v>
      </c>
      <c r="F119" s="548">
        <v>15</v>
      </c>
    </row>
    <row r="120" ht="13.5" spans="1:6">
      <c r="A120" s="548">
        <v>48</v>
      </c>
      <c r="B120" s="545" t="s">
        <v>2576</v>
      </c>
      <c r="C120" s="548" t="s">
        <v>2577</v>
      </c>
      <c r="D120" s="514" t="s">
        <v>2578</v>
      </c>
      <c r="E120" s="548">
        <v>0.1</v>
      </c>
      <c r="F120" s="548">
        <v>15</v>
      </c>
    </row>
    <row r="121" ht="13.5" spans="1:6">
      <c r="A121" s="548">
        <v>49</v>
      </c>
      <c r="B121" s="547"/>
      <c r="C121" s="548" t="s">
        <v>2579</v>
      </c>
      <c r="D121" s="514" t="s">
        <v>2580</v>
      </c>
      <c r="E121" s="548">
        <v>0.1</v>
      </c>
      <c r="F121" s="548">
        <v>15</v>
      </c>
    </row>
    <row r="122" ht="24" spans="1:6">
      <c r="A122" s="548">
        <v>50</v>
      </c>
      <c r="B122" s="548" t="s">
        <v>2581</v>
      </c>
      <c r="C122" s="548" t="s">
        <v>2582</v>
      </c>
      <c r="D122" s="514" t="s">
        <v>2583</v>
      </c>
      <c r="E122" s="548">
        <v>0.1</v>
      </c>
      <c r="F122" s="548">
        <v>15</v>
      </c>
    </row>
    <row r="123" ht="24" spans="1:6">
      <c r="A123" s="548">
        <v>51</v>
      </c>
      <c r="B123" s="548"/>
      <c r="C123" s="548" t="s">
        <v>2584</v>
      </c>
      <c r="D123" s="514" t="s">
        <v>2585</v>
      </c>
      <c r="E123" s="548">
        <v>0.1</v>
      </c>
      <c r="F123" s="548">
        <v>15</v>
      </c>
    </row>
    <row r="124" ht="24" spans="1:6">
      <c r="A124" s="548">
        <v>52</v>
      </c>
      <c r="B124" s="548" t="s">
        <v>2586</v>
      </c>
      <c r="C124" s="548" t="s">
        <v>2587</v>
      </c>
      <c r="D124" s="514" t="s">
        <v>2588</v>
      </c>
      <c r="E124" s="548">
        <v>0.1</v>
      </c>
      <c r="F124" s="548">
        <v>15</v>
      </c>
    </row>
    <row r="125" ht="24" spans="1:6">
      <c r="A125" s="548">
        <v>53</v>
      </c>
      <c r="B125" s="548"/>
      <c r="C125" s="548" t="s">
        <v>2589</v>
      </c>
      <c r="D125" s="514" t="s">
        <v>2590</v>
      </c>
      <c r="E125" s="548">
        <v>0.1</v>
      </c>
      <c r="F125" s="548">
        <v>15</v>
      </c>
    </row>
    <row r="126" ht="13.5" spans="1:6">
      <c r="A126" s="548">
        <v>54</v>
      </c>
      <c r="B126" s="548" t="s">
        <v>2591</v>
      </c>
      <c r="C126" s="548" t="s">
        <v>2592</v>
      </c>
      <c r="D126" s="514" t="s">
        <v>2593</v>
      </c>
      <c r="E126" s="548">
        <v>0.1</v>
      </c>
      <c r="F126" s="548">
        <v>15</v>
      </c>
    </row>
    <row r="127" ht="13.5" spans="1:6">
      <c r="A127" s="548">
        <v>55</v>
      </c>
      <c r="B127" s="548" t="s">
        <v>2594</v>
      </c>
      <c r="C127" s="548" t="s">
        <v>2595</v>
      </c>
      <c r="D127" s="514" t="s">
        <v>2596</v>
      </c>
      <c r="E127" s="548">
        <v>0.1</v>
      </c>
      <c r="F127" s="548">
        <v>15</v>
      </c>
    </row>
    <row r="128" ht="13.5" spans="1:6">
      <c r="A128" s="548">
        <v>56</v>
      </c>
      <c r="B128" s="548"/>
      <c r="C128" s="548" t="s">
        <v>2597</v>
      </c>
      <c r="D128" s="514" t="s">
        <v>2598</v>
      </c>
      <c r="E128" s="548">
        <v>0.1</v>
      </c>
      <c r="F128" s="548">
        <v>15</v>
      </c>
    </row>
    <row r="129" ht="24" spans="1:6">
      <c r="A129" s="548">
        <v>57</v>
      </c>
      <c r="B129" s="548"/>
      <c r="C129" s="548" t="s">
        <v>2599</v>
      </c>
      <c r="D129" s="514" t="s">
        <v>2600</v>
      </c>
      <c r="E129" s="548">
        <v>0.1</v>
      </c>
      <c r="F129" s="548">
        <v>15</v>
      </c>
    </row>
    <row r="130" ht="24" spans="1:6">
      <c r="A130" s="548">
        <v>58</v>
      </c>
      <c r="B130" s="548" t="s">
        <v>2601</v>
      </c>
      <c r="C130" s="548" t="s">
        <v>2602</v>
      </c>
      <c r="D130" s="514" t="s">
        <v>2603</v>
      </c>
      <c r="E130" s="548">
        <v>0.1</v>
      </c>
      <c r="F130" s="548">
        <v>15</v>
      </c>
    </row>
    <row r="131" ht="13.5" spans="1:6">
      <c r="A131" s="548">
        <v>59</v>
      </c>
      <c r="B131" s="548"/>
      <c r="C131" s="548" t="s">
        <v>2604</v>
      </c>
      <c r="D131" s="514" t="s">
        <v>2605</v>
      </c>
      <c r="E131" s="548">
        <v>0.1</v>
      </c>
      <c r="F131" s="548">
        <v>15</v>
      </c>
    </row>
    <row r="132" ht="13.5" spans="1:6">
      <c r="A132" s="548">
        <v>60</v>
      </c>
      <c r="B132" s="545" t="s">
        <v>2606</v>
      </c>
      <c r="C132" s="548" t="s">
        <v>2607</v>
      </c>
      <c r="D132" s="514" t="s">
        <v>2608</v>
      </c>
      <c r="E132" s="548">
        <v>0.1</v>
      </c>
      <c r="F132" s="548">
        <v>15</v>
      </c>
    </row>
    <row r="133" ht="13.5" spans="1:6">
      <c r="A133" s="548">
        <v>61</v>
      </c>
      <c r="B133" s="547"/>
      <c r="C133" s="548" t="s">
        <v>2609</v>
      </c>
      <c r="D133" s="514" t="s">
        <v>2610</v>
      </c>
      <c r="E133" s="548">
        <v>0.1</v>
      </c>
      <c r="F133" s="548">
        <v>15</v>
      </c>
    </row>
    <row r="134" ht="24" spans="1:6">
      <c r="A134" s="548">
        <v>62</v>
      </c>
      <c r="B134" s="548" t="s">
        <v>2611</v>
      </c>
      <c r="C134" s="548" t="s">
        <v>2612</v>
      </c>
      <c r="D134" s="514" t="s">
        <v>2613</v>
      </c>
      <c r="E134" s="548">
        <v>0.1</v>
      </c>
      <c r="F134" s="548">
        <v>15</v>
      </c>
    </row>
    <row r="135" ht="13.5" spans="1:6">
      <c r="A135" s="548">
        <v>63</v>
      </c>
      <c r="B135" s="548" t="s">
        <v>2614</v>
      </c>
      <c r="C135" s="548" t="s">
        <v>2615</v>
      </c>
      <c r="D135" s="514" t="s">
        <v>2616</v>
      </c>
      <c r="E135" s="548">
        <v>0.1</v>
      </c>
      <c r="F135" s="548">
        <v>15</v>
      </c>
    </row>
    <row r="136" ht="13.5" spans="1:6">
      <c r="A136" s="548">
        <v>64</v>
      </c>
      <c r="B136" s="548"/>
      <c r="C136" s="548" t="s">
        <v>2617</v>
      </c>
      <c r="D136" s="514" t="s">
        <v>2618</v>
      </c>
      <c r="E136" s="548">
        <v>0.1</v>
      </c>
      <c r="F136" s="548">
        <v>15</v>
      </c>
    </row>
    <row r="137" ht="13.5" spans="1:6">
      <c r="A137" s="548">
        <v>65</v>
      </c>
      <c r="B137" s="548" t="s">
        <v>2619</v>
      </c>
      <c r="C137" s="548" t="s">
        <v>2620</v>
      </c>
      <c r="D137" s="514" t="s">
        <v>2621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9" customWidth="1"/>
    <col min="2" max="2" width="37.25" style="3639" customWidth="1"/>
    <col min="3" max="3" width="11.375" style="3639" customWidth="1"/>
    <col min="4" max="4" width="31.75" style="3639" customWidth="1"/>
    <col min="5" max="5" width="0.5"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11321</v>
      </c>
      <c r="E5" s="3641"/>
    </row>
    <row r="6" spans="1:5">
      <c r="A6" s="3641"/>
      <c r="B6" s="3645"/>
      <c r="C6" s="3646" t="s">
        <v>98</v>
      </c>
      <c r="D6" s="3647" t="str">
        <f ca="1">NUMBERSTRING(INT(D5*10000),2)&amp;"元整"</f>
        <v>壹亿壹仟叁佰贰拾壹万元整</v>
      </c>
      <c r="E6" s="3641"/>
    </row>
    <row r="7" ht="15.75" spans="1:5">
      <c r="A7" s="3641"/>
      <c r="B7" s="3648"/>
      <c r="C7" s="3649" t="s">
        <v>99</v>
      </c>
      <c r="D7" s="3650">
        <f ca="1">结果表!H102</f>
        <v>4870</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11321</v>
      </c>
      <c r="E13" s="3641"/>
    </row>
    <row r="14" spans="1:5">
      <c r="A14" s="3641"/>
      <c r="B14" s="3645"/>
      <c r="C14" s="3646" t="s">
        <v>98</v>
      </c>
      <c r="D14" s="3647" t="str">
        <f ca="1">NUMBERSTRING(INT(D13*10000),2)&amp;"元整"</f>
        <v>壹亿壹仟叁佰贰拾壹万元整</v>
      </c>
      <c r="E14" s="3641"/>
    </row>
    <row r="15" ht="15" spans="1:5">
      <c r="A15" s="3641"/>
      <c r="B15" s="3648"/>
      <c r="C15" s="3649" t="s">
        <v>99</v>
      </c>
      <c r="D15" s="3660">
        <f ca="1">结果表!H108</f>
        <v>4870</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2622</v>
      </c>
      <c r="B1" s="479"/>
      <c r="C1" s="479"/>
      <c r="D1" s="479"/>
      <c r="E1" s="479"/>
      <c r="F1" s="479"/>
      <c r="G1" s="479"/>
      <c r="H1" s="479"/>
      <c r="I1" s="479"/>
      <c r="J1" s="479"/>
      <c r="K1" s="479"/>
      <c r="L1" s="479"/>
      <c r="M1" s="479"/>
      <c r="N1" s="486"/>
    </row>
    <row r="2" spans="1:20">
      <c r="A2" s="480" t="s">
        <v>1660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2623</v>
      </c>
      <c r="R2" s="491" t="s">
        <v>2624</v>
      </c>
      <c r="S2" s="491" t="s">
        <v>2625</v>
      </c>
      <c r="T2" s="491" t="s">
        <v>2626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2627</v>
      </c>
      <c r="B93" s="479"/>
      <c r="C93" s="479"/>
      <c r="D93" s="479"/>
      <c r="E93" s="479"/>
      <c r="F93" s="479"/>
      <c r="G93" s="479"/>
      <c r="H93" s="479"/>
      <c r="I93" s="479"/>
      <c r="J93" s="479"/>
      <c r="K93" s="479"/>
      <c r="L93" s="479"/>
      <c r="M93" s="479"/>
    </row>
    <row r="94" spans="1:20">
      <c r="A94" s="480" t="s">
        <v>1660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2623</v>
      </c>
      <c r="R94" s="491" t="s">
        <v>2624</v>
      </c>
      <c r="S94" s="491" t="s">
        <v>2625</v>
      </c>
      <c r="T94" s="491" t="s">
        <v>2626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2628</v>
      </c>
      <c r="B185" s="479"/>
      <c r="C185" s="479"/>
      <c r="D185" s="479"/>
      <c r="E185" s="479"/>
      <c r="F185" s="479"/>
      <c r="G185" s="479"/>
      <c r="H185" s="479"/>
      <c r="I185" s="479"/>
      <c r="J185" s="479"/>
      <c r="K185" s="479"/>
      <c r="L185" s="479"/>
      <c r="M185" s="479"/>
    </row>
    <row r="186" spans="1:20">
      <c r="A186" s="480" t="s">
        <v>1660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2623</v>
      </c>
      <c r="R186" s="491" t="s">
        <v>2624</v>
      </c>
      <c r="S186" s="491" t="s">
        <v>2625</v>
      </c>
      <c r="T186" s="491" t="s">
        <v>2626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2629</v>
      </c>
      <c r="B277" s="479"/>
      <c r="C277" s="479"/>
      <c r="D277" s="479"/>
      <c r="E277" s="479"/>
      <c r="F277" s="479"/>
      <c r="G277" s="479"/>
      <c r="H277" s="479"/>
      <c r="I277" s="479"/>
      <c r="J277" s="479"/>
      <c r="K277" s="479"/>
      <c r="L277" s="479"/>
      <c r="M277" s="479"/>
    </row>
    <row r="278" spans="1:21">
      <c r="A278" s="480" t="s">
        <v>1660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2623</v>
      </c>
      <c r="R278" s="491" t="s">
        <v>2624</v>
      </c>
      <c r="S278" s="491" t="s">
        <v>2630</v>
      </c>
      <c r="T278" s="491" t="s">
        <v>2631</v>
      </c>
      <c r="U278" s="491" t="s">
        <v>2626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2632</v>
      </c>
      <c r="B369" s="495"/>
      <c r="C369" s="495"/>
      <c r="D369" s="495"/>
      <c r="E369" s="495"/>
      <c r="F369" s="495"/>
      <c r="G369" s="495"/>
      <c r="H369" s="495"/>
      <c r="I369" s="495"/>
      <c r="J369" s="495"/>
      <c r="K369" s="495"/>
      <c r="L369" s="495"/>
      <c r="M369" s="495"/>
    </row>
    <row r="370" spans="1:20">
      <c r="A370" s="480" t="s">
        <v>1660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2623</v>
      </c>
      <c r="R370" s="491" t="s">
        <v>2624</v>
      </c>
      <c r="S370" s="491" t="s">
        <v>2625</v>
      </c>
      <c r="T370" s="491" t="s">
        <v>2626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2633</v>
      </c>
      <c r="B1" s="390"/>
      <c r="C1" s="391"/>
      <c r="D1" s="391"/>
      <c r="E1" s="391"/>
      <c r="F1" s="391"/>
      <c r="G1" s="392"/>
    </row>
    <row r="2" s="381" customFormat="1" ht="18" customHeight="1" spans="1:7">
      <c r="A2" s="393" t="s">
        <v>2634</v>
      </c>
      <c r="B2" s="394">
        <f ca="1">C52</f>
        <v>32595</v>
      </c>
      <c r="C2" s="395" t="s">
        <v>1343</v>
      </c>
      <c r="D2" s="392"/>
      <c r="E2" s="392"/>
      <c r="F2" s="392"/>
      <c r="G2" s="392"/>
    </row>
    <row r="3" s="381" customFormat="1" ht="18" customHeight="1" spans="1:7">
      <c r="A3" s="396" t="s">
        <v>2635</v>
      </c>
      <c r="B3" s="397">
        <f ca="1">ROUND(B2*10000/'数据-汇总表'!E3,0)</f>
        <v>14023</v>
      </c>
      <c r="C3" s="395" t="s">
        <v>1596</v>
      </c>
      <c r="D3" s="392"/>
      <c r="E3" s="392"/>
      <c r="F3" s="392"/>
      <c r="G3" s="392"/>
    </row>
    <row r="4" s="382" customFormat="1" ht="15.75" spans="1:7">
      <c r="A4" s="398" t="s">
        <v>2636</v>
      </c>
      <c r="B4" s="399"/>
      <c r="C4" s="399"/>
      <c r="D4" s="399"/>
      <c r="E4" s="399"/>
      <c r="F4" s="399"/>
      <c r="G4" s="400"/>
    </row>
    <row r="5" s="383" customFormat="1" ht="13.5" customHeight="1" spans="1:7">
      <c r="A5" s="401" t="s">
        <v>992</v>
      </c>
      <c r="B5" s="402" t="s">
        <v>2637</v>
      </c>
      <c r="C5" s="403">
        <f>C6+C7+C8</f>
        <v>20610</v>
      </c>
      <c r="D5" s="403" t="s">
        <v>2638</v>
      </c>
      <c r="E5" s="404" t="s">
        <v>2639</v>
      </c>
      <c r="F5" s="404" t="s">
        <v>2640</v>
      </c>
      <c r="G5" s="405"/>
    </row>
    <row r="6" s="383" customFormat="1" ht="13.5" customHeight="1" spans="1:7">
      <c r="A6" s="406" t="s">
        <v>996</v>
      </c>
      <c r="B6" s="407" t="s">
        <v>2641</v>
      </c>
      <c r="C6" s="408">
        <v>20000</v>
      </c>
      <c r="D6" s="409"/>
      <c r="E6" s="410"/>
      <c r="F6" s="410"/>
      <c r="G6" s="411"/>
    </row>
    <row r="7" s="383" customFormat="1" ht="13.5" customHeight="1" spans="1:7">
      <c r="A7" s="406" t="s">
        <v>998</v>
      </c>
      <c r="B7" s="407" t="s">
        <v>2642</v>
      </c>
      <c r="C7" s="412">
        <f>ROUND(C6*F7,0)</f>
        <v>610</v>
      </c>
      <c r="D7" s="412"/>
      <c r="E7" s="410"/>
      <c r="F7" s="413">
        <f>'数据-取费表'!B48+'数据-取费表'!B49</f>
        <v>0.0305</v>
      </c>
      <c r="G7" s="411"/>
    </row>
    <row r="8" s="384" customFormat="1" spans="1:7">
      <c r="A8" s="406" t="s">
        <v>1000</v>
      </c>
      <c r="B8" s="407" t="s">
        <v>2643</v>
      </c>
      <c r="C8" s="412" t="str">
        <f>IF(G8="已包含在土地购买价格中","0",'数据-取费表'!B29)</f>
        <v>0</v>
      </c>
      <c r="D8" s="414"/>
      <c r="E8" s="412"/>
      <c r="F8" s="413"/>
      <c r="G8" s="415" t="s">
        <v>2644</v>
      </c>
    </row>
    <row r="9" s="383" customFormat="1" ht="13.5" customHeight="1" spans="1:7">
      <c r="A9" s="416" t="s">
        <v>1003</v>
      </c>
      <c r="B9" s="417" t="s">
        <v>2645</v>
      </c>
      <c r="C9" s="418">
        <f>ROUND(D9*E9/10000,0)</f>
        <v>0</v>
      </c>
      <c r="D9" s="419">
        <f>'数据-汇总表'!E5</f>
        <v>0</v>
      </c>
      <c r="E9" s="418">
        <f>'数据-取费表'!B27</f>
        <v>0</v>
      </c>
      <c r="F9" s="413"/>
      <c r="G9" s="420"/>
    </row>
    <row r="10" s="383" customFormat="1" ht="13.5" customHeight="1" spans="1:7">
      <c r="A10" s="416" t="s">
        <v>1007</v>
      </c>
      <c r="B10" s="417" t="s">
        <v>2646</v>
      </c>
      <c r="C10" s="418">
        <f>ROUND(D10*E10/10000,0)</f>
        <v>0</v>
      </c>
      <c r="D10" s="419">
        <f>'数据-汇总表'!E6</f>
        <v>23244.54</v>
      </c>
      <c r="E10" s="418">
        <f>'数据-取费表'!B28</f>
        <v>0</v>
      </c>
      <c r="F10" s="413"/>
      <c r="G10" s="420"/>
    </row>
    <row r="11" s="383" customFormat="1" ht="13.5" hidden="1" customHeight="1" spans="1:7">
      <c r="A11" s="421" t="s">
        <v>1009</v>
      </c>
      <c r="B11" s="407" t="s">
        <v>2647</v>
      </c>
      <c r="C11" s="403"/>
      <c r="D11" s="422"/>
      <c r="E11" s="410"/>
      <c r="F11" s="410"/>
      <c r="G11" s="411"/>
    </row>
    <row r="12" s="383" customFormat="1" ht="13.5" hidden="1" customHeight="1" spans="1:7">
      <c r="A12" s="421" t="s">
        <v>1011</v>
      </c>
      <c r="B12" s="407" t="s">
        <v>2648</v>
      </c>
      <c r="C12" s="403">
        <v>0</v>
      </c>
      <c r="D12" s="422"/>
      <c r="E12" s="423"/>
      <c r="F12" s="413">
        <v>0.0305</v>
      </c>
      <c r="G12" s="411"/>
    </row>
    <row r="13" s="383" customFormat="1" ht="13.5" hidden="1" customHeight="1" spans="1:7">
      <c r="A13" s="421" t="s">
        <v>1012</v>
      </c>
      <c r="B13" s="407" t="s">
        <v>2649</v>
      </c>
      <c r="C13" s="403"/>
      <c r="D13" s="422"/>
      <c r="E13" s="410"/>
      <c r="F13" s="410"/>
      <c r="G13" s="411"/>
    </row>
    <row r="14" s="383" customFormat="1" ht="13.5" hidden="1" customHeight="1" spans="1:7">
      <c r="A14" s="421" t="s">
        <v>1014</v>
      </c>
      <c r="B14" s="407" t="s">
        <v>2643</v>
      </c>
      <c r="C14" s="403"/>
      <c r="D14" s="422"/>
      <c r="E14" s="410"/>
      <c r="F14" s="410"/>
      <c r="G14" s="411" t="s">
        <v>2650</v>
      </c>
    </row>
    <row r="15" s="383" customFormat="1" ht="13.5" hidden="1" customHeight="1" spans="1:7">
      <c r="A15" s="421" t="s">
        <v>1016</v>
      </c>
      <c r="B15" s="407" t="s">
        <v>2651</v>
      </c>
      <c r="C15" s="412"/>
      <c r="D15" s="422"/>
      <c r="E15" s="410"/>
      <c r="F15" s="410"/>
      <c r="G15" s="411" t="s">
        <v>2652</v>
      </c>
    </row>
    <row r="16" s="383" customFormat="1" ht="13.5" hidden="1" customHeight="1" spans="1:7">
      <c r="A16" s="421" t="s">
        <v>1019</v>
      </c>
      <c r="B16" s="407" t="s">
        <v>2643</v>
      </c>
      <c r="C16" s="412"/>
      <c r="D16" s="422"/>
      <c r="E16" s="410"/>
      <c r="F16" s="410"/>
      <c r="G16" s="411"/>
    </row>
    <row r="17" s="383" customFormat="1" ht="13.5" hidden="1" customHeight="1" spans="1:7">
      <c r="A17" s="421" t="s">
        <v>1020</v>
      </c>
      <c r="B17" s="407" t="s">
        <v>2653</v>
      </c>
      <c r="C17" s="424"/>
      <c r="D17" s="425"/>
      <c r="E17" s="424"/>
      <c r="F17" s="424"/>
      <c r="G17" s="411" t="s">
        <v>2652</v>
      </c>
    </row>
    <row r="18" s="383" customFormat="1" ht="13.5" hidden="1" customHeight="1" spans="1:7">
      <c r="A18" s="421" t="s">
        <v>1022</v>
      </c>
      <c r="B18" s="407" t="s">
        <v>2654</v>
      </c>
      <c r="C18" s="412">
        <v>0</v>
      </c>
      <c r="D18" s="422"/>
      <c r="E18" s="410"/>
      <c r="F18" s="413">
        <v>0.0305</v>
      </c>
      <c r="G18" s="411" t="s">
        <v>2655</v>
      </c>
    </row>
    <row r="19" s="384" customFormat="1" ht="13.5" customHeight="1" spans="1:7">
      <c r="A19" s="426" t="s">
        <v>2210</v>
      </c>
      <c r="B19" s="402" t="s">
        <v>2656</v>
      </c>
      <c r="C19" s="403">
        <f>IF(G19="已包含在土地取得成本中","0",ROUND(D19*E19/10000,0))</f>
        <v>465</v>
      </c>
      <c r="D19" s="427">
        <f>'数据-汇总表'!E3</f>
        <v>23244.54</v>
      </c>
      <c r="E19" s="403">
        <f>'数据-取费表'!B31</f>
        <v>200</v>
      </c>
      <c r="F19" s="428"/>
      <c r="G19" s="415" t="s">
        <v>2657</v>
      </c>
    </row>
    <row r="20" s="383" customFormat="1" ht="13.5" customHeight="1" spans="1:7">
      <c r="A20" s="426" t="s">
        <v>2246</v>
      </c>
      <c r="B20" s="402" t="s">
        <v>2658</v>
      </c>
      <c r="C20" s="429">
        <f>ROUND((C5+C19)*F20,0)</f>
        <v>422</v>
      </c>
      <c r="D20" s="429"/>
      <c r="E20" s="429"/>
      <c r="F20" s="430">
        <f>'数据-取费表'!B37</f>
        <v>0.02</v>
      </c>
      <c r="G20" s="431" t="s">
        <v>2659</v>
      </c>
    </row>
    <row r="21" s="383" customFormat="1" ht="13.5" customHeight="1" spans="1:7">
      <c r="A21" s="426" t="s">
        <v>2251</v>
      </c>
      <c r="B21" s="402" t="s">
        <v>2660</v>
      </c>
      <c r="C21" s="432">
        <f>F21</f>
        <v>0</v>
      </c>
      <c r="D21" s="433" t="s">
        <v>2661</v>
      </c>
      <c r="E21" s="429"/>
      <c r="F21" s="430">
        <f>'数据-取费表'!B38</f>
        <v>0.02</v>
      </c>
      <c r="G21" s="434" t="s">
        <v>2662</v>
      </c>
    </row>
    <row r="22" s="383" customFormat="1" ht="13.5" customHeight="1" spans="1:7">
      <c r="A22" s="426" t="s">
        <v>2260</v>
      </c>
      <c r="B22" s="402" t="s">
        <v>2663</v>
      </c>
      <c r="C22" s="435">
        <f ca="1">ROUND(SUM(C23:C25),0)</f>
        <v>1450</v>
      </c>
      <c r="D22" s="432">
        <f ca="1">C26</f>
        <v>0.0007</v>
      </c>
      <c r="E22" s="433" t="s">
        <v>2661</v>
      </c>
      <c r="F22" s="436">
        <f ca="1">'数据-取费表'!B40</f>
        <v>0.0335</v>
      </c>
      <c r="G22" s="431" t="str">
        <f>IF('数据-取费表'!B22&lt;=1,"单利计息","复利计息")</f>
        <v>复利计息</v>
      </c>
    </row>
    <row r="23" s="383" customFormat="1" ht="13.5" customHeight="1" spans="1:7">
      <c r="A23" s="437" t="s">
        <v>996</v>
      </c>
      <c r="B23" s="407" t="s">
        <v>2664</v>
      </c>
      <c r="C23" s="438">
        <f ca="1">ROUND(IF('数据-取费表'!B22&lt;=1,C5*F22*'数据-取费表'!B23,C5*(POWER((1+F22),'数据-取费表'!B23)-1)),0)</f>
        <v>1404</v>
      </c>
      <c r="D23" s="439"/>
      <c r="E23" s="439"/>
      <c r="F23" s="440"/>
      <c r="G23" s="441" t="s">
        <v>2665</v>
      </c>
    </row>
    <row r="24" s="383" customFormat="1" ht="13.5" customHeight="1" spans="1:7">
      <c r="A24" s="437" t="s">
        <v>998</v>
      </c>
      <c r="B24" s="407" t="s">
        <v>2666</v>
      </c>
      <c r="C24" s="438">
        <f ca="1">ROUND(IF('数据-取费表'!B22&lt;=1,C19*F22*('数据-取费表'!B19/2+'数据-取费表'!B21),C19*(POWER((1+F22),('数据-取费表'!B19/2+'数据-取费表'!B21))-1)),0)</f>
        <v>32</v>
      </c>
      <c r="D24" s="439"/>
      <c r="E24" s="439"/>
      <c r="F24" s="440"/>
      <c r="G24" s="441" t="s">
        <v>2667</v>
      </c>
    </row>
    <row r="25" s="383" customFormat="1" ht="24" spans="1:7">
      <c r="A25" s="437" t="s">
        <v>1000</v>
      </c>
      <c r="B25" s="407" t="s">
        <v>2668</v>
      </c>
      <c r="C25" s="438">
        <f ca="1">ROUND(IF('数据-取费表'!B22&lt;=1,C20*F22*'数据-取费表'!B23/2,C20*(POWER((1+F22),'数据-取费表'!B23/2)-1)),0)</f>
        <v>14</v>
      </c>
      <c r="D25" s="439"/>
      <c r="E25" s="442"/>
      <c r="F25" s="440"/>
      <c r="G25" s="443" t="s">
        <v>2669</v>
      </c>
    </row>
    <row r="26" s="383" customFormat="1" spans="1:7">
      <c r="A26" s="437" t="s">
        <v>1043</v>
      </c>
      <c r="B26" s="407" t="s">
        <v>2670</v>
      </c>
      <c r="C26" s="439">
        <f ca="1">ROUND(IF('数据-取费表'!B22&lt;=1,F21*F22*'数据-取费表'!B23/2,F21*(POWER((1+F22),'数据-取费表'!B23/2)-1)),4)</f>
        <v>0.0007</v>
      </c>
      <c r="D26" s="439"/>
      <c r="E26" s="442"/>
      <c r="F26" s="440"/>
      <c r="G26" s="444"/>
    </row>
    <row r="27" s="383" customFormat="1" ht="24.75" spans="1:7">
      <c r="A27" s="426" t="s">
        <v>2269</v>
      </c>
      <c r="B27" s="445" t="s">
        <v>2671</v>
      </c>
      <c r="C27" s="446">
        <f>C28</f>
        <v>2150</v>
      </c>
      <c r="D27" s="432">
        <f>C29</f>
        <v>0</v>
      </c>
      <c r="E27" s="433" t="s">
        <v>2661</v>
      </c>
      <c r="F27" s="447">
        <f>'数据-取费表'!Q16</f>
        <v>0.1</v>
      </c>
      <c r="G27" s="448" t="s">
        <v>2672</v>
      </c>
    </row>
    <row r="28" s="383" customFormat="1" ht="13.5" customHeight="1" spans="1:7">
      <c r="A28" s="437" t="s">
        <v>996</v>
      </c>
      <c r="B28" s="449" t="s">
        <v>2673</v>
      </c>
      <c r="C28" s="450">
        <f>ROUND((C5+C19+C20)*F27*'数据-取费表'!B21/'数据-取费表'!B20,0)</f>
        <v>2150</v>
      </c>
      <c r="D28" s="432"/>
      <c r="E28" s="433"/>
      <c r="F28" s="447"/>
      <c r="G28" s="448"/>
    </row>
    <row r="29" s="383" customFormat="1" ht="13.5" customHeight="1" spans="1:7">
      <c r="A29" s="437" t="s">
        <v>998</v>
      </c>
      <c r="B29" s="449" t="s">
        <v>2674</v>
      </c>
      <c r="C29" s="439">
        <f>ROUND(C21*F27*'数据-取费表'!B21/'数据-取费表'!B20,4)</f>
        <v>0</v>
      </c>
      <c r="D29" s="432"/>
      <c r="E29" s="433"/>
      <c r="F29" s="447"/>
      <c r="G29" s="448"/>
    </row>
    <row r="30" s="383" customFormat="1" ht="13.5" customHeight="1" spans="1:7">
      <c r="A30" s="426" t="s">
        <v>2675</v>
      </c>
      <c r="B30" s="402" t="s">
        <v>2676</v>
      </c>
      <c r="C30" s="432">
        <f>F30</f>
        <v>0.056</v>
      </c>
      <c r="D30" s="433" t="s">
        <v>2677</v>
      </c>
      <c r="E30" s="442"/>
      <c r="F30" s="436">
        <f>'数据-取费表'!B41</f>
        <v>0.056</v>
      </c>
      <c r="G30" s="434" t="s">
        <v>2678</v>
      </c>
    </row>
    <row r="31" ht="16.5" customHeight="1" spans="1:7">
      <c r="A31" s="451">
        <v>1</v>
      </c>
      <c r="B31" s="402" t="s">
        <v>2679</v>
      </c>
      <c r="C31" s="403">
        <f ca="1">ROUND((C5+C19+C20+C22+C27)/(1-C21-D22-D27-C30/(1+'数据-取费表'!B42)),0)</f>
        <v>26531</v>
      </c>
      <c r="D31" s="452"/>
      <c r="E31" s="403"/>
      <c r="F31" s="453"/>
      <c r="G31" s="434" t="s">
        <v>2680</v>
      </c>
    </row>
    <row r="32" s="382" customFormat="1" ht="15.75" spans="1:7">
      <c r="A32" s="454" t="s">
        <v>2681</v>
      </c>
      <c r="B32" s="455"/>
      <c r="C32" s="455"/>
      <c r="D32" s="455"/>
      <c r="E32" s="455"/>
      <c r="F32" s="455"/>
      <c r="G32" s="456"/>
    </row>
    <row r="33" s="383" customFormat="1" ht="13.5" customHeight="1" spans="1:7">
      <c r="A33" s="401" t="s">
        <v>992</v>
      </c>
      <c r="B33" s="402" t="s">
        <v>2682</v>
      </c>
      <c r="C33" s="457">
        <f>SUM(C34:C38)</f>
        <v>8275</v>
      </c>
      <c r="D33" s="429"/>
      <c r="E33" s="404"/>
      <c r="F33" s="442"/>
      <c r="G33" s="434"/>
    </row>
    <row r="34" s="385" customFormat="1" ht="13.5" customHeight="1" spans="1:7">
      <c r="A34" s="437" t="s">
        <v>996</v>
      </c>
      <c r="B34" s="407" t="s">
        <v>2683</v>
      </c>
      <c r="C34" s="412">
        <f>IF(F34=100%,'数据-取费表'!M16-SUMIF('数据-取费表'!C:C,"公共配套",'数据-取费表'!M:M),'数据-取费表'!O16-SUMIF('数据-取费表'!C:C,"公共配套",'数据-取费表'!O:O))</f>
        <v>7438</v>
      </c>
      <c r="D34" s="409"/>
      <c r="E34" s="412"/>
      <c r="F34" s="458">
        <f>IF('数据-取费表'!B24=0,1,'数据-取费表'!N16)</f>
        <v>1</v>
      </c>
      <c r="G34" s="411" t="s">
        <v>2684</v>
      </c>
    </row>
    <row r="35" ht="13.5" customHeight="1" spans="1:7">
      <c r="A35" s="437" t="s">
        <v>998</v>
      </c>
      <c r="B35" s="407" t="s">
        <v>2685</v>
      </c>
      <c r="C35" s="412">
        <f>ROUND(C34*F35,0)</f>
        <v>223</v>
      </c>
      <c r="D35" s="412"/>
      <c r="E35" s="412"/>
      <c r="F35" s="459">
        <f>'数据-取费表'!B33</f>
        <v>0.03</v>
      </c>
      <c r="G35" s="411" t="s">
        <v>2686</v>
      </c>
    </row>
    <row r="36" ht="24" spans="1:7">
      <c r="A36" s="437" t="s">
        <v>1000</v>
      </c>
      <c r="B36" s="407" t="s">
        <v>2687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2688</v>
      </c>
    </row>
    <row r="37" s="385" customFormat="1" ht="13.5" customHeight="1" spans="1:7">
      <c r="A37" s="437" t="s">
        <v>1043</v>
      </c>
      <c r="B37" s="407" t="s">
        <v>2689</v>
      </c>
      <c r="C37" s="450">
        <f>ROUND(E37*D37*F34/10000,0)</f>
        <v>465</v>
      </c>
      <c r="D37" s="409">
        <f>'数据-汇总表'!E3</f>
        <v>23244.54</v>
      </c>
      <c r="E37" s="450">
        <f>'数据-取费表'!B35</f>
        <v>200</v>
      </c>
      <c r="F37" s="459"/>
      <c r="G37" s="461" t="s">
        <v>2690</v>
      </c>
    </row>
    <row r="38" ht="13.5" customHeight="1" spans="1:7">
      <c r="A38" s="437" t="s">
        <v>1065</v>
      </c>
      <c r="B38" s="407" t="s">
        <v>2648</v>
      </c>
      <c r="C38" s="412">
        <f>ROUND(C34*F38,0)</f>
        <v>149</v>
      </c>
      <c r="D38" s="412"/>
      <c r="E38" s="412"/>
      <c r="F38" s="459">
        <f>'数据-取费表'!B36</f>
        <v>0.02</v>
      </c>
      <c r="G38" s="411" t="s">
        <v>2686</v>
      </c>
    </row>
    <row r="39" s="383" customFormat="1" ht="13.5" customHeight="1" spans="1:7">
      <c r="A39" s="426" t="s">
        <v>2210</v>
      </c>
      <c r="B39" s="402" t="s">
        <v>2658</v>
      </c>
      <c r="C39" s="429">
        <f>ROUND(C33*F20,0)</f>
        <v>166</v>
      </c>
      <c r="D39" s="429"/>
      <c r="E39" s="429"/>
      <c r="F39" s="430"/>
      <c r="G39" s="431" t="s">
        <v>2691</v>
      </c>
    </row>
    <row r="40" s="383" customFormat="1" ht="13.5" customHeight="1" spans="1:7">
      <c r="A40" s="426" t="s">
        <v>2246</v>
      </c>
      <c r="B40" s="402" t="s">
        <v>2660</v>
      </c>
      <c r="C40" s="462">
        <f>F21</f>
        <v>0</v>
      </c>
      <c r="D40" s="433" t="s">
        <v>2692</v>
      </c>
      <c r="E40" s="429"/>
      <c r="F40" s="430"/>
      <c r="G40" s="434" t="s">
        <v>2693</v>
      </c>
    </row>
    <row r="41" s="383" customFormat="1" ht="13.5" customHeight="1" spans="1:7">
      <c r="A41" s="426" t="s">
        <v>2251</v>
      </c>
      <c r="B41" s="402" t="s">
        <v>2663</v>
      </c>
      <c r="C41" s="429">
        <f ca="1">ROUND(SUM(C42:C43),0)</f>
        <v>283</v>
      </c>
      <c r="D41" s="432">
        <f ca="1">C44</f>
        <v>0</v>
      </c>
      <c r="E41" s="433" t="s">
        <v>2692</v>
      </c>
      <c r="F41" s="436"/>
      <c r="G41" s="431" t="str">
        <f>IF('数据-取费表'!B22&lt;=1,"单利计息","复利计息")</f>
        <v>复利计息</v>
      </c>
    </row>
    <row r="42" ht="13.5" customHeight="1" spans="1:7">
      <c r="A42" s="437" t="s">
        <v>996</v>
      </c>
      <c r="B42" s="407" t="s">
        <v>2664</v>
      </c>
      <c r="C42" s="439">
        <f ca="1">ROUND(IF('数据-取费表'!B22&lt;=1,C33*F22*'数据-取费表'!B21/2,C33*(POWER((1+F22),'数据-取费表'!B21/2)-1)),0)</f>
        <v>277</v>
      </c>
      <c r="D42" s="439"/>
      <c r="E42" s="439"/>
      <c r="F42" s="440"/>
      <c r="G42" s="463" t="s">
        <v>2694</v>
      </c>
    </row>
    <row r="43" ht="13.5" customHeight="1" spans="1:7">
      <c r="A43" s="437" t="s">
        <v>998</v>
      </c>
      <c r="B43" s="407" t="s">
        <v>2666</v>
      </c>
      <c r="C43" s="439">
        <f ca="1">ROUND(IF('数据-取费表'!B22&lt;=1,C39*F22*'数据-取费表'!B21/2,C39*(POWER((1+F22),'数据-取费表'!B21/2)-1)),0)</f>
        <v>6</v>
      </c>
      <c r="D43" s="439"/>
      <c r="E43" s="439"/>
      <c r="F43" s="440"/>
      <c r="G43" s="464"/>
    </row>
    <row r="44" ht="13.5" customHeight="1" spans="1:7">
      <c r="A44" s="437" t="s">
        <v>1000</v>
      </c>
      <c r="B44" s="407" t="s">
        <v>2668</v>
      </c>
      <c r="C44" s="439">
        <f ca="1">ROUND(IF('数据-取费表'!B22&lt;=1,C40*F22*'数据-取费表'!B21/2,C40*(POWER((1+F22),'数据-取费表'!B21/2)-1)),4)</f>
        <v>0</v>
      </c>
      <c r="D44" s="439"/>
      <c r="E44" s="439"/>
      <c r="F44" s="440"/>
      <c r="G44" s="465"/>
    </row>
    <row r="45" s="383" customFormat="1" ht="13.5" customHeight="1" spans="1:7">
      <c r="A45" s="426" t="s">
        <v>2260</v>
      </c>
      <c r="B45" s="445" t="s">
        <v>2671</v>
      </c>
      <c r="C45" s="446">
        <f>C46</f>
        <v>844</v>
      </c>
      <c r="D45" s="432">
        <f>C47</f>
        <v>0</v>
      </c>
      <c r="E45" s="433" t="s">
        <v>2692</v>
      </c>
      <c r="F45" s="447"/>
      <c r="G45" s="448" t="s">
        <v>2695</v>
      </c>
    </row>
    <row r="46" s="383" customFormat="1" ht="13.5" customHeight="1" spans="1:7">
      <c r="A46" s="437" t="s">
        <v>996</v>
      </c>
      <c r="B46" s="449" t="s">
        <v>2696</v>
      </c>
      <c r="C46" s="450">
        <f>ROUND((C33+C39)*F27,0)</f>
        <v>844</v>
      </c>
      <c r="D46" s="466"/>
      <c r="E46" s="433"/>
      <c r="F46" s="447"/>
      <c r="G46" s="448"/>
    </row>
    <row r="47" s="383" customFormat="1" ht="13.5" customHeight="1" spans="1:7">
      <c r="A47" s="437" t="s">
        <v>998</v>
      </c>
      <c r="B47" s="449" t="s">
        <v>2697</v>
      </c>
      <c r="C47" s="439">
        <f>ROUND(C40*F27,4)</f>
        <v>0</v>
      </c>
      <c r="D47" s="466"/>
      <c r="E47" s="433"/>
      <c r="F47" s="447"/>
      <c r="G47" s="448"/>
    </row>
    <row r="48" s="383" customFormat="1" ht="13.5" customHeight="1" spans="1:7">
      <c r="A48" s="426" t="s">
        <v>2269</v>
      </c>
      <c r="B48" s="402" t="s">
        <v>2676</v>
      </c>
      <c r="C48" s="462">
        <f>F30</f>
        <v>0.056</v>
      </c>
      <c r="D48" s="433" t="s">
        <v>2698</v>
      </c>
      <c r="E48" s="429"/>
      <c r="F48" s="436"/>
      <c r="G48" s="434" t="s">
        <v>2699</v>
      </c>
    </row>
    <row r="49" ht="16.5" customHeight="1" spans="1:7">
      <c r="A49" s="426" t="s">
        <v>2675</v>
      </c>
      <c r="B49" s="402" t="s">
        <v>2700</v>
      </c>
      <c r="C49" s="429">
        <f ca="1">ROUND((C33+C39+C41+C45)/(1-C40-D41-D45-C48/(1+'数据-取费表'!B42)),0)</f>
        <v>10107</v>
      </c>
      <c r="D49" s="429"/>
      <c r="E49" s="429"/>
      <c r="F49" s="467"/>
      <c r="G49" s="434" t="s">
        <v>2701</v>
      </c>
    </row>
    <row r="50" s="385" customFormat="1" ht="24" spans="1:7">
      <c r="A50" s="426" t="s">
        <v>2702</v>
      </c>
      <c r="B50" s="402" t="s">
        <v>2703</v>
      </c>
      <c r="C50" s="429"/>
      <c r="D50" s="429"/>
      <c r="E50" s="429"/>
      <c r="F50" s="467">
        <f>IF('数据-取费表'!B24=0,'数据-取费表'!N16,1)</f>
        <v>0.6</v>
      </c>
      <c r="G50" s="448" t="s">
        <v>2704</v>
      </c>
    </row>
    <row r="51" ht="16.5" customHeight="1" spans="1:7">
      <c r="A51" s="426" t="s">
        <v>2705</v>
      </c>
      <c r="B51" s="402" t="s">
        <v>2706</v>
      </c>
      <c r="C51" s="429">
        <f ca="1">ROUND(C49*F50,0)</f>
        <v>6064</v>
      </c>
      <c r="D51" s="429"/>
      <c r="E51" s="429"/>
      <c r="F51" s="467"/>
      <c r="G51" s="434" t="s">
        <v>2707</v>
      </c>
    </row>
    <row r="52" s="382" customFormat="1" ht="16.5" spans="1:7">
      <c r="A52" s="468" t="s">
        <v>2708</v>
      </c>
      <c r="B52" s="469"/>
      <c r="C52" s="470">
        <f ca="1">C31+C51</f>
        <v>32595</v>
      </c>
      <c r="D52" s="469"/>
      <c r="E52" s="469"/>
      <c r="F52" s="469"/>
      <c r="G52" s="471"/>
    </row>
    <row r="55" ht="15" spans="2:3">
      <c r="B55" s="472" t="s">
        <v>2709</v>
      </c>
      <c r="C55" s="473"/>
    </row>
    <row r="56" spans="2:3">
      <c r="B56" s="474" t="s">
        <v>2710</v>
      </c>
      <c r="C56" s="475">
        <f ca="1">ROUND(C51/C52,3)</f>
        <v>0.186</v>
      </c>
    </row>
    <row r="57" spans="2:3">
      <c r="B57" s="474" t="s">
        <v>2711</v>
      </c>
      <c r="C57" s="476">
        <f ca="1">1-C56</f>
        <v>0.814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2712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2713</v>
      </c>
      <c r="B2" s="351"/>
      <c r="C2" s="351"/>
      <c r="D2" s="351"/>
      <c r="E2" s="351"/>
      <c r="F2" s="351"/>
      <c r="G2" s="352" t="s">
        <v>2714</v>
      </c>
      <c r="I2" s="361" t="s">
        <v>2715</v>
      </c>
      <c r="J2" s="361" t="s">
        <v>2716</v>
      </c>
      <c r="K2" s="361" t="s">
        <v>2717</v>
      </c>
      <c r="L2" s="361" t="s">
        <v>2718</v>
      </c>
      <c r="M2" s="361" t="s">
        <v>2719</v>
      </c>
      <c r="N2" s="361" t="s">
        <v>2720</v>
      </c>
      <c r="O2" s="361" t="s">
        <v>2721</v>
      </c>
      <c r="P2" s="361" t="s">
        <v>2722</v>
      </c>
      <c r="Q2" s="361" t="s">
        <v>2723</v>
      </c>
      <c r="R2" s="361" t="s">
        <v>2724</v>
      </c>
      <c r="S2" s="361" t="s">
        <v>2725</v>
      </c>
      <c r="T2" s="361" t="s">
        <v>2726</v>
      </c>
    </row>
    <row r="3" s="346" customFormat="1" spans="1:20">
      <c r="A3" s="353" t="s">
        <v>2727</v>
      </c>
      <c r="B3" s="354"/>
      <c r="C3" s="355" t="s">
        <v>2389</v>
      </c>
      <c r="D3" s="355" t="s">
        <v>2390</v>
      </c>
      <c r="E3" s="355" t="s">
        <v>412</v>
      </c>
      <c r="F3" s="355" t="s">
        <v>408</v>
      </c>
      <c r="G3" s="355" t="s">
        <v>280</v>
      </c>
      <c r="H3" s="356"/>
      <c r="I3" s="362" t="s">
        <v>2728</v>
      </c>
      <c r="J3" s="363" t="s">
        <v>2729</v>
      </c>
      <c r="K3" s="363" t="s">
        <v>2730</v>
      </c>
      <c r="L3" s="362" t="s">
        <v>2731</v>
      </c>
      <c r="M3" s="362" t="s">
        <v>2732</v>
      </c>
      <c r="N3" s="362" t="s">
        <v>2733</v>
      </c>
      <c r="O3" s="362" t="s">
        <v>2734</v>
      </c>
      <c r="P3" s="362" t="s">
        <v>2735</v>
      </c>
      <c r="Q3" s="362" t="s">
        <v>2736</v>
      </c>
      <c r="R3" s="362" t="s">
        <v>2737</v>
      </c>
      <c r="S3" s="362" t="s">
        <v>2738</v>
      </c>
      <c r="T3" s="362" t="s">
        <v>2739</v>
      </c>
    </row>
    <row r="4" s="346" customFormat="1" ht="12" spans="1:20">
      <c r="A4" s="357"/>
      <c r="B4" s="358" t="s">
        <v>2740</v>
      </c>
      <c r="C4" s="358" t="s">
        <v>2741</v>
      </c>
      <c r="D4" s="358" t="s">
        <v>2741</v>
      </c>
      <c r="E4" s="358" t="s">
        <v>2741</v>
      </c>
      <c r="F4" s="359" t="s">
        <v>2741</v>
      </c>
      <c r="G4" s="359" t="s">
        <v>2741</v>
      </c>
      <c r="H4" s="356"/>
      <c r="I4" s="363" t="s">
        <v>2742</v>
      </c>
      <c r="J4" s="363" t="s">
        <v>2743</v>
      </c>
      <c r="K4" s="363" t="s">
        <v>2744</v>
      </c>
      <c r="L4" s="362" t="s">
        <v>2745</v>
      </c>
      <c r="M4" s="362" t="s">
        <v>2746</v>
      </c>
      <c r="N4" s="362" t="s">
        <v>2747</v>
      </c>
      <c r="O4" s="362" t="s">
        <v>2748</v>
      </c>
      <c r="P4" s="362" t="s">
        <v>2749</v>
      </c>
      <c r="Q4" s="362" t="s">
        <v>2750</v>
      </c>
      <c r="R4" s="362" t="s">
        <v>2751</v>
      </c>
      <c r="S4" s="362" t="s">
        <v>2752</v>
      </c>
      <c r="T4" s="362" t="s">
        <v>2753</v>
      </c>
    </row>
    <row r="5" spans="1:20">
      <c r="A5" s="360" t="s">
        <v>230</v>
      </c>
      <c r="B5" s="361" t="s">
        <v>2715</v>
      </c>
      <c r="C5" s="361">
        <v>34550</v>
      </c>
      <c r="D5" s="361">
        <v>34470</v>
      </c>
      <c r="E5" s="361">
        <v>34330</v>
      </c>
      <c r="F5" s="361">
        <v>13400</v>
      </c>
      <c r="G5" s="361">
        <v>25450</v>
      </c>
      <c r="H5" s="356"/>
      <c r="I5" s="362" t="s">
        <v>2754</v>
      </c>
      <c r="J5" s="363" t="s">
        <v>2755</v>
      </c>
      <c r="K5" s="363" t="s">
        <v>2756</v>
      </c>
      <c r="L5" s="362" t="s">
        <v>2757</v>
      </c>
      <c r="M5" s="362" t="s">
        <v>2758</v>
      </c>
      <c r="N5" s="362" t="s">
        <v>2759</v>
      </c>
      <c r="O5" s="362" t="s">
        <v>2760</v>
      </c>
      <c r="P5" s="362" t="s">
        <v>2761</v>
      </c>
      <c r="Q5" s="362" t="s">
        <v>2762</v>
      </c>
      <c r="R5" s="362" t="s">
        <v>2763</v>
      </c>
      <c r="S5" s="362" t="s">
        <v>2764</v>
      </c>
      <c r="T5" s="362" t="s">
        <v>2765</v>
      </c>
    </row>
    <row r="6" ht="12" spans="1:20">
      <c r="A6" s="362" t="s">
        <v>230</v>
      </c>
      <c r="B6" s="362" t="s">
        <v>2728</v>
      </c>
      <c r="C6" s="362">
        <v>36990</v>
      </c>
      <c r="D6" s="362">
        <v>36850</v>
      </c>
      <c r="E6" s="362">
        <v>36700</v>
      </c>
      <c r="F6" s="362">
        <v>14590</v>
      </c>
      <c r="G6" s="362">
        <v>27450</v>
      </c>
      <c r="H6" s="356"/>
      <c r="I6" s="365" t="s">
        <v>2766</v>
      </c>
      <c r="J6" s="363" t="s">
        <v>2767</v>
      </c>
      <c r="K6" s="363" t="s">
        <v>2768</v>
      </c>
      <c r="L6" s="362" t="s">
        <v>2769</v>
      </c>
      <c r="M6" s="362" t="s">
        <v>2770</v>
      </c>
      <c r="N6" s="362" t="s">
        <v>2771</v>
      </c>
      <c r="O6" s="362" t="s">
        <v>2772</v>
      </c>
      <c r="P6" s="362" t="s">
        <v>2773</v>
      </c>
      <c r="Q6" s="362" t="s">
        <v>2774</v>
      </c>
      <c r="R6" s="362" t="s">
        <v>2775</v>
      </c>
      <c r="S6" s="362" t="s">
        <v>2776</v>
      </c>
      <c r="T6" s="362" t="s">
        <v>2777</v>
      </c>
    </row>
    <row r="7" spans="1:20">
      <c r="A7" s="362" t="s">
        <v>230</v>
      </c>
      <c r="B7" s="363" t="s">
        <v>2742</v>
      </c>
      <c r="C7" s="362">
        <v>34850</v>
      </c>
      <c r="D7" s="362">
        <v>34690</v>
      </c>
      <c r="E7" s="362">
        <v>34550</v>
      </c>
      <c r="F7" s="362">
        <v>14360</v>
      </c>
      <c r="G7" s="362">
        <v>25620</v>
      </c>
      <c r="H7" s="356"/>
      <c r="J7" s="363" t="s">
        <v>2778</v>
      </c>
      <c r="K7" s="363" t="s">
        <v>2779</v>
      </c>
      <c r="L7" s="362" t="s">
        <v>2780</v>
      </c>
      <c r="M7" s="362" t="s">
        <v>2781</v>
      </c>
      <c r="N7" s="362" t="s">
        <v>2782</v>
      </c>
      <c r="O7" s="362" t="s">
        <v>2783</v>
      </c>
      <c r="P7" s="362" t="s">
        <v>2784</v>
      </c>
      <c r="Q7" s="362" t="s">
        <v>2785</v>
      </c>
      <c r="R7" s="362" t="s">
        <v>2786</v>
      </c>
      <c r="S7" s="362" t="s">
        <v>2787</v>
      </c>
      <c r="T7" s="362" t="s">
        <v>2788</v>
      </c>
    </row>
    <row r="8" ht="12" spans="1:20">
      <c r="A8" s="362" t="s">
        <v>230</v>
      </c>
      <c r="B8" s="362" t="s">
        <v>2754</v>
      </c>
      <c r="C8" s="362">
        <v>32630</v>
      </c>
      <c r="D8" s="362">
        <v>32510</v>
      </c>
      <c r="E8" s="362">
        <v>32420</v>
      </c>
      <c r="F8" s="362">
        <v>13300</v>
      </c>
      <c r="G8" s="362">
        <v>24010</v>
      </c>
      <c r="H8" s="356"/>
      <c r="J8" s="363" t="s">
        <v>2789</v>
      </c>
      <c r="K8" s="363" t="s">
        <v>2790</v>
      </c>
      <c r="L8" s="362" t="s">
        <v>2791</v>
      </c>
      <c r="M8" s="362" t="s">
        <v>2792</v>
      </c>
      <c r="N8" s="362" t="s">
        <v>2793</v>
      </c>
      <c r="O8" s="362" t="s">
        <v>2794</v>
      </c>
      <c r="P8" s="362" t="s">
        <v>2795</v>
      </c>
      <c r="Q8" s="362" t="s">
        <v>2796</v>
      </c>
      <c r="R8" s="362" t="s">
        <v>2797</v>
      </c>
      <c r="S8" s="362" t="s">
        <v>2798</v>
      </c>
      <c r="T8" s="366" t="s">
        <v>2799</v>
      </c>
    </row>
    <row r="9" ht="12" spans="1:19">
      <c r="A9" s="364" t="s">
        <v>230</v>
      </c>
      <c r="B9" s="365" t="s">
        <v>2766</v>
      </c>
      <c r="C9" s="366">
        <v>36370</v>
      </c>
      <c r="D9" s="366">
        <v>36210</v>
      </c>
      <c r="E9" s="366">
        <v>36050</v>
      </c>
      <c r="F9" s="366"/>
      <c r="G9" s="366">
        <v>26740</v>
      </c>
      <c r="H9" s="356"/>
      <c r="J9" s="363" t="s">
        <v>2800</v>
      </c>
      <c r="K9" s="363" t="s">
        <v>2801</v>
      </c>
      <c r="L9" s="362" t="s">
        <v>2802</v>
      </c>
      <c r="M9" s="362" t="s">
        <v>2803</v>
      </c>
      <c r="N9" s="362" t="s">
        <v>2804</v>
      </c>
      <c r="O9" s="362" t="s">
        <v>2805</v>
      </c>
      <c r="P9" s="362" t="s">
        <v>2806</v>
      </c>
      <c r="Q9" s="362" t="s">
        <v>2807</v>
      </c>
      <c r="R9" s="362" t="s">
        <v>2808</v>
      </c>
      <c r="S9" s="362" t="s">
        <v>2809</v>
      </c>
    </row>
    <row r="10" spans="1:19">
      <c r="A10" s="360" t="s">
        <v>241</v>
      </c>
      <c r="B10" s="361" t="s">
        <v>2716</v>
      </c>
      <c r="C10" s="362">
        <v>32350</v>
      </c>
      <c r="D10" s="362">
        <v>31430</v>
      </c>
      <c r="E10" s="362">
        <v>31320</v>
      </c>
      <c r="F10" s="362">
        <v>10850</v>
      </c>
      <c r="G10" s="362">
        <v>22860</v>
      </c>
      <c r="H10" s="356"/>
      <c r="J10" s="363" t="s">
        <v>2810</v>
      </c>
      <c r="K10" s="363" t="s">
        <v>2811</v>
      </c>
      <c r="L10" s="362" t="s">
        <v>2812</v>
      </c>
      <c r="M10" s="362" t="s">
        <v>2813</v>
      </c>
      <c r="N10" s="362" t="s">
        <v>2814</v>
      </c>
      <c r="O10" s="362" t="s">
        <v>2815</v>
      </c>
      <c r="P10" s="362" t="s">
        <v>2816</v>
      </c>
      <c r="Q10" s="362" t="s">
        <v>2817</v>
      </c>
      <c r="R10" s="362" t="s">
        <v>2818</v>
      </c>
      <c r="S10" s="362" t="s">
        <v>2819</v>
      </c>
    </row>
    <row r="11" spans="1:19">
      <c r="A11" s="362" t="s">
        <v>241</v>
      </c>
      <c r="B11" s="363" t="s">
        <v>2729</v>
      </c>
      <c r="C11" s="362">
        <v>31590</v>
      </c>
      <c r="D11" s="362">
        <v>29490</v>
      </c>
      <c r="E11" s="362">
        <v>28700</v>
      </c>
      <c r="F11" s="362">
        <v>10410</v>
      </c>
      <c r="G11" s="362">
        <v>21460</v>
      </c>
      <c r="H11" s="356"/>
      <c r="J11" s="363" t="s">
        <v>2820</v>
      </c>
      <c r="K11" s="363" t="s">
        <v>2821</v>
      </c>
      <c r="L11" s="362" t="s">
        <v>2822</v>
      </c>
      <c r="M11" s="362" t="s">
        <v>2823</v>
      </c>
      <c r="N11" s="362" t="s">
        <v>2824</v>
      </c>
      <c r="O11" s="362" t="s">
        <v>2825</v>
      </c>
      <c r="P11" s="362" t="s">
        <v>2826</v>
      </c>
      <c r="Q11" s="362" t="s">
        <v>2827</v>
      </c>
      <c r="R11" s="362" t="s">
        <v>2828</v>
      </c>
      <c r="S11" s="362" t="s">
        <v>2829</v>
      </c>
    </row>
    <row r="12" spans="1:19">
      <c r="A12" s="362" t="s">
        <v>241</v>
      </c>
      <c r="B12" s="363" t="s">
        <v>2743</v>
      </c>
      <c r="C12" s="362">
        <v>29640</v>
      </c>
      <c r="D12" s="362">
        <v>27550</v>
      </c>
      <c r="E12" s="362">
        <v>28010</v>
      </c>
      <c r="F12" s="362">
        <v>8730</v>
      </c>
      <c r="G12" s="362">
        <v>20050</v>
      </c>
      <c r="H12" s="356"/>
      <c r="J12" s="363" t="s">
        <v>2830</v>
      </c>
      <c r="K12" s="363" t="s">
        <v>2831</v>
      </c>
      <c r="L12" s="362" t="s">
        <v>2832</v>
      </c>
      <c r="M12" s="362" t="s">
        <v>2833</v>
      </c>
      <c r="N12" s="362" t="s">
        <v>2834</v>
      </c>
      <c r="O12" s="362" t="s">
        <v>2835</v>
      </c>
      <c r="P12" s="362" t="s">
        <v>2836</v>
      </c>
      <c r="Q12" s="362" t="s">
        <v>2837</v>
      </c>
      <c r="R12" s="362" t="s">
        <v>2838</v>
      </c>
      <c r="S12" s="362" t="s">
        <v>2839</v>
      </c>
    </row>
    <row r="13" spans="1:19">
      <c r="A13" s="362" t="s">
        <v>241</v>
      </c>
      <c r="B13" s="363" t="s">
        <v>2755</v>
      </c>
      <c r="C13" s="362">
        <v>29680</v>
      </c>
      <c r="D13" s="362">
        <v>27660</v>
      </c>
      <c r="E13" s="362">
        <v>28210</v>
      </c>
      <c r="F13" s="362">
        <v>9590</v>
      </c>
      <c r="G13" s="362">
        <v>20120</v>
      </c>
      <c r="H13" s="356"/>
      <c r="J13" s="363" t="s">
        <v>2840</v>
      </c>
      <c r="K13" s="363" t="s">
        <v>2841</v>
      </c>
      <c r="L13" s="362" t="s">
        <v>2842</v>
      </c>
      <c r="M13" s="362" t="s">
        <v>2843</v>
      </c>
      <c r="N13" s="362" t="s">
        <v>2844</v>
      </c>
      <c r="O13" s="362" t="s">
        <v>2845</v>
      </c>
      <c r="P13" s="362" t="s">
        <v>2846</v>
      </c>
      <c r="Q13" s="362" t="s">
        <v>2847</v>
      </c>
      <c r="R13" s="362" t="s">
        <v>2848</v>
      </c>
      <c r="S13" s="362" t="s">
        <v>2849</v>
      </c>
    </row>
    <row r="14" spans="1:19">
      <c r="A14" s="362" t="s">
        <v>241</v>
      </c>
      <c r="B14" s="363" t="s">
        <v>2767</v>
      </c>
      <c r="C14" s="362">
        <v>30520</v>
      </c>
      <c r="D14" s="362">
        <v>29510</v>
      </c>
      <c r="E14" s="362">
        <v>29400</v>
      </c>
      <c r="F14" s="362">
        <v>9630</v>
      </c>
      <c r="G14" s="362">
        <v>21480</v>
      </c>
      <c r="H14" s="356"/>
      <c r="J14" s="363" t="s">
        <v>2850</v>
      </c>
      <c r="K14" s="363" t="s">
        <v>2851</v>
      </c>
      <c r="L14" s="362" t="s">
        <v>2852</v>
      </c>
      <c r="M14" s="362" t="s">
        <v>2853</v>
      </c>
      <c r="N14" s="362" t="s">
        <v>2854</v>
      </c>
      <c r="O14" s="362" t="s">
        <v>2855</v>
      </c>
      <c r="P14" s="362" t="s">
        <v>2856</v>
      </c>
      <c r="Q14" s="362" t="s">
        <v>2857</v>
      </c>
      <c r="R14" s="362" t="s">
        <v>2858</v>
      </c>
      <c r="S14" s="362" t="s">
        <v>2859</v>
      </c>
    </row>
    <row r="15" spans="1:19">
      <c r="A15" s="362" t="s">
        <v>241</v>
      </c>
      <c r="B15" s="363" t="s">
        <v>2778</v>
      </c>
      <c r="C15" s="362">
        <v>29090</v>
      </c>
      <c r="D15" s="362">
        <v>27590</v>
      </c>
      <c r="E15" s="362">
        <v>28120</v>
      </c>
      <c r="F15" s="362">
        <v>9110</v>
      </c>
      <c r="G15" s="362">
        <v>20070</v>
      </c>
      <c r="H15" s="356"/>
      <c r="J15" s="363" t="s">
        <v>2860</v>
      </c>
      <c r="K15" s="363" t="s">
        <v>2861</v>
      </c>
      <c r="L15" s="362" t="s">
        <v>2862</v>
      </c>
      <c r="M15" s="362" t="s">
        <v>2863</v>
      </c>
      <c r="N15" s="362" t="s">
        <v>2864</v>
      </c>
      <c r="O15" s="362" t="s">
        <v>2865</v>
      </c>
      <c r="P15" s="362" t="s">
        <v>2866</v>
      </c>
      <c r="Q15" s="362" t="s">
        <v>2867</v>
      </c>
      <c r="R15" s="362" t="s">
        <v>2868</v>
      </c>
      <c r="S15" s="362" t="s">
        <v>2869</v>
      </c>
    </row>
    <row r="16" spans="1:19">
      <c r="A16" s="362" t="s">
        <v>241</v>
      </c>
      <c r="B16" s="363" t="s">
        <v>2789</v>
      </c>
      <c r="C16" s="362">
        <v>26790</v>
      </c>
      <c r="D16" s="362">
        <v>30370</v>
      </c>
      <c r="E16" s="362">
        <v>30240</v>
      </c>
      <c r="F16" s="362">
        <v>11590</v>
      </c>
      <c r="G16" s="362">
        <v>22090</v>
      </c>
      <c r="H16" s="356"/>
      <c r="J16" s="363" t="s">
        <v>2870</v>
      </c>
      <c r="K16" s="363" t="s">
        <v>2871</v>
      </c>
      <c r="L16" s="362" t="s">
        <v>2872</v>
      </c>
      <c r="M16" s="362" t="s">
        <v>2873</v>
      </c>
      <c r="N16" s="362" t="s">
        <v>2874</v>
      </c>
      <c r="O16" s="362" t="s">
        <v>2875</v>
      </c>
      <c r="P16" s="362" t="s">
        <v>2876</v>
      </c>
      <c r="Q16" s="362" t="s">
        <v>2877</v>
      </c>
      <c r="R16" s="362" t="s">
        <v>2878</v>
      </c>
      <c r="S16" s="362" t="s">
        <v>2879</v>
      </c>
    </row>
    <row r="17" ht="14.25" customHeight="1" spans="1:19">
      <c r="A17" s="362" t="s">
        <v>241</v>
      </c>
      <c r="B17" s="363" t="s">
        <v>2800</v>
      </c>
      <c r="C17" s="362">
        <v>29180</v>
      </c>
      <c r="D17" s="362">
        <v>27620</v>
      </c>
      <c r="E17" s="362">
        <v>28180</v>
      </c>
      <c r="F17" s="362">
        <v>10790</v>
      </c>
      <c r="G17" s="362">
        <v>20090</v>
      </c>
      <c r="H17" s="356"/>
      <c r="J17" s="363" t="s">
        <v>2880</v>
      </c>
      <c r="K17" s="363" t="s">
        <v>2881</v>
      </c>
      <c r="L17" s="362" t="s">
        <v>2882</v>
      </c>
      <c r="M17" s="362" t="s">
        <v>2883</v>
      </c>
      <c r="N17" s="362" t="s">
        <v>2884</v>
      </c>
      <c r="O17" s="362" t="s">
        <v>2885</v>
      </c>
      <c r="P17" s="362" t="s">
        <v>2886</v>
      </c>
      <c r="Q17" s="362" t="s">
        <v>2887</v>
      </c>
      <c r="R17" s="362" t="s">
        <v>2888</v>
      </c>
      <c r="S17" s="362" t="s">
        <v>2889</v>
      </c>
    </row>
    <row r="18" ht="14.25" customHeight="1" spans="1:19">
      <c r="A18" s="362" t="s">
        <v>241</v>
      </c>
      <c r="B18" s="363" t="s">
        <v>2810</v>
      </c>
      <c r="C18" s="362">
        <v>26840</v>
      </c>
      <c r="D18" s="362">
        <v>28930</v>
      </c>
      <c r="E18" s="362">
        <v>28820</v>
      </c>
      <c r="F18" s="362"/>
      <c r="G18" s="362">
        <v>21050</v>
      </c>
      <c r="H18" s="356"/>
      <c r="J18" s="363" t="s">
        <v>2890</v>
      </c>
      <c r="K18" s="363" t="s">
        <v>2891</v>
      </c>
      <c r="L18" s="362" t="s">
        <v>2892</v>
      </c>
      <c r="M18" s="362" t="s">
        <v>2893</v>
      </c>
      <c r="N18" s="362" t="s">
        <v>2894</v>
      </c>
      <c r="O18" s="362" t="s">
        <v>2895</v>
      </c>
      <c r="P18" s="362" t="s">
        <v>2896</v>
      </c>
      <c r="Q18" s="362" t="s">
        <v>2897</v>
      </c>
      <c r="R18" s="362" t="s">
        <v>2898</v>
      </c>
      <c r="S18" s="362" t="s">
        <v>2899</v>
      </c>
    </row>
    <row r="19" ht="14.25" customHeight="1" spans="1:19">
      <c r="A19" s="362" t="s">
        <v>241</v>
      </c>
      <c r="B19" s="363" t="s">
        <v>2820</v>
      </c>
      <c r="C19" s="362">
        <v>27750</v>
      </c>
      <c r="D19" s="362">
        <v>26680</v>
      </c>
      <c r="E19" s="362">
        <v>26590</v>
      </c>
      <c r="F19" s="362"/>
      <c r="G19" s="362">
        <v>19420</v>
      </c>
      <c r="H19" s="356"/>
      <c r="J19" s="363" t="s">
        <v>2900</v>
      </c>
      <c r="K19" s="363" t="s">
        <v>2901</v>
      </c>
      <c r="L19" s="362" t="s">
        <v>2902</v>
      </c>
      <c r="M19" s="362" t="s">
        <v>2903</v>
      </c>
      <c r="N19" s="362" t="s">
        <v>2904</v>
      </c>
      <c r="O19" s="362" t="s">
        <v>2905</v>
      </c>
      <c r="P19" s="362" t="s">
        <v>2906</v>
      </c>
      <c r="Q19" s="362" t="s">
        <v>2907</v>
      </c>
      <c r="R19" s="362" t="s">
        <v>2908</v>
      </c>
      <c r="S19" s="362" t="s">
        <v>2909</v>
      </c>
    </row>
    <row r="20" ht="14.25" customHeight="1" spans="1:19">
      <c r="A20" s="362" t="s">
        <v>241</v>
      </c>
      <c r="B20" s="363" t="s">
        <v>2830</v>
      </c>
      <c r="C20" s="362">
        <v>27050</v>
      </c>
      <c r="D20" s="362">
        <v>29010</v>
      </c>
      <c r="E20" s="362">
        <v>28910</v>
      </c>
      <c r="F20" s="362"/>
      <c r="G20" s="362">
        <v>21110</v>
      </c>
      <c r="J20" s="363" t="s">
        <v>2910</v>
      </c>
      <c r="K20" s="363" t="s">
        <v>2911</v>
      </c>
      <c r="L20" s="362" t="s">
        <v>2912</v>
      </c>
      <c r="M20" s="362" t="s">
        <v>2913</v>
      </c>
      <c r="N20" s="362" t="s">
        <v>2914</v>
      </c>
      <c r="O20" s="362" t="s">
        <v>2915</v>
      </c>
      <c r="P20" s="362" t="s">
        <v>2916</v>
      </c>
      <c r="Q20" s="362" t="s">
        <v>2917</v>
      </c>
      <c r="R20" s="362" t="s">
        <v>2918</v>
      </c>
      <c r="S20" s="362" t="s">
        <v>2919</v>
      </c>
    </row>
    <row r="21" ht="14.25" customHeight="1" spans="1:19">
      <c r="A21" s="362" t="s">
        <v>241</v>
      </c>
      <c r="B21" s="363" t="s">
        <v>2840</v>
      </c>
      <c r="C21" s="362">
        <v>32370</v>
      </c>
      <c r="D21" s="362">
        <v>26730</v>
      </c>
      <c r="E21" s="362">
        <v>26640</v>
      </c>
      <c r="F21" s="362"/>
      <c r="G21" s="362">
        <v>19440</v>
      </c>
      <c r="J21" s="366" t="s">
        <v>2920</v>
      </c>
      <c r="K21" s="363" t="s">
        <v>2921</v>
      </c>
      <c r="L21" s="362" t="s">
        <v>2922</v>
      </c>
      <c r="M21" s="362" t="s">
        <v>2923</v>
      </c>
      <c r="N21" s="362" t="s">
        <v>2924</v>
      </c>
      <c r="O21" s="362" t="s">
        <v>2925</v>
      </c>
      <c r="P21" s="362" t="s">
        <v>2926</v>
      </c>
      <c r="Q21" s="362" t="s">
        <v>2927</v>
      </c>
      <c r="R21" s="362" t="s">
        <v>2928</v>
      </c>
      <c r="S21" s="366" t="s">
        <v>2929</v>
      </c>
    </row>
    <row r="22" ht="14.25" customHeight="1" spans="1:18">
      <c r="A22" s="362" t="s">
        <v>241</v>
      </c>
      <c r="B22" s="363" t="s">
        <v>2850</v>
      </c>
      <c r="C22" s="362">
        <v>29830</v>
      </c>
      <c r="D22" s="362">
        <v>27600</v>
      </c>
      <c r="E22" s="362">
        <v>28150</v>
      </c>
      <c r="F22" s="362"/>
      <c r="G22" s="362">
        <v>20080</v>
      </c>
      <c r="K22" s="363" t="s">
        <v>2930</v>
      </c>
      <c r="L22" s="362" t="s">
        <v>2931</v>
      </c>
      <c r="M22" s="362" t="s">
        <v>2932</v>
      </c>
      <c r="N22" s="362" t="s">
        <v>2933</v>
      </c>
      <c r="O22" s="362" t="s">
        <v>2934</v>
      </c>
      <c r="P22" s="362" t="s">
        <v>2935</v>
      </c>
      <c r="Q22" s="362" t="s">
        <v>2936</v>
      </c>
      <c r="R22" s="362" t="s">
        <v>2937</v>
      </c>
    </row>
    <row r="23" ht="14.25" customHeight="1" spans="1:18">
      <c r="A23" s="362" t="s">
        <v>241</v>
      </c>
      <c r="B23" s="363" t="s">
        <v>2860</v>
      </c>
      <c r="C23" s="362">
        <v>27800</v>
      </c>
      <c r="D23" s="362">
        <v>26900</v>
      </c>
      <c r="E23" s="362">
        <v>27170</v>
      </c>
      <c r="F23" s="362"/>
      <c r="G23" s="362">
        <v>19570</v>
      </c>
      <c r="K23" s="363" t="s">
        <v>2938</v>
      </c>
      <c r="L23" s="362" t="s">
        <v>2939</v>
      </c>
      <c r="M23" s="362" t="s">
        <v>2940</v>
      </c>
      <c r="N23" s="362" t="s">
        <v>2941</v>
      </c>
      <c r="O23" s="362" t="s">
        <v>2942</v>
      </c>
      <c r="P23" s="362" t="s">
        <v>2943</v>
      </c>
      <c r="Q23" s="362" t="s">
        <v>2944</v>
      </c>
      <c r="R23" s="362" t="s">
        <v>2945</v>
      </c>
    </row>
    <row r="24" ht="14.25" customHeight="1" spans="1:18">
      <c r="A24" s="362" t="s">
        <v>241</v>
      </c>
      <c r="B24" s="363" t="s">
        <v>2870</v>
      </c>
      <c r="C24" s="362">
        <v>27930</v>
      </c>
      <c r="D24" s="362">
        <v>32260</v>
      </c>
      <c r="E24" s="362">
        <v>32120</v>
      </c>
      <c r="F24" s="362"/>
      <c r="G24" s="362">
        <v>23470</v>
      </c>
      <c r="K24" s="363" t="s">
        <v>2946</v>
      </c>
      <c r="L24" s="362" t="s">
        <v>2947</v>
      </c>
      <c r="M24" s="362" t="s">
        <v>2948</v>
      </c>
      <c r="N24" s="362" t="s">
        <v>2949</v>
      </c>
      <c r="O24" s="362" t="s">
        <v>2950</v>
      </c>
      <c r="P24" s="362" t="s">
        <v>2951</v>
      </c>
      <c r="Q24" s="376" t="s">
        <v>2952</v>
      </c>
      <c r="R24" s="362" t="s">
        <v>2953</v>
      </c>
    </row>
    <row r="25" ht="14.25" customHeight="1" spans="1:18">
      <c r="A25" s="362" t="s">
        <v>241</v>
      </c>
      <c r="B25" s="363" t="s">
        <v>2880</v>
      </c>
      <c r="C25" s="362">
        <v>32230</v>
      </c>
      <c r="D25" s="362">
        <v>29640</v>
      </c>
      <c r="E25" s="362">
        <v>29510</v>
      </c>
      <c r="F25" s="362"/>
      <c r="G25" s="362">
        <v>21560</v>
      </c>
      <c r="K25" s="363" t="s">
        <v>2954</v>
      </c>
      <c r="L25" s="362" t="s">
        <v>2955</v>
      </c>
      <c r="M25" s="362" t="s">
        <v>2956</v>
      </c>
      <c r="N25" s="362" t="s">
        <v>2957</v>
      </c>
      <c r="O25" s="362" t="s">
        <v>2958</v>
      </c>
      <c r="P25" s="362" t="s">
        <v>2959</v>
      </c>
      <c r="Q25" s="376" t="s">
        <v>2960</v>
      </c>
      <c r="R25" s="362" t="s">
        <v>2961</v>
      </c>
    </row>
    <row r="26" ht="14.25" customHeight="1" spans="1:18">
      <c r="A26" s="362" t="s">
        <v>241</v>
      </c>
      <c r="B26" s="363" t="s">
        <v>2890</v>
      </c>
      <c r="C26" s="362">
        <v>31690</v>
      </c>
      <c r="D26" s="362">
        <v>27650</v>
      </c>
      <c r="E26" s="362">
        <v>28200</v>
      </c>
      <c r="F26" s="362"/>
      <c r="G26" s="362">
        <v>20110</v>
      </c>
      <c r="K26" s="365" t="s">
        <v>2962</v>
      </c>
      <c r="L26" s="362" t="s">
        <v>2963</v>
      </c>
      <c r="M26" s="362" t="s">
        <v>2964</v>
      </c>
      <c r="N26" s="362" t="s">
        <v>2965</v>
      </c>
      <c r="O26" s="362" t="s">
        <v>2966</v>
      </c>
      <c r="P26" s="362" t="s">
        <v>2967</v>
      </c>
      <c r="Q26" s="376" t="s">
        <v>2968</v>
      </c>
      <c r="R26" s="362" t="s">
        <v>2969</v>
      </c>
    </row>
    <row r="27" ht="14.25" customHeight="1" spans="1:18">
      <c r="A27" s="362" t="s">
        <v>241</v>
      </c>
      <c r="B27" s="363" t="s">
        <v>2900</v>
      </c>
      <c r="C27" s="362">
        <v>29610</v>
      </c>
      <c r="D27" s="362">
        <v>27770</v>
      </c>
      <c r="E27" s="362">
        <v>28300</v>
      </c>
      <c r="F27" s="362"/>
      <c r="G27" s="362">
        <v>20210</v>
      </c>
      <c r="L27" s="362" t="s">
        <v>2970</v>
      </c>
      <c r="M27" s="362" t="s">
        <v>2971</v>
      </c>
      <c r="N27" s="362" t="s">
        <v>2972</v>
      </c>
      <c r="O27" s="362" t="s">
        <v>2973</v>
      </c>
      <c r="P27" s="362" t="s">
        <v>2974</v>
      </c>
      <c r="Q27" s="362" t="s">
        <v>2975</v>
      </c>
      <c r="R27" s="362" t="s">
        <v>2976</v>
      </c>
    </row>
    <row r="28" ht="14.25" customHeight="1" spans="1:18">
      <c r="A28" s="362" t="s">
        <v>241</v>
      </c>
      <c r="B28" s="363" t="s">
        <v>2910</v>
      </c>
      <c r="C28" s="362"/>
      <c r="D28" s="362">
        <v>31520</v>
      </c>
      <c r="E28" s="362">
        <v>31410</v>
      </c>
      <c r="F28" s="362"/>
      <c r="G28" s="362">
        <v>22940</v>
      </c>
      <c r="L28" s="362" t="s">
        <v>2977</v>
      </c>
      <c r="M28" s="362" t="s">
        <v>2978</v>
      </c>
      <c r="N28" s="362" t="s">
        <v>2979</v>
      </c>
      <c r="O28" s="362" t="s">
        <v>2980</v>
      </c>
      <c r="P28" s="362" t="s">
        <v>2981</v>
      </c>
      <c r="Q28" s="362" t="s">
        <v>2982</v>
      </c>
      <c r="R28" s="362" t="s">
        <v>2983</v>
      </c>
    </row>
    <row r="29" ht="14.25" customHeight="1" spans="1:18">
      <c r="A29" s="364" t="s">
        <v>241</v>
      </c>
      <c r="B29" s="367" t="s">
        <v>2920</v>
      </c>
      <c r="C29" s="368"/>
      <c r="D29" s="368">
        <v>29460</v>
      </c>
      <c r="E29" s="368">
        <v>28640</v>
      </c>
      <c r="F29" s="368"/>
      <c r="G29" s="368">
        <v>21430</v>
      </c>
      <c r="L29" s="362" t="s">
        <v>2984</v>
      </c>
      <c r="M29" s="362" t="s">
        <v>2985</v>
      </c>
      <c r="N29" s="362" t="s">
        <v>2986</v>
      </c>
      <c r="O29" s="362" t="s">
        <v>2987</v>
      </c>
      <c r="P29" s="362" t="s">
        <v>2988</v>
      </c>
      <c r="Q29" s="362" t="s">
        <v>2989</v>
      </c>
      <c r="R29" s="362" t="s">
        <v>2990</v>
      </c>
    </row>
    <row r="30" ht="14.25" customHeight="1" spans="1:18">
      <c r="A30" s="360" t="s">
        <v>251</v>
      </c>
      <c r="B30" s="361" t="s">
        <v>2717</v>
      </c>
      <c r="C30" s="361">
        <v>26890</v>
      </c>
      <c r="D30" s="361">
        <v>26770</v>
      </c>
      <c r="E30" s="361">
        <v>25700</v>
      </c>
      <c r="F30" s="361">
        <v>8180</v>
      </c>
      <c r="G30" s="369">
        <v>18740</v>
      </c>
      <c r="L30" s="362" t="s">
        <v>2991</v>
      </c>
      <c r="M30" s="362" t="s">
        <v>2992</v>
      </c>
      <c r="N30" s="362" t="s">
        <v>2993</v>
      </c>
      <c r="O30" s="362" t="s">
        <v>2994</v>
      </c>
      <c r="P30" s="362" t="s">
        <v>2995</v>
      </c>
      <c r="Q30" s="362" t="s">
        <v>2996</v>
      </c>
      <c r="R30" s="362" t="s">
        <v>2997</v>
      </c>
    </row>
    <row r="31" ht="14.25" customHeight="1" spans="1:18">
      <c r="A31" s="362" t="s">
        <v>251</v>
      </c>
      <c r="B31" s="363" t="s">
        <v>2730</v>
      </c>
      <c r="C31" s="362">
        <v>24550</v>
      </c>
      <c r="D31" s="362">
        <v>23990</v>
      </c>
      <c r="E31" s="362">
        <v>22930</v>
      </c>
      <c r="F31" s="362">
        <v>7470</v>
      </c>
      <c r="G31" s="370">
        <v>16790</v>
      </c>
      <c r="L31" s="362" t="s">
        <v>2998</v>
      </c>
      <c r="M31" s="362" t="s">
        <v>2999</v>
      </c>
      <c r="N31" s="362" t="s">
        <v>3000</v>
      </c>
      <c r="O31" s="362" t="s">
        <v>3001</v>
      </c>
      <c r="P31" s="362" t="s">
        <v>3002</v>
      </c>
      <c r="Q31" s="362" t="s">
        <v>3003</v>
      </c>
      <c r="R31" s="362" t="s">
        <v>3004</v>
      </c>
    </row>
    <row r="32" ht="14.25" customHeight="1" spans="1:18">
      <c r="A32" s="362" t="s">
        <v>251</v>
      </c>
      <c r="B32" s="363" t="s">
        <v>2744</v>
      </c>
      <c r="C32" s="362">
        <v>27210</v>
      </c>
      <c r="D32" s="362">
        <v>23240</v>
      </c>
      <c r="E32" s="362">
        <v>23260</v>
      </c>
      <c r="F32" s="362">
        <v>7130</v>
      </c>
      <c r="G32" s="370">
        <v>16270</v>
      </c>
      <c r="L32" s="362" t="s">
        <v>3005</v>
      </c>
      <c r="M32" s="362" t="s">
        <v>3006</v>
      </c>
      <c r="N32" s="362" t="s">
        <v>3007</v>
      </c>
      <c r="O32" s="362" t="s">
        <v>3008</v>
      </c>
      <c r="P32" s="362" t="s">
        <v>3009</v>
      </c>
      <c r="Q32" s="362" t="s">
        <v>3010</v>
      </c>
      <c r="R32" s="366" t="s">
        <v>3011</v>
      </c>
    </row>
    <row r="33" ht="14.25" customHeight="1" spans="1:17">
      <c r="A33" s="362" t="s">
        <v>251</v>
      </c>
      <c r="B33" s="363" t="s">
        <v>2756</v>
      </c>
      <c r="C33" s="362">
        <v>27300</v>
      </c>
      <c r="D33" s="362">
        <v>22980</v>
      </c>
      <c r="E33" s="362">
        <v>24260</v>
      </c>
      <c r="F33" s="362">
        <v>5860</v>
      </c>
      <c r="G33" s="370">
        <v>16090</v>
      </c>
      <c r="L33" s="366" t="s">
        <v>3012</v>
      </c>
      <c r="M33" s="362" t="s">
        <v>3013</v>
      </c>
      <c r="N33" s="362" t="s">
        <v>3014</v>
      </c>
      <c r="O33" s="362" t="s">
        <v>3015</v>
      </c>
      <c r="P33" s="362" t="s">
        <v>3016</v>
      </c>
      <c r="Q33" s="362" t="s">
        <v>3017</v>
      </c>
    </row>
    <row r="34" ht="14.25" customHeight="1" spans="1:17">
      <c r="A34" s="362" t="s">
        <v>251</v>
      </c>
      <c r="B34" s="363" t="s">
        <v>2768</v>
      </c>
      <c r="C34" s="362">
        <v>23090</v>
      </c>
      <c r="D34" s="362">
        <v>23390</v>
      </c>
      <c r="E34" s="362">
        <v>23510</v>
      </c>
      <c r="F34" s="362">
        <v>6700</v>
      </c>
      <c r="G34" s="370">
        <v>16370</v>
      </c>
      <c r="M34" s="362" t="s">
        <v>3018</v>
      </c>
      <c r="N34" s="362" t="s">
        <v>3019</v>
      </c>
      <c r="O34" s="362" t="s">
        <v>3020</v>
      </c>
      <c r="P34" s="362" t="s">
        <v>3021</v>
      </c>
      <c r="Q34" s="362" t="s">
        <v>3022</v>
      </c>
    </row>
    <row r="35" ht="14.25" customHeight="1" spans="1:17">
      <c r="A35" s="362" t="s">
        <v>251</v>
      </c>
      <c r="B35" s="363" t="s">
        <v>2779</v>
      </c>
      <c r="C35" s="362">
        <v>27270</v>
      </c>
      <c r="D35" s="362">
        <v>24270</v>
      </c>
      <c r="E35" s="362">
        <v>24950</v>
      </c>
      <c r="F35" s="362">
        <v>6600</v>
      </c>
      <c r="G35" s="370">
        <v>16990</v>
      </c>
      <c r="M35" s="362" t="s">
        <v>3023</v>
      </c>
      <c r="N35" s="362" t="s">
        <v>3024</v>
      </c>
      <c r="O35" s="362" t="s">
        <v>3025</v>
      </c>
      <c r="P35" s="362" t="s">
        <v>3026</v>
      </c>
      <c r="Q35" s="362" t="s">
        <v>3027</v>
      </c>
    </row>
    <row r="36" ht="14.25" customHeight="1" spans="1:17">
      <c r="A36" s="362" t="s">
        <v>251</v>
      </c>
      <c r="B36" s="363" t="s">
        <v>2790</v>
      </c>
      <c r="C36" s="362">
        <v>23490</v>
      </c>
      <c r="D36" s="362">
        <v>23020</v>
      </c>
      <c r="E36" s="362">
        <v>25230</v>
      </c>
      <c r="F36" s="362">
        <v>6780</v>
      </c>
      <c r="G36" s="370">
        <v>16120</v>
      </c>
      <c r="M36" s="362" t="s">
        <v>3028</v>
      </c>
      <c r="N36" s="362" t="s">
        <v>3029</v>
      </c>
      <c r="O36" s="362" t="s">
        <v>3030</v>
      </c>
      <c r="P36" s="362" t="s">
        <v>3031</v>
      </c>
      <c r="Q36" s="362" t="s">
        <v>3032</v>
      </c>
    </row>
    <row r="37" ht="14.25" customHeight="1" spans="1:17">
      <c r="A37" s="362" t="s">
        <v>251</v>
      </c>
      <c r="B37" s="363" t="s">
        <v>2801</v>
      </c>
      <c r="C37" s="362">
        <v>24380</v>
      </c>
      <c r="D37" s="362">
        <v>22240</v>
      </c>
      <c r="E37" s="362">
        <v>25980</v>
      </c>
      <c r="F37" s="362">
        <v>8160</v>
      </c>
      <c r="G37" s="370">
        <v>15570</v>
      </c>
      <c r="M37" s="362" t="s">
        <v>3033</v>
      </c>
      <c r="N37" s="362" t="s">
        <v>3034</v>
      </c>
      <c r="O37" s="362" t="s">
        <v>3035</v>
      </c>
      <c r="P37" s="362" t="s">
        <v>3036</v>
      </c>
      <c r="Q37" s="362" t="s">
        <v>3037</v>
      </c>
    </row>
    <row r="38" ht="14.25" customHeight="1" spans="1:17">
      <c r="A38" s="362" t="s">
        <v>251</v>
      </c>
      <c r="B38" s="363" t="s">
        <v>2811</v>
      </c>
      <c r="C38" s="362">
        <v>23120</v>
      </c>
      <c r="D38" s="362">
        <v>24630</v>
      </c>
      <c r="E38" s="362">
        <v>25030</v>
      </c>
      <c r="F38" s="362">
        <v>7710</v>
      </c>
      <c r="G38" s="370">
        <v>17240</v>
      </c>
      <c r="M38" s="362" t="s">
        <v>3038</v>
      </c>
      <c r="N38" s="362" t="s">
        <v>3039</v>
      </c>
      <c r="O38" s="362" t="s">
        <v>3040</v>
      </c>
      <c r="P38" s="362" t="s">
        <v>3041</v>
      </c>
      <c r="Q38" s="362" t="s">
        <v>3042</v>
      </c>
    </row>
    <row r="39" ht="14.25" customHeight="1" spans="1:17">
      <c r="A39" s="362" t="s">
        <v>251</v>
      </c>
      <c r="B39" s="363" t="s">
        <v>2821</v>
      </c>
      <c r="C39" s="362">
        <v>22330</v>
      </c>
      <c r="D39" s="362">
        <v>21140</v>
      </c>
      <c r="E39" s="362">
        <v>23970</v>
      </c>
      <c r="F39" s="362">
        <v>7940</v>
      </c>
      <c r="G39" s="370">
        <v>14790</v>
      </c>
      <c r="M39" s="362" t="s">
        <v>3043</v>
      </c>
      <c r="N39" s="362" t="s">
        <v>3044</v>
      </c>
      <c r="O39" s="362" t="s">
        <v>3045</v>
      </c>
      <c r="P39" s="362" t="s">
        <v>3046</v>
      </c>
      <c r="Q39" s="362" t="s">
        <v>3047</v>
      </c>
    </row>
    <row r="40" ht="14.25" customHeight="1" spans="1:17">
      <c r="A40" s="362" t="s">
        <v>251</v>
      </c>
      <c r="B40" s="363" t="s">
        <v>2831</v>
      </c>
      <c r="C40" s="362">
        <v>24740</v>
      </c>
      <c r="D40" s="362">
        <v>24690</v>
      </c>
      <c r="E40" s="362">
        <v>22610</v>
      </c>
      <c r="F40" s="362"/>
      <c r="G40" s="370">
        <v>17280</v>
      </c>
      <c r="M40" s="362" t="s">
        <v>3048</v>
      </c>
      <c r="N40" s="362" t="s">
        <v>3049</v>
      </c>
      <c r="O40" s="362" t="s">
        <v>3050</v>
      </c>
      <c r="P40" s="362" t="s">
        <v>3051</v>
      </c>
      <c r="Q40" s="362" t="s">
        <v>3052</v>
      </c>
    </row>
    <row r="41" ht="14.25" customHeight="1" spans="1:17">
      <c r="A41" s="362" t="s">
        <v>251</v>
      </c>
      <c r="B41" s="363" t="s">
        <v>2841</v>
      </c>
      <c r="C41" s="362">
        <v>21220</v>
      </c>
      <c r="D41" s="362">
        <v>21120</v>
      </c>
      <c r="E41" s="362">
        <v>22590</v>
      </c>
      <c r="F41" s="362"/>
      <c r="G41" s="370">
        <v>14780</v>
      </c>
      <c r="M41" s="366" t="s">
        <v>3053</v>
      </c>
      <c r="N41" s="362" t="s">
        <v>3054</v>
      </c>
      <c r="O41" s="362" t="s">
        <v>3055</v>
      </c>
      <c r="P41" s="362" t="s">
        <v>3056</v>
      </c>
      <c r="Q41" s="362" t="s">
        <v>3057</v>
      </c>
    </row>
    <row r="42" ht="14.25" customHeight="1" spans="1:17">
      <c r="A42" s="362" t="s">
        <v>251</v>
      </c>
      <c r="B42" s="363" t="s">
        <v>2851</v>
      </c>
      <c r="C42" s="362">
        <v>24800</v>
      </c>
      <c r="D42" s="362">
        <v>22280</v>
      </c>
      <c r="E42" s="362">
        <v>24350</v>
      </c>
      <c r="F42" s="362"/>
      <c r="G42" s="370">
        <v>15590</v>
      </c>
      <c r="N42" s="362" t="s">
        <v>3058</v>
      </c>
      <c r="O42" s="362" t="s">
        <v>3059</v>
      </c>
      <c r="P42" s="362" t="s">
        <v>3060</v>
      </c>
      <c r="Q42" s="362" t="s">
        <v>3061</v>
      </c>
    </row>
    <row r="43" ht="14.25" customHeight="1" spans="1:17">
      <c r="A43" s="362" t="s">
        <v>251</v>
      </c>
      <c r="B43" s="363" t="s">
        <v>2861</v>
      </c>
      <c r="C43" s="362">
        <v>21210</v>
      </c>
      <c r="D43" s="362">
        <v>21160</v>
      </c>
      <c r="E43" s="362">
        <v>22650</v>
      </c>
      <c r="F43" s="362"/>
      <c r="G43" s="370">
        <v>14800</v>
      </c>
      <c r="N43" s="362" t="s">
        <v>3062</v>
      </c>
      <c r="O43" s="362" t="s">
        <v>3063</v>
      </c>
      <c r="P43" s="362" t="s">
        <v>3064</v>
      </c>
      <c r="Q43" s="362" t="s">
        <v>3065</v>
      </c>
    </row>
    <row r="44" ht="14.25" customHeight="1" spans="1:17">
      <c r="A44" s="362" t="s">
        <v>251</v>
      </c>
      <c r="B44" s="363" t="s">
        <v>2871</v>
      </c>
      <c r="C44" s="362">
        <v>22370</v>
      </c>
      <c r="D44" s="362">
        <v>23140</v>
      </c>
      <c r="E44" s="362">
        <v>25090</v>
      </c>
      <c r="F44" s="362"/>
      <c r="G44" s="370">
        <v>16190</v>
      </c>
      <c r="N44" s="362" t="s">
        <v>3066</v>
      </c>
      <c r="O44" s="362" t="s">
        <v>3067</v>
      </c>
      <c r="P44" s="366" t="s">
        <v>3068</v>
      </c>
      <c r="Q44" s="362" t="s">
        <v>3069</v>
      </c>
    </row>
    <row r="45" ht="14.25" customHeight="1" spans="1:17">
      <c r="A45" s="362" t="s">
        <v>251</v>
      </c>
      <c r="B45" s="363" t="s">
        <v>2881</v>
      </c>
      <c r="C45" s="362">
        <v>21240</v>
      </c>
      <c r="D45" s="362">
        <v>27050</v>
      </c>
      <c r="E45" s="362">
        <v>28000</v>
      </c>
      <c r="F45" s="362"/>
      <c r="G45" s="370">
        <v>18940</v>
      </c>
      <c r="N45" s="362" t="s">
        <v>3070</v>
      </c>
      <c r="O45" s="366" t="s">
        <v>3071</v>
      </c>
      <c r="Q45" s="362" t="s">
        <v>3072</v>
      </c>
    </row>
    <row r="46" ht="14.25" customHeight="1" spans="1:17">
      <c r="A46" s="362" t="s">
        <v>251</v>
      </c>
      <c r="B46" s="363" t="s">
        <v>2891</v>
      </c>
      <c r="C46" s="362">
        <v>23240</v>
      </c>
      <c r="D46" s="362">
        <v>23000</v>
      </c>
      <c r="E46" s="362">
        <v>24980</v>
      </c>
      <c r="F46" s="362"/>
      <c r="G46" s="370">
        <v>16100</v>
      </c>
      <c r="N46" s="362" t="s">
        <v>3073</v>
      </c>
      <c r="Q46" s="362" t="s">
        <v>3074</v>
      </c>
    </row>
    <row r="47" ht="14.25" customHeight="1" spans="1:17">
      <c r="A47" s="362" t="s">
        <v>251</v>
      </c>
      <c r="B47" s="363" t="s">
        <v>2901</v>
      </c>
      <c r="C47" s="362">
        <v>27150</v>
      </c>
      <c r="D47" s="362">
        <v>23310</v>
      </c>
      <c r="E47" s="362">
        <v>25150</v>
      </c>
      <c r="F47" s="362"/>
      <c r="G47" s="370">
        <v>16310</v>
      </c>
      <c r="N47" s="362" t="s">
        <v>3075</v>
      </c>
      <c r="Q47" s="362" t="s">
        <v>3076</v>
      </c>
    </row>
    <row r="48" ht="14.25" customHeight="1" spans="1:17">
      <c r="A48" s="362" t="s">
        <v>251</v>
      </c>
      <c r="B48" s="363" t="s">
        <v>2911</v>
      </c>
      <c r="C48" s="362">
        <v>23100</v>
      </c>
      <c r="D48" s="362">
        <v>21110</v>
      </c>
      <c r="E48" s="362">
        <v>23080</v>
      </c>
      <c r="F48" s="362"/>
      <c r="G48" s="370">
        <v>14780</v>
      </c>
      <c r="N48" s="362" t="s">
        <v>3077</v>
      </c>
      <c r="Q48" s="362" t="s">
        <v>3078</v>
      </c>
    </row>
    <row r="49" ht="14.25" customHeight="1" spans="1:17">
      <c r="A49" s="362" t="s">
        <v>251</v>
      </c>
      <c r="B49" s="363" t="s">
        <v>2921</v>
      </c>
      <c r="C49" s="362">
        <v>23400</v>
      </c>
      <c r="D49" s="362">
        <v>22920</v>
      </c>
      <c r="E49" s="362">
        <v>24900</v>
      </c>
      <c r="F49" s="362"/>
      <c r="G49" s="370">
        <v>16040</v>
      </c>
      <c r="N49" s="362" t="s">
        <v>3079</v>
      </c>
      <c r="Q49" s="362" t="s">
        <v>3080</v>
      </c>
    </row>
    <row r="50" ht="14.25" customHeight="1" spans="1:17">
      <c r="A50" s="362" t="s">
        <v>251</v>
      </c>
      <c r="B50" s="363" t="s">
        <v>2930</v>
      </c>
      <c r="C50" s="362">
        <v>21200</v>
      </c>
      <c r="D50" s="362">
        <v>26540</v>
      </c>
      <c r="E50" s="362">
        <v>23200</v>
      </c>
      <c r="F50" s="362"/>
      <c r="G50" s="370">
        <v>18580</v>
      </c>
      <c r="N50" s="362" t="s">
        <v>3081</v>
      </c>
      <c r="Q50" s="363" t="s">
        <v>3082</v>
      </c>
    </row>
    <row r="51" ht="14.25" customHeight="1" spans="1:17">
      <c r="A51" s="362" t="s">
        <v>251</v>
      </c>
      <c r="B51" s="363" t="s">
        <v>2938</v>
      </c>
      <c r="C51" s="362">
        <v>23000</v>
      </c>
      <c r="D51" s="362">
        <v>23460</v>
      </c>
      <c r="E51" s="362">
        <v>25290</v>
      </c>
      <c r="F51" s="362"/>
      <c r="G51" s="370">
        <v>16420</v>
      </c>
      <c r="N51" s="362" t="s">
        <v>3083</v>
      </c>
      <c r="Q51" s="366" t="s">
        <v>3084</v>
      </c>
    </row>
    <row r="52" ht="14.25" customHeight="1" spans="1:14">
      <c r="A52" s="362" t="s">
        <v>251</v>
      </c>
      <c r="B52" s="363" t="s">
        <v>2946</v>
      </c>
      <c r="C52" s="362">
        <v>26660</v>
      </c>
      <c r="D52" s="362">
        <v>22350</v>
      </c>
      <c r="E52" s="362">
        <v>22920</v>
      </c>
      <c r="F52" s="362"/>
      <c r="G52" s="370">
        <v>15640</v>
      </c>
      <c r="N52" s="362" t="s">
        <v>3085</v>
      </c>
    </row>
    <row r="53" ht="14.25" customHeight="1" spans="1:14">
      <c r="A53" s="362" t="s">
        <v>251</v>
      </c>
      <c r="B53" s="363" t="s">
        <v>2954</v>
      </c>
      <c r="C53" s="362">
        <v>23580</v>
      </c>
      <c r="D53" s="362"/>
      <c r="E53" s="362">
        <v>24280</v>
      </c>
      <c r="F53" s="362"/>
      <c r="G53" s="370"/>
      <c r="N53" s="362" t="s">
        <v>3086</v>
      </c>
    </row>
    <row r="54" ht="14.25" customHeight="1" spans="1:14">
      <c r="A54" s="371" t="s">
        <v>251</v>
      </c>
      <c r="B54" s="365" t="s">
        <v>2962</v>
      </c>
      <c r="C54" s="366">
        <v>22460</v>
      </c>
      <c r="D54" s="366"/>
      <c r="E54" s="366"/>
      <c r="F54" s="366"/>
      <c r="G54" s="372"/>
      <c r="N54" s="362" t="s">
        <v>3087</v>
      </c>
    </row>
    <row r="55" ht="14.25" customHeight="1" spans="1:14">
      <c r="A55" s="360" t="s">
        <v>259</v>
      </c>
      <c r="B55" s="361" t="s">
        <v>2718</v>
      </c>
      <c r="C55" s="362">
        <v>21970</v>
      </c>
      <c r="D55" s="362">
        <v>20370</v>
      </c>
      <c r="E55" s="362">
        <v>20180</v>
      </c>
      <c r="F55" s="362">
        <v>5730</v>
      </c>
      <c r="G55" s="362">
        <v>13820</v>
      </c>
      <c r="N55" s="362" t="s">
        <v>3088</v>
      </c>
    </row>
    <row r="56" ht="14.25" customHeight="1" spans="1:14">
      <c r="A56" s="362" t="s">
        <v>259</v>
      </c>
      <c r="B56" s="362" t="s">
        <v>2731</v>
      </c>
      <c r="C56" s="362">
        <v>20470</v>
      </c>
      <c r="D56" s="362">
        <v>20700</v>
      </c>
      <c r="E56" s="362">
        <v>20380</v>
      </c>
      <c r="F56" s="362">
        <v>4760</v>
      </c>
      <c r="G56" s="362">
        <v>14050</v>
      </c>
      <c r="N56" s="362" t="s">
        <v>3089</v>
      </c>
    </row>
    <row r="57" ht="14.25" customHeight="1" spans="1:14">
      <c r="A57" s="362" t="s">
        <v>259</v>
      </c>
      <c r="B57" s="362" t="s">
        <v>2745</v>
      </c>
      <c r="C57" s="362">
        <v>20790</v>
      </c>
      <c r="D57" s="362">
        <v>21370</v>
      </c>
      <c r="E57" s="362">
        <v>20890</v>
      </c>
      <c r="F57" s="362">
        <v>4910</v>
      </c>
      <c r="G57" s="362">
        <v>14510</v>
      </c>
      <c r="N57" s="362" t="s">
        <v>3090</v>
      </c>
    </row>
    <row r="58" ht="14.25" customHeight="1" spans="1:14">
      <c r="A58" s="362" t="s">
        <v>259</v>
      </c>
      <c r="B58" s="362" t="s">
        <v>2757</v>
      </c>
      <c r="C58" s="362">
        <v>21460</v>
      </c>
      <c r="D58" s="362">
        <v>20920</v>
      </c>
      <c r="E58" s="362">
        <v>23410</v>
      </c>
      <c r="F58" s="362">
        <v>5100</v>
      </c>
      <c r="G58" s="362">
        <v>14200</v>
      </c>
      <c r="N58" s="362" t="s">
        <v>3091</v>
      </c>
    </row>
    <row r="59" ht="14.25" customHeight="1" spans="1:14">
      <c r="A59" s="362" t="s">
        <v>259</v>
      </c>
      <c r="B59" s="362" t="s">
        <v>2769</v>
      </c>
      <c r="C59" s="362">
        <v>21000</v>
      </c>
      <c r="D59" s="362">
        <v>21550</v>
      </c>
      <c r="E59" s="362">
        <v>21150</v>
      </c>
      <c r="F59" s="362">
        <v>5250</v>
      </c>
      <c r="G59" s="362">
        <v>14630</v>
      </c>
      <c r="N59" s="362" t="s">
        <v>3092</v>
      </c>
    </row>
    <row r="60" ht="14.25" customHeight="1" spans="1:14">
      <c r="A60" s="362" t="s">
        <v>259</v>
      </c>
      <c r="B60" s="362" t="s">
        <v>2780</v>
      </c>
      <c r="C60" s="362">
        <v>21640</v>
      </c>
      <c r="D60" s="362">
        <v>21260</v>
      </c>
      <c r="E60" s="362">
        <v>24040</v>
      </c>
      <c r="F60" s="362">
        <v>4470</v>
      </c>
      <c r="G60" s="362">
        <v>14430</v>
      </c>
      <c r="N60" s="362" t="s">
        <v>3093</v>
      </c>
    </row>
    <row r="61" ht="14.25" customHeight="1" spans="1:14">
      <c r="A61" s="362" t="s">
        <v>259</v>
      </c>
      <c r="B61" s="362" t="s">
        <v>2791</v>
      </c>
      <c r="C61" s="362">
        <v>21330</v>
      </c>
      <c r="D61" s="362">
        <v>18640</v>
      </c>
      <c r="E61" s="362">
        <v>21190</v>
      </c>
      <c r="F61" s="362">
        <v>4180</v>
      </c>
      <c r="G61" s="362">
        <v>12650</v>
      </c>
      <c r="N61" s="362" t="s">
        <v>3094</v>
      </c>
    </row>
    <row r="62" ht="14.25" customHeight="1" spans="1:14">
      <c r="A62" s="362" t="s">
        <v>259</v>
      </c>
      <c r="B62" s="362" t="s">
        <v>2802</v>
      </c>
      <c r="C62" s="362">
        <v>18710</v>
      </c>
      <c r="D62" s="362">
        <v>19400</v>
      </c>
      <c r="E62" s="362">
        <v>23750</v>
      </c>
      <c r="F62" s="362">
        <v>4860</v>
      </c>
      <c r="G62" s="362">
        <v>13170</v>
      </c>
      <c r="N62" s="362" t="s">
        <v>3095</v>
      </c>
    </row>
    <row r="63" ht="14.25" customHeight="1" spans="1:14">
      <c r="A63" s="362" t="s">
        <v>259</v>
      </c>
      <c r="B63" s="362" t="s">
        <v>2812</v>
      </c>
      <c r="C63" s="362">
        <v>19480</v>
      </c>
      <c r="D63" s="362">
        <v>16830</v>
      </c>
      <c r="E63" s="362">
        <v>21590</v>
      </c>
      <c r="F63" s="362">
        <v>4560</v>
      </c>
      <c r="G63" s="362">
        <v>11420</v>
      </c>
      <c r="N63" s="362" t="s">
        <v>3096</v>
      </c>
    </row>
    <row r="64" ht="14.25" customHeight="1" spans="1:14">
      <c r="A64" s="362" t="s">
        <v>259</v>
      </c>
      <c r="B64" s="362" t="s">
        <v>2822</v>
      </c>
      <c r="C64" s="362">
        <v>16920</v>
      </c>
      <c r="D64" s="362">
        <v>19190</v>
      </c>
      <c r="E64" s="362">
        <v>22200</v>
      </c>
      <c r="F64" s="362">
        <v>4390</v>
      </c>
      <c r="G64" s="362">
        <v>13030</v>
      </c>
      <c r="N64" s="366" t="s">
        <v>3097</v>
      </c>
    </row>
    <row r="65" s="347" customFormat="1" ht="14.25" customHeight="1" spans="1:7">
      <c r="A65" s="362" t="s">
        <v>259</v>
      </c>
      <c r="B65" s="362" t="s">
        <v>2832</v>
      </c>
      <c r="C65" s="362">
        <v>19290</v>
      </c>
      <c r="D65" s="362">
        <v>17020</v>
      </c>
      <c r="E65" s="362">
        <v>19880</v>
      </c>
      <c r="F65" s="362">
        <v>4070</v>
      </c>
      <c r="G65" s="362">
        <v>11550</v>
      </c>
    </row>
    <row r="66" s="347" customFormat="1" ht="14.25" customHeight="1" spans="1:7">
      <c r="A66" s="362" t="s">
        <v>259</v>
      </c>
      <c r="B66" s="362" t="s">
        <v>2842</v>
      </c>
      <c r="C66" s="362">
        <v>17090</v>
      </c>
      <c r="D66" s="362">
        <v>18340</v>
      </c>
      <c r="E66" s="362">
        <v>21830</v>
      </c>
      <c r="F66" s="362">
        <v>4690</v>
      </c>
      <c r="G66" s="362">
        <v>12450</v>
      </c>
    </row>
    <row r="67" s="347" customFormat="1" ht="14.25" customHeight="1" spans="1:7">
      <c r="A67" s="362" t="s">
        <v>259</v>
      </c>
      <c r="B67" s="362" t="s">
        <v>2852</v>
      </c>
      <c r="C67" s="362">
        <v>18420</v>
      </c>
      <c r="D67" s="362">
        <v>16360</v>
      </c>
      <c r="E67" s="362">
        <v>20020</v>
      </c>
      <c r="F67" s="362">
        <v>5150</v>
      </c>
      <c r="G67" s="362">
        <v>11110</v>
      </c>
    </row>
    <row r="68" s="347" customFormat="1" ht="14.25" customHeight="1" spans="1:7">
      <c r="A68" s="362" t="s">
        <v>259</v>
      </c>
      <c r="B68" s="362" t="s">
        <v>2862</v>
      </c>
      <c r="C68" s="362">
        <v>16450</v>
      </c>
      <c r="D68" s="362">
        <v>18430</v>
      </c>
      <c r="E68" s="362">
        <v>21010</v>
      </c>
      <c r="F68" s="362">
        <v>4720</v>
      </c>
      <c r="G68" s="362">
        <v>12510</v>
      </c>
    </row>
    <row r="69" s="347" customFormat="1" ht="14.25" customHeight="1" spans="1:7">
      <c r="A69" s="362" t="s">
        <v>259</v>
      </c>
      <c r="B69" s="362" t="s">
        <v>2872</v>
      </c>
      <c r="C69" s="362">
        <v>18510</v>
      </c>
      <c r="D69" s="362">
        <v>16300</v>
      </c>
      <c r="E69" s="362">
        <v>18830</v>
      </c>
      <c r="F69" s="362">
        <v>5400</v>
      </c>
      <c r="G69" s="362">
        <v>11070</v>
      </c>
    </row>
    <row r="70" s="347" customFormat="1" ht="14.25" customHeight="1" spans="1:7">
      <c r="A70" s="362" t="s">
        <v>259</v>
      </c>
      <c r="B70" s="362" t="s">
        <v>2882</v>
      </c>
      <c r="C70" s="362">
        <v>16370</v>
      </c>
      <c r="D70" s="362">
        <v>18620</v>
      </c>
      <c r="E70" s="362">
        <v>21100</v>
      </c>
      <c r="F70" s="362">
        <v>5700</v>
      </c>
      <c r="G70" s="362">
        <v>12640</v>
      </c>
    </row>
    <row r="71" s="347" customFormat="1" ht="14.25" customHeight="1" spans="1:7">
      <c r="A71" s="362" t="s">
        <v>259</v>
      </c>
      <c r="B71" s="362" t="s">
        <v>2892</v>
      </c>
      <c r="C71" s="362">
        <v>18700</v>
      </c>
      <c r="D71" s="362">
        <v>16290</v>
      </c>
      <c r="E71" s="362">
        <v>18760</v>
      </c>
      <c r="F71" s="362">
        <v>4780</v>
      </c>
      <c r="G71" s="362">
        <v>11050</v>
      </c>
    </row>
    <row r="72" s="347" customFormat="1" ht="14.25" customHeight="1" spans="1:7">
      <c r="A72" s="362" t="s">
        <v>259</v>
      </c>
      <c r="B72" s="362" t="s">
        <v>2902</v>
      </c>
      <c r="C72" s="362">
        <v>16340</v>
      </c>
      <c r="D72" s="362">
        <v>17520</v>
      </c>
      <c r="E72" s="362">
        <v>21170</v>
      </c>
      <c r="F72" s="362"/>
      <c r="G72" s="362">
        <v>11900</v>
      </c>
    </row>
    <row r="73" s="347" customFormat="1" ht="14.25" customHeight="1" spans="1:7">
      <c r="A73" s="362" t="s">
        <v>259</v>
      </c>
      <c r="B73" s="362" t="s">
        <v>2912</v>
      </c>
      <c r="C73" s="362">
        <v>17610</v>
      </c>
      <c r="D73" s="362">
        <v>18520</v>
      </c>
      <c r="E73" s="362">
        <v>18720</v>
      </c>
      <c r="F73" s="362"/>
      <c r="G73" s="362">
        <v>12570</v>
      </c>
    </row>
    <row r="74" s="347" customFormat="1" ht="14.25" customHeight="1" spans="1:7">
      <c r="A74" s="362" t="s">
        <v>259</v>
      </c>
      <c r="B74" s="362" t="s">
        <v>2922</v>
      </c>
      <c r="C74" s="362">
        <v>18600</v>
      </c>
      <c r="D74" s="362">
        <v>16480</v>
      </c>
      <c r="E74" s="362">
        <v>20100</v>
      </c>
      <c r="F74" s="362"/>
      <c r="G74" s="362">
        <v>11190</v>
      </c>
    </row>
    <row r="75" s="347" customFormat="1" ht="14.25" customHeight="1" spans="1:7">
      <c r="A75" s="362" t="s">
        <v>259</v>
      </c>
      <c r="B75" s="362" t="s">
        <v>2931</v>
      </c>
      <c r="C75" s="362">
        <v>16570</v>
      </c>
      <c r="D75" s="362">
        <v>17530</v>
      </c>
      <c r="E75" s="362">
        <v>21030</v>
      </c>
      <c r="F75" s="362"/>
      <c r="G75" s="362">
        <v>11900</v>
      </c>
    </row>
    <row r="76" s="347" customFormat="1" ht="14.25" customHeight="1" spans="1:7">
      <c r="A76" s="362" t="s">
        <v>259</v>
      </c>
      <c r="B76" s="362" t="s">
        <v>2939</v>
      </c>
      <c r="C76" s="362">
        <v>17610</v>
      </c>
      <c r="D76" s="362">
        <v>20800</v>
      </c>
      <c r="E76" s="362">
        <v>18920</v>
      </c>
      <c r="F76" s="362"/>
      <c r="G76" s="362">
        <v>14120</v>
      </c>
    </row>
    <row r="77" s="347" customFormat="1" ht="14.25" customHeight="1" spans="1:7">
      <c r="A77" s="362" t="s">
        <v>259</v>
      </c>
      <c r="B77" s="362" t="s">
        <v>2947</v>
      </c>
      <c r="C77" s="362">
        <v>20890</v>
      </c>
      <c r="D77" s="362">
        <v>19740</v>
      </c>
      <c r="E77" s="362">
        <v>20110</v>
      </c>
      <c r="F77" s="362"/>
      <c r="G77" s="362">
        <v>13400</v>
      </c>
    </row>
    <row r="78" s="347" customFormat="1" ht="14.25" customHeight="1" spans="1:7">
      <c r="A78" s="362" t="s">
        <v>259</v>
      </c>
      <c r="B78" s="362" t="s">
        <v>2955</v>
      </c>
      <c r="C78" s="362">
        <v>19820</v>
      </c>
      <c r="D78" s="362">
        <v>19780</v>
      </c>
      <c r="E78" s="362">
        <v>18560</v>
      </c>
      <c r="F78" s="362"/>
      <c r="G78" s="362">
        <v>13430</v>
      </c>
    </row>
    <row r="79" s="347" customFormat="1" ht="14.25" customHeight="1" spans="1:7">
      <c r="A79" s="362" t="s">
        <v>259</v>
      </c>
      <c r="B79" s="362" t="s">
        <v>2963</v>
      </c>
      <c r="C79" s="362">
        <v>21660</v>
      </c>
      <c r="D79" s="362">
        <v>18000</v>
      </c>
      <c r="E79" s="362">
        <v>22570</v>
      </c>
      <c r="F79" s="362"/>
      <c r="G79" s="362">
        <v>12220</v>
      </c>
    </row>
    <row r="80" s="347" customFormat="1" ht="14.25" customHeight="1" spans="1:7">
      <c r="A80" s="362" t="s">
        <v>259</v>
      </c>
      <c r="B80" s="362" t="s">
        <v>2970</v>
      </c>
      <c r="C80" s="362">
        <v>19850</v>
      </c>
      <c r="D80" s="362"/>
      <c r="E80" s="362">
        <v>21700</v>
      </c>
      <c r="F80" s="362"/>
      <c r="G80" s="362"/>
    </row>
    <row r="81" s="347" customFormat="1" ht="14.25" customHeight="1" spans="1:7">
      <c r="A81" s="362" t="s">
        <v>259</v>
      </c>
      <c r="B81" s="362" t="s">
        <v>2977</v>
      </c>
      <c r="C81" s="362">
        <v>18080</v>
      </c>
      <c r="D81" s="362"/>
      <c r="E81" s="362">
        <v>20900</v>
      </c>
      <c r="F81" s="362"/>
      <c r="G81" s="362"/>
    </row>
    <row r="82" s="347" customFormat="1" ht="14.25" customHeight="1" spans="1:7">
      <c r="A82" s="362" t="s">
        <v>259</v>
      </c>
      <c r="B82" s="362" t="s">
        <v>2984</v>
      </c>
      <c r="C82" s="362"/>
      <c r="D82" s="362"/>
      <c r="E82" s="362">
        <v>20840</v>
      </c>
      <c r="F82" s="362"/>
      <c r="G82" s="362"/>
    </row>
    <row r="83" s="347" customFormat="1" ht="14.25" customHeight="1" spans="1:7">
      <c r="A83" s="362" t="s">
        <v>259</v>
      </c>
      <c r="B83" s="362" t="s">
        <v>2991</v>
      </c>
      <c r="C83" s="362"/>
      <c r="D83" s="362"/>
      <c r="E83" s="362"/>
      <c r="F83" s="362">
        <v>4770</v>
      </c>
      <c r="G83" s="362"/>
    </row>
    <row r="84" s="347" customFormat="1" ht="14.25" customHeight="1" spans="1:7">
      <c r="A84" s="362" t="s">
        <v>259</v>
      </c>
      <c r="B84" s="362" t="s">
        <v>2998</v>
      </c>
      <c r="C84" s="362"/>
      <c r="D84" s="362"/>
      <c r="E84" s="362"/>
      <c r="F84" s="362">
        <v>4600</v>
      </c>
      <c r="G84" s="362"/>
    </row>
    <row r="85" s="347" customFormat="1" ht="14.25" customHeight="1" spans="1:7">
      <c r="A85" s="362" t="s">
        <v>259</v>
      </c>
      <c r="B85" s="362" t="s">
        <v>3005</v>
      </c>
      <c r="C85" s="362"/>
      <c r="D85" s="362"/>
      <c r="E85" s="362"/>
      <c r="F85" s="362">
        <v>4680</v>
      </c>
      <c r="G85" s="362"/>
    </row>
    <row r="86" s="347" customFormat="1" ht="14.25" customHeight="1" spans="1:7">
      <c r="A86" s="364" t="s">
        <v>259</v>
      </c>
      <c r="B86" s="367" t="s">
        <v>3012</v>
      </c>
      <c r="C86" s="368">
        <v>16610</v>
      </c>
      <c r="D86" s="368">
        <v>16540</v>
      </c>
      <c r="E86" s="368">
        <v>18850</v>
      </c>
      <c r="F86" s="368"/>
      <c r="G86" s="368">
        <v>11220</v>
      </c>
    </row>
    <row r="87" s="347" customFormat="1" ht="14.25" customHeight="1" spans="1:7">
      <c r="A87" s="360" t="s">
        <v>267</v>
      </c>
      <c r="B87" s="361" t="s">
        <v>2719</v>
      </c>
      <c r="C87" s="361">
        <v>15240</v>
      </c>
      <c r="D87" s="361">
        <v>15170</v>
      </c>
      <c r="E87" s="361">
        <v>18260</v>
      </c>
      <c r="F87" s="361">
        <v>3830</v>
      </c>
      <c r="G87" s="369">
        <v>10020</v>
      </c>
    </row>
    <row r="88" s="347" customFormat="1" ht="14.25" customHeight="1" spans="1:7">
      <c r="A88" s="362" t="s">
        <v>267</v>
      </c>
      <c r="B88" s="362" t="s">
        <v>2732</v>
      </c>
      <c r="C88" s="362">
        <v>17310</v>
      </c>
      <c r="D88" s="362">
        <v>17220</v>
      </c>
      <c r="E88" s="362">
        <v>18610</v>
      </c>
      <c r="F88" s="362">
        <v>3990</v>
      </c>
      <c r="G88" s="370">
        <v>11380</v>
      </c>
    </row>
    <row r="89" s="347" customFormat="1" ht="14.25" customHeight="1" spans="1:7">
      <c r="A89" s="362" t="s">
        <v>267</v>
      </c>
      <c r="B89" s="362" t="s">
        <v>2746</v>
      </c>
      <c r="C89" s="362">
        <v>15600</v>
      </c>
      <c r="D89" s="362">
        <v>15550</v>
      </c>
      <c r="E89" s="362">
        <v>19200</v>
      </c>
      <c r="F89" s="362">
        <v>4110</v>
      </c>
      <c r="G89" s="370">
        <v>10270</v>
      </c>
    </row>
    <row r="90" s="347" customFormat="1" ht="14.25" customHeight="1" spans="1:7">
      <c r="A90" s="362" t="s">
        <v>267</v>
      </c>
      <c r="B90" s="362" t="s">
        <v>2758</v>
      </c>
      <c r="C90" s="362">
        <v>17330</v>
      </c>
      <c r="D90" s="362">
        <v>17240</v>
      </c>
      <c r="E90" s="362">
        <v>18570</v>
      </c>
      <c r="F90" s="362">
        <v>4070</v>
      </c>
      <c r="G90" s="370">
        <v>11390</v>
      </c>
    </row>
    <row r="91" s="347" customFormat="1" ht="14.25" customHeight="1" spans="1:7">
      <c r="A91" s="362" t="s">
        <v>267</v>
      </c>
      <c r="B91" s="362" t="s">
        <v>2770</v>
      </c>
      <c r="C91" s="362">
        <v>16330</v>
      </c>
      <c r="D91" s="362">
        <v>16260</v>
      </c>
      <c r="E91" s="362">
        <v>16800</v>
      </c>
      <c r="F91" s="362">
        <v>3410</v>
      </c>
      <c r="G91" s="370">
        <v>10740</v>
      </c>
    </row>
    <row r="92" s="347" customFormat="1" ht="14.25" customHeight="1" spans="1:7">
      <c r="A92" s="362" t="s">
        <v>267</v>
      </c>
      <c r="B92" s="362" t="s">
        <v>2781</v>
      </c>
      <c r="C92" s="362">
        <v>15570</v>
      </c>
      <c r="D92" s="362">
        <v>15500</v>
      </c>
      <c r="E92" s="362">
        <v>17360</v>
      </c>
      <c r="F92" s="362">
        <v>3510</v>
      </c>
      <c r="G92" s="370">
        <v>10240</v>
      </c>
    </row>
    <row r="93" s="347" customFormat="1" ht="14.25" customHeight="1" spans="1:7">
      <c r="A93" s="362" t="s">
        <v>267</v>
      </c>
      <c r="B93" s="362" t="s">
        <v>2792</v>
      </c>
      <c r="C93" s="362">
        <v>14000</v>
      </c>
      <c r="D93" s="362">
        <v>13930</v>
      </c>
      <c r="E93" s="362">
        <v>18200</v>
      </c>
      <c r="F93" s="362">
        <v>3640</v>
      </c>
      <c r="G93" s="370">
        <v>9210</v>
      </c>
    </row>
    <row r="94" s="347" customFormat="1" ht="14.25" customHeight="1" spans="1:7">
      <c r="A94" s="362" t="s">
        <v>267</v>
      </c>
      <c r="B94" s="362" t="s">
        <v>2803</v>
      </c>
      <c r="C94" s="362">
        <v>14530</v>
      </c>
      <c r="D94" s="362">
        <v>14470</v>
      </c>
      <c r="E94" s="362">
        <v>18240</v>
      </c>
      <c r="F94" s="362">
        <v>3180</v>
      </c>
      <c r="G94" s="370">
        <v>9560</v>
      </c>
    </row>
    <row r="95" s="347" customFormat="1" ht="14.25" customHeight="1" spans="1:7">
      <c r="A95" s="362" t="s">
        <v>267</v>
      </c>
      <c r="B95" s="362" t="s">
        <v>2813</v>
      </c>
      <c r="C95" s="362">
        <v>17330</v>
      </c>
      <c r="D95" s="362">
        <v>17260</v>
      </c>
      <c r="E95" s="362">
        <v>18420</v>
      </c>
      <c r="F95" s="362">
        <v>3060</v>
      </c>
      <c r="G95" s="370">
        <v>11410</v>
      </c>
    </row>
    <row r="96" s="347" customFormat="1" ht="14.25" customHeight="1" spans="1:7">
      <c r="A96" s="362" t="s">
        <v>267</v>
      </c>
      <c r="B96" s="362" t="s">
        <v>2823</v>
      </c>
      <c r="C96" s="362">
        <v>15030</v>
      </c>
      <c r="D96" s="362">
        <v>14970</v>
      </c>
      <c r="E96" s="362">
        <v>17580</v>
      </c>
      <c r="F96" s="362">
        <v>2970</v>
      </c>
      <c r="G96" s="370">
        <v>9890</v>
      </c>
    </row>
    <row r="97" s="347" customFormat="1" ht="14.25" customHeight="1" spans="1:7">
      <c r="A97" s="362" t="s">
        <v>267</v>
      </c>
      <c r="B97" s="362" t="s">
        <v>2833</v>
      </c>
      <c r="C97" s="362">
        <v>17400</v>
      </c>
      <c r="D97" s="362">
        <v>17330</v>
      </c>
      <c r="E97" s="362">
        <v>16430</v>
      </c>
      <c r="F97" s="362">
        <v>2950</v>
      </c>
      <c r="G97" s="370">
        <v>11450</v>
      </c>
    </row>
    <row r="98" s="347" customFormat="1" ht="14.25" customHeight="1" spans="1:7">
      <c r="A98" s="362" t="s">
        <v>267</v>
      </c>
      <c r="B98" s="362" t="s">
        <v>2843</v>
      </c>
      <c r="C98" s="362">
        <v>15200</v>
      </c>
      <c r="D98" s="362">
        <v>15120</v>
      </c>
      <c r="E98" s="362">
        <v>17550</v>
      </c>
      <c r="F98" s="362">
        <v>3080</v>
      </c>
      <c r="G98" s="370">
        <v>9990</v>
      </c>
    </row>
    <row r="99" s="347" customFormat="1" ht="14.25" customHeight="1" spans="1:7">
      <c r="A99" s="362" t="s">
        <v>267</v>
      </c>
      <c r="B99" s="362" t="s">
        <v>2853</v>
      </c>
      <c r="C99" s="362">
        <v>17520</v>
      </c>
      <c r="D99" s="362">
        <v>17430</v>
      </c>
      <c r="E99" s="362">
        <v>16350</v>
      </c>
      <c r="F99" s="362">
        <v>3260</v>
      </c>
      <c r="G99" s="370">
        <v>11510</v>
      </c>
    </row>
    <row r="100" s="347" customFormat="1" ht="14.25" customHeight="1" spans="1:7">
      <c r="A100" s="362" t="s">
        <v>267</v>
      </c>
      <c r="B100" s="362" t="s">
        <v>2863</v>
      </c>
      <c r="C100" s="362">
        <v>15340</v>
      </c>
      <c r="D100" s="362">
        <v>15260</v>
      </c>
      <c r="E100" s="362">
        <v>15930</v>
      </c>
      <c r="F100" s="362">
        <v>2740</v>
      </c>
      <c r="G100" s="370">
        <v>10080</v>
      </c>
    </row>
    <row r="101" s="347" customFormat="1" ht="14.25" customHeight="1" spans="1:7">
      <c r="A101" s="362" t="s">
        <v>267</v>
      </c>
      <c r="B101" s="362" t="s">
        <v>2873</v>
      </c>
      <c r="C101" s="362">
        <v>14620</v>
      </c>
      <c r="D101" s="362">
        <v>14560</v>
      </c>
      <c r="E101" s="362">
        <v>15570</v>
      </c>
      <c r="F101" s="362">
        <v>3500</v>
      </c>
      <c r="G101" s="370">
        <v>9630</v>
      </c>
    </row>
    <row r="102" s="347" customFormat="1" ht="14.25" customHeight="1" spans="1:7">
      <c r="A102" s="362" t="s">
        <v>267</v>
      </c>
      <c r="B102" s="362" t="s">
        <v>2883</v>
      </c>
      <c r="C102" s="362">
        <v>13680</v>
      </c>
      <c r="D102" s="362">
        <v>13610</v>
      </c>
      <c r="E102" s="362">
        <v>15690</v>
      </c>
      <c r="F102" s="362">
        <v>2870</v>
      </c>
      <c r="G102" s="370">
        <v>8990</v>
      </c>
    </row>
    <row r="103" s="347" customFormat="1" ht="14.25" customHeight="1" spans="1:7">
      <c r="A103" s="362" t="s">
        <v>267</v>
      </c>
      <c r="B103" s="362" t="s">
        <v>2893</v>
      </c>
      <c r="C103" s="362">
        <v>14620</v>
      </c>
      <c r="D103" s="362">
        <v>14540</v>
      </c>
      <c r="E103" s="362">
        <v>15240</v>
      </c>
      <c r="F103" s="362">
        <v>2840</v>
      </c>
      <c r="G103" s="370">
        <v>9610</v>
      </c>
    </row>
    <row r="104" s="347" customFormat="1" ht="14.25" customHeight="1" spans="1:7">
      <c r="A104" s="362" t="s">
        <v>267</v>
      </c>
      <c r="B104" s="362" t="s">
        <v>2903</v>
      </c>
      <c r="C104" s="362">
        <v>13610</v>
      </c>
      <c r="D104" s="362">
        <v>13540</v>
      </c>
      <c r="E104" s="362">
        <v>15750</v>
      </c>
      <c r="F104" s="362">
        <v>2770</v>
      </c>
      <c r="G104" s="370">
        <v>8940</v>
      </c>
    </row>
    <row r="105" s="347" customFormat="1" ht="14.25" customHeight="1" spans="1:7">
      <c r="A105" s="362" t="s">
        <v>267</v>
      </c>
      <c r="B105" s="362" t="s">
        <v>2913</v>
      </c>
      <c r="C105" s="362">
        <v>13310</v>
      </c>
      <c r="D105" s="362">
        <v>13240</v>
      </c>
      <c r="E105" s="362">
        <v>16280</v>
      </c>
      <c r="F105" s="362">
        <v>3210</v>
      </c>
      <c r="G105" s="370">
        <v>8750</v>
      </c>
    </row>
    <row r="106" s="347" customFormat="1" ht="14.25" customHeight="1" spans="1:7">
      <c r="A106" s="362" t="s">
        <v>267</v>
      </c>
      <c r="B106" s="362" t="s">
        <v>2923</v>
      </c>
      <c r="C106" s="362">
        <v>13010</v>
      </c>
      <c r="D106" s="362">
        <v>12930</v>
      </c>
      <c r="E106" s="362">
        <v>14960</v>
      </c>
      <c r="F106" s="362">
        <v>3530</v>
      </c>
      <c r="G106" s="370">
        <v>8550</v>
      </c>
    </row>
    <row r="107" s="347" customFormat="1" ht="14.25" customHeight="1" spans="1:7">
      <c r="A107" s="362" t="s">
        <v>267</v>
      </c>
      <c r="B107" s="362" t="s">
        <v>2932</v>
      </c>
      <c r="C107" s="362">
        <v>13070</v>
      </c>
      <c r="D107" s="362">
        <v>13000</v>
      </c>
      <c r="E107" s="362">
        <v>15910</v>
      </c>
      <c r="F107" s="362">
        <v>3990</v>
      </c>
      <c r="G107" s="370">
        <v>8580</v>
      </c>
    </row>
    <row r="108" s="347" customFormat="1" ht="14.25" customHeight="1" spans="1:7">
      <c r="A108" s="362" t="s">
        <v>267</v>
      </c>
      <c r="B108" s="362" t="s">
        <v>2940</v>
      </c>
      <c r="C108" s="362">
        <v>12640</v>
      </c>
      <c r="D108" s="362">
        <v>12580</v>
      </c>
      <c r="E108" s="362">
        <v>15730</v>
      </c>
      <c r="F108" s="362"/>
      <c r="G108" s="370">
        <v>8310</v>
      </c>
    </row>
    <row r="109" s="347" customFormat="1" ht="14.25" customHeight="1" spans="1:7">
      <c r="A109" s="362" t="s">
        <v>267</v>
      </c>
      <c r="B109" s="362" t="s">
        <v>2948</v>
      </c>
      <c r="C109" s="362">
        <v>13130</v>
      </c>
      <c r="D109" s="362">
        <v>13070</v>
      </c>
      <c r="E109" s="362">
        <v>15000</v>
      </c>
      <c r="F109" s="362"/>
      <c r="G109" s="370">
        <v>8630</v>
      </c>
    </row>
    <row r="110" s="347" customFormat="1" ht="14.25" customHeight="1" spans="1:7">
      <c r="A110" s="362" t="s">
        <v>267</v>
      </c>
      <c r="B110" s="362" t="s">
        <v>2956</v>
      </c>
      <c r="C110" s="362">
        <v>13560</v>
      </c>
      <c r="D110" s="362">
        <v>13490</v>
      </c>
      <c r="E110" s="362">
        <v>16300</v>
      </c>
      <c r="F110" s="362"/>
      <c r="G110" s="370">
        <v>8920</v>
      </c>
    </row>
    <row r="111" s="347" customFormat="1" ht="14.25" customHeight="1" spans="1:7">
      <c r="A111" s="362" t="s">
        <v>267</v>
      </c>
      <c r="B111" s="362" t="s">
        <v>2964</v>
      </c>
      <c r="C111" s="362">
        <v>12440</v>
      </c>
      <c r="D111" s="362">
        <v>12380</v>
      </c>
      <c r="E111" s="362">
        <v>17850</v>
      </c>
      <c r="F111" s="362"/>
      <c r="G111" s="370">
        <v>8180</v>
      </c>
    </row>
    <row r="112" s="347" customFormat="1" ht="14.25" customHeight="1" spans="1:7">
      <c r="A112" s="362" t="s">
        <v>267</v>
      </c>
      <c r="B112" s="362" t="s">
        <v>2971</v>
      </c>
      <c r="C112" s="362">
        <v>13260</v>
      </c>
      <c r="D112" s="362">
        <v>13180</v>
      </c>
      <c r="E112" s="362">
        <v>19740</v>
      </c>
      <c r="F112" s="362"/>
      <c r="G112" s="370">
        <v>8710</v>
      </c>
    </row>
    <row r="113" s="347" customFormat="1" ht="14.25" customHeight="1" spans="1:7">
      <c r="A113" s="362" t="s">
        <v>267</v>
      </c>
      <c r="B113" s="362" t="s">
        <v>2978</v>
      </c>
      <c r="C113" s="362">
        <v>15520</v>
      </c>
      <c r="D113" s="362">
        <v>15450</v>
      </c>
      <c r="E113" s="362"/>
      <c r="F113" s="362"/>
      <c r="G113" s="370">
        <v>10210</v>
      </c>
    </row>
    <row r="114" s="347" customFormat="1" ht="14.25" customHeight="1" spans="1:7">
      <c r="A114" s="362" t="s">
        <v>267</v>
      </c>
      <c r="B114" s="362" t="s">
        <v>2985</v>
      </c>
      <c r="C114" s="362">
        <v>13110</v>
      </c>
      <c r="D114" s="362">
        <v>13050</v>
      </c>
      <c r="E114" s="362"/>
      <c r="F114" s="362"/>
      <c r="G114" s="370">
        <v>8620</v>
      </c>
    </row>
    <row r="115" s="347" customFormat="1" ht="14.25" customHeight="1" spans="1:7">
      <c r="A115" s="362" t="s">
        <v>267</v>
      </c>
      <c r="B115" s="362" t="s">
        <v>2992</v>
      </c>
      <c r="C115" s="362">
        <v>12460</v>
      </c>
      <c r="D115" s="362">
        <v>12390</v>
      </c>
      <c r="E115" s="362"/>
      <c r="F115" s="362"/>
      <c r="G115" s="370">
        <v>8190</v>
      </c>
    </row>
    <row r="116" s="347" customFormat="1" ht="14.25" customHeight="1" spans="1:7">
      <c r="A116" s="362" t="s">
        <v>267</v>
      </c>
      <c r="B116" s="362" t="s">
        <v>2999</v>
      </c>
      <c r="C116" s="362">
        <v>13580</v>
      </c>
      <c r="D116" s="362">
        <v>13520</v>
      </c>
      <c r="E116" s="362"/>
      <c r="F116" s="362"/>
      <c r="G116" s="370">
        <v>8930</v>
      </c>
    </row>
    <row r="117" s="347" customFormat="1" ht="14.25" customHeight="1" spans="1:7">
      <c r="A117" s="362" t="s">
        <v>267</v>
      </c>
      <c r="B117" s="362" t="s">
        <v>3006</v>
      </c>
      <c r="C117" s="362">
        <v>17120</v>
      </c>
      <c r="D117" s="362">
        <v>17040</v>
      </c>
      <c r="E117" s="362"/>
      <c r="F117" s="362"/>
      <c r="G117" s="370">
        <v>11260</v>
      </c>
    </row>
    <row r="118" s="347" customFormat="1" ht="14.25" customHeight="1" spans="1:7">
      <c r="A118" s="362" t="s">
        <v>267</v>
      </c>
      <c r="B118" s="362" t="s">
        <v>3013</v>
      </c>
      <c r="C118" s="362">
        <v>14860</v>
      </c>
      <c r="D118" s="362">
        <v>14790</v>
      </c>
      <c r="E118" s="362"/>
      <c r="F118" s="362"/>
      <c r="G118" s="370">
        <v>9780</v>
      </c>
    </row>
    <row r="119" s="347" customFormat="1" ht="14.25" customHeight="1" spans="1:7">
      <c r="A119" s="362" t="s">
        <v>267</v>
      </c>
      <c r="B119" s="362" t="s">
        <v>3018</v>
      </c>
      <c r="C119" s="362">
        <v>16470</v>
      </c>
      <c r="D119" s="362">
        <v>16400</v>
      </c>
      <c r="E119" s="362"/>
      <c r="F119" s="362"/>
      <c r="G119" s="370">
        <v>10840</v>
      </c>
    </row>
    <row r="120" s="347" customFormat="1" ht="14.25" customHeight="1" spans="1:7">
      <c r="A120" s="362" t="s">
        <v>267</v>
      </c>
      <c r="B120" s="362" t="s">
        <v>3023</v>
      </c>
      <c r="C120" s="362"/>
      <c r="D120" s="362"/>
      <c r="E120" s="362"/>
      <c r="F120" s="362">
        <v>4160</v>
      </c>
      <c r="G120" s="370"/>
    </row>
    <row r="121" s="347" customFormat="1" ht="14.25" customHeight="1" spans="1:7">
      <c r="A121" s="362" t="s">
        <v>267</v>
      </c>
      <c r="B121" s="362" t="s">
        <v>3028</v>
      </c>
      <c r="C121" s="362"/>
      <c r="D121" s="362"/>
      <c r="E121" s="362"/>
      <c r="F121" s="362">
        <v>3880</v>
      </c>
      <c r="G121" s="370"/>
    </row>
    <row r="122" s="347" customFormat="1" ht="14.25" customHeight="1" spans="1:7">
      <c r="A122" s="362" t="s">
        <v>267</v>
      </c>
      <c r="B122" s="362" t="s">
        <v>3033</v>
      </c>
      <c r="C122" s="362">
        <v>13750</v>
      </c>
      <c r="D122" s="362">
        <v>13680</v>
      </c>
      <c r="E122" s="362">
        <v>16460</v>
      </c>
      <c r="F122" s="362">
        <v>2880</v>
      </c>
      <c r="G122" s="370">
        <v>9040</v>
      </c>
    </row>
    <row r="123" s="347" customFormat="1" ht="14.25" customHeight="1" spans="1:7">
      <c r="A123" s="362" t="s">
        <v>267</v>
      </c>
      <c r="B123" s="362" t="s">
        <v>3038</v>
      </c>
      <c r="C123" s="362">
        <v>13590</v>
      </c>
      <c r="D123" s="362">
        <v>13520</v>
      </c>
      <c r="E123" s="362">
        <v>16290</v>
      </c>
      <c r="F123" s="362">
        <v>2790</v>
      </c>
      <c r="G123" s="370">
        <v>8930</v>
      </c>
    </row>
    <row r="124" s="347" customFormat="1" ht="14.25" customHeight="1" spans="1:7">
      <c r="A124" s="362" t="s">
        <v>267</v>
      </c>
      <c r="B124" s="362" t="s">
        <v>3043</v>
      </c>
      <c r="C124" s="362">
        <v>13400</v>
      </c>
      <c r="D124" s="362">
        <v>13320</v>
      </c>
      <c r="E124" s="362">
        <v>16100</v>
      </c>
      <c r="F124" s="362">
        <v>2320</v>
      </c>
      <c r="G124" s="370">
        <v>8800</v>
      </c>
    </row>
    <row r="125" s="347" customFormat="1" ht="14.25" customHeight="1" spans="1:7">
      <c r="A125" s="362" t="s">
        <v>267</v>
      </c>
      <c r="B125" s="362" t="s">
        <v>3048</v>
      </c>
      <c r="C125" s="362">
        <v>12860</v>
      </c>
      <c r="D125" s="362">
        <v>12790</v>
      </c>
      <c r="E125" s="362">
        <v>15370</v>
      </c>
      <c r="F125" s="362">
        <v>2280</v>
      </c>
      <c r="G125" s="370">
        <v>8450</v>
      </c>
    </row>
    <row r="126" s="347" customFormat="1" ht="14.25" customHeight="1" spans="1:7">
      <c r="A126" s="371" t="s">
        <v>267</v>
      </c>
      <c r="B126" s="366" t="s">
        <v>3053</v>
      </c>
      <c r="C126" s="366">
        <v>12960</v>
      </c>
      <c r="D126" s="366">
        <v>12890</v>
      </c>
      <c r="E126" s="366">
        <v>15530</v>
      </c>
      <c r="F126" s="366">
        <v>2910</v>
      </c>
      <c r="G126" s="372">
        <v>8520</v>
      </c>
    </row>
    <row r="127" s="347" customFormat="1" ht="14.25" customHeight="1" spans="1:7">
      <c r="A127" s="360" t="s">
        <v>273</v>
      </c>
      <c r="B127" s="361" t="s">
        <v>2720</v>
      </c>
      <c r="C127" s="362">
        <v>12280</v>
      </c>
      <c r="D127" s="362">
        <v>12250</v>
      </c>
      <c r="E127" s="362">
        <v>15130</v>
      </c>
      <c r="F127" s="362">
        <v>2710</v>
      </c>
      <c r="G127" s="362">
        <v>7870</v>
      </c>
    </row>
    <row r="128" s="347" customFormat="1" ht="14.25" customHeight="1" spans="1:7">
      <c r="A128" s="362" t="s">
        <v>273</v>
      </c>
      <c r="B128" s="362" t="s">
        <v>2733</v>
      </c>
      <c r="C128" s="362">
        <v>13180</v>
      </c>
      <c r="D128" s="362">
        <v>13150</v>
      </c>
      <c r="E128" s="362">
        <v>16190</v>
      </c>
      <c r="F128" s="362">
        <v>2820</v>
      </c>
      <c r="G128" s="362">
        <v>8460</v>
      </c>
    </row>
    <row r="129" s="347" customFormat="1" ht="14.25" customHeight="1" spans="1:7">
      <c r="A129" s="362" t="s">
        <v>273</v>
      </c>
      <c r="B129" s="362" t="s">
        <v>2747</v>
      </c>
      <c r="C129" s="362">
        <v>10950</v>
      </c>
      <c r="D129" s="362">
        <v>10920</v>
      </c>
      <c r="E129" s="362">
        <v>13820</v>
      </c>
      <c r="F129" s="362">
        <v>2500</v>
      </c>
      <c r="G129" s="362">
        <v>7020</v>
      </c>
    </row>
    <row r="130" s="347" customFormat="1" ht="14.25" customHeight="1" spans="1:7">
      <c r="A130" s="362" t="s">
        <v>273</v>
      </c>
      <c r="B130" s="362" t="s">
        <v>2759</v>
      </c>
      <c r="C130" s="362">
        <v>10910</v>
      </c>
      <c r="D130" s="362">
        <v>10860</v>
      </c>
      <c r="E130" s="362">
        <v>13730</v>
      </c>
      <c r="F130" s="362">
        <v>2760</v>
      </c>
      <c r="G130" s="362">
        <v>6990</v>
      </c>
    </row>
    <row r="131" s="347" customFormat="1" ht="14.25" customHeight="1" spans="1:7">
      <c r="A131" s="362" t="s">
        <v>273</v>
      </c>
      <c r="B131" s="362" t="s">
        <v>2771</v>
      </c>
      <c r="C131" s="362">
        <v>12910</v>
      </c>
      <c r="D131" s="362">
        <v>12870</v>
      </c>
      <c r="E131" s="362">
        <v>15720</v>
      </c>
      <c r="F131" s="362">
        <v>2750</v>
      </c>
      <c r="G131" s="362">
        <v>8280</v>
      </c>
    </row>
    <row r="132" s="347" customFormat="1" ht="14.25" customHeight="1" spans="1:7">
      <c r="A132" s="362" t="s">
        <v>273</v>
      </c>
      <c r="B132" s="362" t="s">
        <v>2782</v>
      </c>
      <c r="C132" s="362">
        <v>11910</v>
      </c>
      <c r="D132" s="362">
        <v>11860</v>
      </c>
      <c r="E132" s="362">
        <v>14730</v>
      </c>
      <c r="F132" s="362">
        <v>2360</v>
      </c>
      <c r="G132" s="362">
        <v>7630</v>
      </c>
    </row>
    <row r="133" s="347" customFormat="1" ht="14.25" customHeight="1" spans="1:7">
      <c r="A133" s="362" t="s">
        <v>273</v>
      </c>
      <c r="B133" s="362" t="s">
        <v>2793</v>
      </c>
      <c r="C133" s="362">
        <v>12270</v>
      </c>
      <c r="D133" s="362">
        <v>12210</v>
      </c>
      <c r="E133" s="362">
        <v>15010</v>
      </c>
      <c r="F133" s="362">
        <v>2580</v>
      </c>
      <c r="G133" s="362">
        <v>7860</v>
      </c>
    </row>
    <row r="134" s="347" customFormat="1" ht="14.25" customHeight="1" spans="1:7">
      <c r="A134" s="362" t="s">
        <v>273</v>
      </c>
      <c r="B134" s="362" t="s">
        <v>2804</v>
      </c>
      <c r="C134" s="362">
        <v>10800</v>
      </c>
      <c r="D134" s="362">
        <v>10780</v>
      </c>
      <c r="E134" s="362">
        <v>13640</v>
      </c>
      <c r="F134" s="362">
        <v>2110</v>
      </c>
      <c r="G134" s="362">
        <v>6930</v>
      </c>
    </row>
    <row r="135" s="347" customFormat="1" ht="14.25" customHeight="1" spans="1:7">
      <c r="A135" s="362" t="s">
        <v>273</v>
      </c>
      <c r="B135" s="362" t="s">
        <v>2814</v>
      </c>
      <c r="C135" s="362">
        <v>10430</v>
      </c>
      <c r="D135" s="362">
        <v>10390</v>
      </c>
      <c r="E135" s="362">
        <v>13140</v>
      </c>
      <c r="F135" s="362">
        <v>2240</v>
      </c>
      <c r="G135" s="362">
        <v>6680</v>
      </c>
    </row>
    <row r="136" s="347" customFormat="1" ht="14.25" customHeight="1" spans="1:7">
      <c r="A136" s="362" t="s">
        <v>273</v>
      </c>
      <c r="B136" s="362" t="s">
        <v>2824</v>
      </c>
      <c r="C136" s="362">
        <v>11930</v>
      </c>
      <c r="D136" s="362">
        <v>11880</v>
      </c>
      <c r="E136" s="362">
        <v>14770</v>
      </c>
      <c r="F136" s="362">
        <v>1970</v>
      </c>
      <c r="G136" s="362">
        <v>7640</v>
      </c>
    </row>
    <row r="137" s="347" customFormat="1" ht="14.25" customHeight="1" spans="1:7">
      <c r="A137" s="362" t="s">
        <v>273</v>
      </c>
      <c r="B137" s="362" t="s">
        <v>2834</v>
      </c>
      <c r="C137" s="362">
        <v>10470</v>
      </c>
      <c r="D137" s="362">
        <v>10430</v>
      </c>
      <c r="E137" s="362">
        <v>13190</v>
      </c>
      <c r="F137" s="362">
        <v>1990</v>
      </c>
      <c r="G137" s="362">
        <v>6710</v>
      </c>
    </row>
    <row r="138" s="347" customFormat="1" ht="14.25" customHeight="1" spans="1:7">
      <c r="A138" s="362" t="s">
        <v>273</v>
      </c>
      <c r="B138" s="362" t="s">
        <v>2844</v>
      </c>
      <c r="C138" s="362">
        <v>10410</v>
      </c>
      <c r="D138" s="362">
        <v>10380</v>
      </c>
      <c r="E138" s="362">
        <v>13130</v>
      </c>
      <c r="F138" s="362">
        <v>2030</v>
      </c>
      <c r="G138" s="362">
        <v>6680</v>
      </c>
    </row>
    <row r="139" s="347" customFormat="1" ht="14.25" customHeight="1" spans="1:7">
      <c r="A139" s="362" t="s">
        <v>273</v>
      </c>
      <c r="B139" s="362" t="s">
        <v>2854</v>
      </c>
      <c r="C139" s="362">
        <v>9460</v>
      </c>
      <c r="D139" s="362">
        <v>9410</v>
      </c>
      <c r="E139" s="362">
        <v>12050</v>
      </c>
      <c r="F139" s="362">
        <v>2140</v>
      </c>
      <c r="G139" s="362">
        <v>6050</v>
      </c>
    </row>
    <row r="140" s="347" customFormat="1" ht="14.25" customHeight="1" spans="1:7">
      <c r="A140" s="362" t="s">
        <v>273</v>
      </c>
      <c r="B140" s="362" t="s">
        <v>2864</v>
      </c>
      <c r="C140" s="362">
        <v>11030</v>
      </c>
      <c r="D140" s="362">
        <v>10980</v>
      </c>
      <c r="E140" s="362">
        <v>13880</v>
      </c>
      <c r="F140" s="362">
        <v>2210</v>
      </c>
      <c r="G140" s="362">
        <v>7060</v>
      </c>
    </row>
    <row r="141" s="347" customFormat="1" ht="14.25" customHeight="1" spans="1:7">
      <c r="A141" s="362" t="s">
        <v>273</v>
      </c>
      <c r="B141" s="362" t="s">
        <v>2874</v>
      </c>
      <c r="C141" s="362">
        <v>11200</v>
      </c>
      <c r="D141" s="362">
        <v>11150</v>
      </c>
      <c r="E141" s="362">
        <v>14100</v>
      </c>
      <c r="F141" s="362">
        <v>2470</v>
      </c>
      <c r="G141" s="362">
        <v>7170</v>
      </c>
    </row>
    <row r="142" s="347" customFormat="1" ht="14.25" customHeight="1" spans="1:7">
      <c r="A142" s="362" t="s">
        <v>273</v>
      </c>
      <c r="B142" s="362" t="s">
        <v>2884</v>
      </c>
      <c r="C142" s="362">
        <v>10780</v>
      </c>
      <c r="D142" s="362">
        <v>10730</v>
      </c>
      <c r="E142" s="362">
        <v>13540</v>
      </c>
      <c r="F142" s="362">
        <v>2280</v>
      </c>
      <c r="G142" s="362">
        <v>6900</v>
      </c>
    </row>
    <row r="143" s="347" customFormat="1" ht="14.25" customHeight="1" spans="1:7">
      <c r="A143" s="362" t="s">
        <v>273</v>
      </c>
      <c r="B143" s="362" t="s">
        <v>2894</v>
      </c>
      <c r="C143" s="362">
        <v>11550</v>
      </c>
      <c r="D143" s="362">
        <v>11490</v>
      </c>
      <c r="E143" s="362">
        <v>14480</v>
      </c>
      <c r="F143" s="362">
        <v>2070</v>
      </c>
      <c r="G143" s="362">
        <v>7390</v>
      </c>
    </row>
    <row r="144" s="347" customFormat="1" ht="14.25" customHeight="1" spans="1:7">
      <c r="A144" s="362" t="s">
        <v>273</v>
      </c>
      <c r="B144" s="362" t="s">
        <v>2904</v>
      </c>
      <c r="C144" s="362">
        <v>10720</v>
      </c>
      <c r="D144" s="362">
        <v>10680</v>
      </c>
      <c r="E144" s="362">
        <v>13480</v>
      </c>
      <c r="F144" s="362">
        <v>2440</v>
      </c>
      <c r="G144" s="362">
        <v>6870</v>
      </c>
    </row>
    <row r="145" s="347" customFormat="1" ht="14.25" customHeight="1" spans="1:7">
      <c r="A145" s="362" t="s">
        <v>273</v>
      </c>
      <c r="B145" s="362" t="s">
        <v>2914</v>
      </c>
      <c r="C145" s="362">
        <v>10340</v>
      </c>
      <c r="D145" s="362">
        <v>10290</v>
      </c>
      <c r="E145" s="362">
        <v>12880</v>
      </c>
      <c r="F145" s="362">
        <v>2650</v>
      </c>
      <c r="G145" s="362">
        <v>6620</v>
      </c>
    </row>
    <row r="146" s="347" customFormat="1" ht="14.25" customHeight="1" spans="1:7">
      <c r="A146" s="362" t="s">
        <v>273</v>
      </c>
      <c r="B146" s="362" t="s">
        <v>2924</v>
      </c>
      <c r="C146" s="362">
        <v>11890</v>
      </c>
      <c r="D146" s="362">
        <v>11830</v>
      </c>
      <c r="E146" s="362">
        <v>14670</v>
      </c>
      <c r="F146" s="362"/>
      <c r="G146" s="362">
        <v>7610</v>
      </c>
    </row>
    <row r="147" s="347" customFormat="1" ht="14.25" customHeight="1" spans="1:7">
      <c r="A147" s="362" t="s">
        <v>273</v>
      </c>
      <c r="B147" s="362" t="s">
        <v>2933</v>
      </c>
      <c r="C147" s="362">
        <v>12650</v>
      </c>
      <c r="D147" s="362">
        <v>12600</v>
      </c>
      <c r="E147" s="362">
        <v>15440</v>
      </c>
      <c r="F147" s="362"/>
      <c r="G147" s="362">
        <v>8110</v>
      </c>
    </row>
    <row r="148" s="347" customFormat="1" ht="14.25" customHeight="1" spans="1:7">
      <c r="A148" s="362" t="s">
        <v>273</v>
      </c>
      <c r="B148" s="362" t="s">
        <v>2941</v>
      </c>
      <c r="C148" s="362">
        <v>10370</v>
      </c>
      <c r="D148" s="362">
        <v>10310</v>
      </c>
      <c r="E148" s="362">
        <v>12970</v>
      </c>
      <c r="F148" s="362"/>
      <c r="G148" s="362">
        <v>6630</v>
      </c>
    </row>
    <row r="149" s="347" customFormat="1" ht="14.25" customHeight="1" spans="1:7">
      <c r="A149" s="362" t="s">
        <v>273</v>
      </c>
      <c r="B149" s="362" t="s">
        <v>2949</v>
      </c>
      <c r="C149" s="362">
        <v>11600</v>
      </c>
      <c r="D149" s="362">
        <v>11560</v>
      </c>
      <c r="E149" s="362">
        <v>14540</v>
      </c>
      <c r="F149" s="362">
        <v>2390</v>
      </c>
      <c r="G149" s="362">
        <v>7430</v>
      </c>
    </row>
    <row r="150" s="347" customFormat="1" ht="14.25" customHeight="1" spans="1:7">
      <c r="A150" s="362" t="s">
        <v>273</v>
      </c>
      <c r="B150" s="362" t="s">
        <v>2957</v>
      </c>
      <c r="C150" s="362">
        <v>9950</v>
      </c>
      <c r="D150" s="362">
        <v>9890</v>
      </c>
      <c r="E150" s="362">
        <v>12590</v>
      </c>
      <c r="F150" s="362">
        <v>1970</v>
      </c>
      <c r="G150" s="362">
        <v>6360</v>
      </c>
    </row>
    <row r="151" s="347" customFormat="1" ht="14.25" customHeight="1" spans="1:7">
      <c r="A151" s="362" t="s">
        <v>273</v>
      </c>
      <c r="B151" s="362" t="s">
        <v>2965</v>
      </c>
      <c r="C151" s="362">
        <v>10700</v>
      </c>
      <c r="D151" s="362">
        <v>10650</v>
      </c>
      <c r="E151" s="362">
        <v>13420</v>
      </c>
      <c r="F151" s="362">
        <v>2020</v>
      </c>
      <c r="G151" s="362">
        <v>6850</v>
      </c>
    </row>
    <row r="152" s="347" customFormat="1" ht="14.25" customHeight="1" spans="1:7">
      <c r="A152" s="362" t="s">
        <v>273</v>
      </c>
      <c r="B152" s="362" t="s">
        <v>2972</v>
      </c>
      <c r="C152" s="362">
        <v>10310</v>
      </c>
      <c r="D152" s="362">
        <v>10260</v>
      </c>
      <c r="E152" s="362">
        <v>12820</v>
      </c>
      <c r="F152" s="362">
        <v>1980</v>
      </c>
      <c r="G152" s="362">
        <v>6600</v>
      </c>
    </row>
    <row r="153" s="347" customFormat="1" ht="14.25" customHeight="1" spans="1:7">
      <c r="A153" s="362" t="s">
        <v>273</v>
      </c>
      <c r="B153" s="362" t="s">
        <v>2979</v>
      </c>
      <c r="C153" s="362">
        <v>10880</v>
      </c>
      <c r="D153" s="362">
        <v>10820</v>
      </c>
      <c r="E153" s="362">
        <v>13660</v>
      </c>
      <c r="F153" s="362">
        <v>2260</v>
      </c>
      <c r="G153" s="362">
        <v>6970</v>
      </c>
    </row>
    <row r="154" s="347" customFormat="1" ht="14.25" customHeight="1" spans="1:7">
      <c r="A154" s="362" t="s">
        <v>273</v>
      </c>
      <c r="B154" s="362" t="s">
        <v>2986</v>
      </c>
      <c r="C154" s="362">
        <v>11220</v>
      </c>
      <c r="D154" s="362">
        <v>11160</v>
      </c>
      <c r="E154" s="362">
        <v>14130</v>
      </c>
      <c r="F154" s="362">
        <v>2230</v>
      </c>
      <c r="G154" s="362">
        <v>7180</v>
      </c>
    </row>
    <row r="155" s="347" customFormat="1" ht="14.25" customHeight="1" spans="1:7">
      <c r="A155" s="362" t="s">
        <v>273</v>
      </c>
      <c r="B155" s="362" t="s">
        <v>2993</v>
      </c>
      <c r="C155" s="362">
        <v>10430</v>
      </c>
      <c r="D155" s="362">
        <v>10380</v>
      </c>
      <c r="E155" s="362">
        <v>13140</v>
      </c>
      <c r="F155" s="362">
        <v>2080</v>
      </c>
      <c r="G155" s="362">
        <v>6650</v>
      </c>
    </row>
    <row r="156" s="347" customFormat="1" ht="14.25" customHeight="1" spans="1:7">
      <c r="A156" s="362" t="s">
        <v>273</v>
      </c>
      <c r="B156" s="362" t="s">
        <v>3000</v>
      </c>
      <c r="C156" s="362">
        <v>10440</v>
      </c>
      <c r="D156" s="362">
        <v>10400</v>
      </c>
      <c r="E156" s="362">
        <v>13150</v>
      </c>
      <c r="F156" s="362">
        <v>2490</v>
      </c>
      <c r="G156" s="362">
        <v>6690</v>
      </c>
    </row>
    <row r="157" s="347" customFormat="1" ht="14.25" customHeight="1" spans="1:7">
      <c r="A157" s="362" t="s">
        <v>273</v>
      </c>
      <c r="B157" s="362" t="s">
        <v>3007</v>
      </c>
      <c r="C157" s="362">
        <v>10970</v>
      </c>
      <c r="D157" s="362">
        <v>10920</v>
      </c>
      <c r="E157" s="362">
        <v>13840</v>
      </c>
      <c r="F157" s="362">
        <v>2420</v>
      </c>
      <c r="G157" s="362">
        <v>7020</v>
      </c>
    </row>
    <row r="158" s="347" customFormat="1" ht="14.25" customHeight="1" spans="1:7">
      <c r="A158" s="362" t="s">
        <v>273</v>
      </c>
      <c r="B158" s="362" t="s">
        <v>3014</v>
      </c>
      <c r="C158" s="362">
        <v>9590</v>
      </c>
      <c r="D158" s="362">
        <v>9540</v>
      </c>
      <c r="E158" s="362">
        <v>12210</v>
      </c>
      <c r="F158" s="362">
        <v>2100</v>
      </c>
      <c r="G158" s="362">
        <v>6130</v>
      </c>
    </row>
    <row r="159" s="347" customFormat="1" ht="14.25" customHeight="1" spans="1:7">
      <c r="A159" s="362" t="s">
        <v>273</v>
      </c>
      <c r="B159" s="362" t="s">
        <v>3019</v>
      </c>
      <c r="C159" s="362">
        <v>11190</v>
      </c>
      <c r="D159" s="362">
        <v>11140</v>
      </c>
      <c r="E159" s="362">
        <v>14090</v>
      </c>
      <c r="F159" s="362">
        <v>2470</v>
      </c>
      <c r="G159" s="362">
        <v>7170</v>
      </c>
    </row>
    <row r="160" s="347" customFormat="1" ht="14.25" customHeight="1" spans="1:7">
      <c r="A160" s="362" t="s">
        <v>273</v>
      </c>
      <c r="B160" s="362" t="s">
        <v>3024</v>
      </c>
      <c r="C160" s="362">
        <v>11180</v>
      </c>
      <c r="D160" s="362">
        <v>11140</v>
      </c>
      <c r="E160" s="362">
        <v>14050</v>
      </c>
      <c r="F160" s="362">
        <v>2270</v>
      </c>
      <c r="G160" s="362">
        <v>7170</v>
      </c>
    </row>
    <row r="161" s="347" customFormat="1" ht="14.25" customHeight="1" spans="1:7">
      <c r="A161" s="362" t="s">
        <v>273</v>
      </c>
      <c r="B161" s="362" t="s">
        <v>3029</v>
      </c>
      <c r="C161" s="362">
        <v>11160</v>
      </c>
      <c r="D161" s="362">
        <v>11120</v>
      </c>
      <c r="E161" s="362">
        <v>14020</v>
      </c>
      <c r="F161" s="362">
        <v>2150</v>
      </c>
      <c r="G161" s="362">
        <v>7160</v>
      </c>
    </row>
    <row r="162" s="347" customFormat="1" ht="14.25" customHeight="1" spans="1:7">
      <c r="A162" s="362" t="s">
        <v>273</v>
      </c>
      <c r="B162" s="362" t="s">
        <v>3034</v>
      </c>
      <c r="C162" s="362">
        <v>9620</v>
      </c>
      <c r="D162" s="362">
        <v>9570</v>
      </c>
      <c r="E162" s="362">
        <v>12320</v>
      </c>
      <c r="F162" s="362">
        <v>2010</v>
      </c>
      <c r="G162" s="362">
        <v>6160</v>
      </c>
    </row>
    <row r="163" s="347" customFormat="1" ht="14.25" customHeight="1" spans="1:7">
      <c r="A163" s="362" t="s">
        <v>273</v>
      </c>
      <c r="B163" s="362" t="s">
        <v>3039</v>
      </c>
      <c r="C163" s="362">
        <v>9320</v>
      </c>
      <c r="D163" s="362">
        <v>9270</v>
      </c>
      <c r="E163" s="362">
        <v>11790</v>
      </c>
      <c r="F163" s="362">
        <v>1920</v>
      </c>
      <c r="G163" s="362">
        <v>5960</v>
      </c>
    </row>
    <row r="164" s="347" customFormat="1" ht="14.25" customHeight="1" spans="1:7">
      <c r="A164" s="362" t="s">
        <v>273</v>
      </c>
      <c r="B164" s="362" t="s">
        <v>3044</v>
      </c>
      <c r="C164" s="362"/>
      <c r="D164" s="362"/>
      <c r="E164" s="362"/>
      <c r="F164" s="362">
        <v>1980</v>
      </c>
      <c r="G164" s="362"/>
    </row>
    <row r="165" s="347" customFormat="1" ht="14.25" customHeight="1" spans="1:7">
      <c r="A165" s="362" t="s">
        <v>273</v>
      </c>
      <c r="B165" s="362" t="s">
        <v>3049</v>
      </c>
      <c r="C165" s="362">
        <v>11060</v>
      </c>
      <c r="D165" s="362">
        <v>11030</v>
      </c>
      <c r="E165" s="362">
        <v>13850</v>
      </c>
      <c r="F165" s="362">
        <v>2170</v>
      </c>
      <c r="G165" s="362">
        <v>7090</v>
      </c>
    </row>
    <row r="166" s="347" customFormat="1" ht="14.25" customHeight="1" spans="1:7">
      <c r="A166" s="362" t="s">
        <v>273</v>
      </c>
      <c r="B166" s="362" t="s">
        <v>3054</v>
      </c>
      <c r="C166" s="362">
        <v>11050</v>
      </c>
      <c r="D166" s="362">
        <v>11010</v>
      </c>
      <c r="E166" s="362">
        <v>13920</v>
      </c>
      <c r="F166" s="362">
        <v>2140</v>
      </c>
      <c r="G166" s="362">
        <v>7080</v>
      </c>
    </row>
    <row r="167" s="347" customFormat="1" ht="14.25" customHeight="1" spans="1:7">
      <c r="A167" s="362" t="s">
        <v>273</v>
      </c>
      <c r="B167" s="362" t="s">
        <v>3058</v>
      </c>
      <c r="C167" s="362">
        <v>10930</v>
      </c>
      <c r="D167" s="362">
        <v>10890</v>
      </c>
      <c r="E167" s="362">
        <v>13790</v>
      </c>
      <c r="F167" s="362">
        <v>2010</v>
      </c>
      <c r="G167" s="362">
        <v>7000</v>
      </c>
    </row>
    <row r="168" s="347" customFormat="1" ht="14.25" customHeight="1" spans="1:7">
      <c r="A168" s="362" t="s">
        <v>273</v>
      </c>
      <c r="B168" s="362" t="s">
        <v>3062</v>
      </c>
      <c r="C168" s="362">
        <v>9420</v>
      </c>
      <c r="D168" s="362">
        <v>9380</v>
      </c>
      <c r="E168" s="362">
        <v>11970</v>
      </c>
      <c r="F168" s="362"/>
      <c r="G168" s="362">
        <v>6040</v>
      </c>
    </row>
    <row r="169" s="347" customFormat="1" ht="14.25" customHeight="1" spans="1:7">
      <c r="A169" s="362" t="s">
        <v>273</v>
      </c>
      <c r="B169" s="362" t="s">
        <v>3066</v>
      </c>
      <c r="C169" s="362"/>
      <c r="D169" s="362"/>
      <c r="E169" s="362"/>
      <c r="F169" s="362">
        <v>2880</v>
      </c>
      <c r="G169" s="362"/>
    </row>
    <row r="170" s="347" customFormat="1" ht="14.25" customHeight="1" spans="1:7">
      <c r="A170" s="362" t="s">
        <v>273</v>
      </c>
      <c r="B170" s="362" t="s">
        <v>3070</v>
      </c>
      <c r="C170" s="362"/>
      <c r="D170" s="362"/>
      <c r="E170" s="362"/>
      <c r="F170" s="362">
        <v>2880</v>
      </c>
      <c r="G170" s="362"/>
    </row>
    <row r="171" s="347" customFormat="1" ht="14.25" customHeight="1" spans="1:7">
      <c r="A171" s="362" t="s">
        <v>273</v>
      </c>
      <c r="B171" s="362" t="s">
        <v>3073</v>
      </c>
      <c r="C171" s="362"/>
      <c r="D171" s="362"/>
      <c r="E171" s="362"/>
      <c r="F171" s="362">
        <v>2880</v>
      </c>
      <c r="G171" s="362"/>
    </row>
    <row r="172" s="347" customFormat="1" ht="14.25" customHeight="1" spans="1:7">
      <c r="A172" s="362" t="s">
        <v>273</v>
      </c>
      <c r="B172" s="362" t="s">
        <v>3075</v>
      </c>
      <c r="C172" s="362"/>
      <c r="D172" s="362"/>
      <c r="E172" s="362"/>
      <c r="F172" s="362">
        <v>2880</v>
      </c>
      <c r="G172" s="362"/>
    </row>
    <row r="173" s="347" customFormat="1" ht="14.25" customHeight="1" spans="1:7">
      <c r="A173" s="362" t="s">
        <v>273</v>
      </c>
      <c r="B173" s="362" t="s">
        <v>3077</v>
      </c>
      <c r="C173" s="362"/>
      <c r="D173" s="362"/>
      <c r="E173" s="362"/>
      <c r="F173" s="362">
        <v>2150</v>
      </c>
      <c r="G173" s="362"/>
    </row>
    <row r="174" s="347" customFormat="1" ht="14.25" customHeight="1" spans="1:7">
      <c r="A174" s="362" t="s">
        <v>273</v>
      </c>
      <c r="B174" s="362" t="s">
        <v>3079</v>
      </c>
      <c r="C174" s="362"/>
      <c r="D174" s="362"/>
      <c r="E174" s="362"/>
      <c r="F174" s="362">
        <v>2030</v>
      </c>
      <c r="G174" s="362"/>
    </row>
    <row r="175" s="347" customFormat="1" ht="14.25" customHeight="1" spans="1:7">
      <c r="A175" s="362" t="s">
        <v>273</v>
      </c>
      <c r="B175" s="362" t="s">
        <v>3081</v>
      </c>
      <c r="C175" s="362"/>
      <c r="D175" s="362"/>
      <c r="E175" s="362"/>
      <c r="F175" s="362">
        <v>2780</v>
      </c>
      <c r="G175" s="362"/>
    </row>
    <row r="176" s="347" customFormat="1" ht="14.25" customHeight="1" spans="1:7">
      <c r="A176" s="362" t="s">
        <v>273</v>
      </c>
      <c r="B176" s="362" t="s">
        <v>3083</v>
      </c>
      <c r="C176" s="362"/>
      <c r="D176" s="362"/>
      <c r="E176" s="362"/>
      <c r="F176" s="362">
        <v>2780</v>
      </c>
      <c r="G176" s="362"/>
    </row>
    <row r="177" s="347" customFormat="1" ht="14.25" customHeight="1" spans="1:7">
      <c r="A177" s="362" t="s">
        <v>273</v>
      </c>
      <c r="B177" s="362" t="s">
        <v>3085</v>
      </c>
      <c r="C177" s="362"/>
      <c r="D177" s="362"/>
      <c r="E177" s="362"/>
      <c r="F177" s="362">
        <v>2780</v>
      </c>
      <c r="G177" s="362"/>
    </row>
    <row r="178" s="347" customFormat="1" ht="14.25" customHeight="1" spans="1:7">
      <c r="A178" s="362" t="s">
        <v>273</v>
      </c>
      <c r="B178" s="362" t="s">
        <v>3086</v>
      </c>
      <c r="C178" s="362"/>
      <c r="D178" s="362"/>
      <c r="E178" s="362"/>
      <c r="F178" s="362">
        <v>2060</v>
      </c>
      <c r="G178" s="362"/>
    </row>
    <row r="179" s="347" customFormat="1" ht="14.25" customHeight="1" spans="1:7">
      <c r="A179" s="362" t="s">
        <v>273</v>
      </c>
      <c r="B179" s="362" t="s">
        <v>3087</v>
      </c>
      <c r="C179" s="362"/>
      <c r="D179" s="362"/>
      <c r="E179" s="362"/>
      <c r="F179" s="362">
        <v>2120</v>
      </c>
      <c r="G179" s="362"/>
    </row>
    <row r="180" s="347" customFormat="1" ht="14.25" customHeight="1" spans="1:7">
      <c r="A180" s="362" t="s">
        <v>273</v>
      </c>
      <c r="B180" s="362" t="s">
        <v>3088</v>
      </c>
      <c r="C180" s="362"/>
      <c r="D180" s="362"/>
      <c r="E180" s="362"/>
      <c r="F180" s="362">
        <v>2340</v>
      </c>
      <c r="G180" s="362"/>
    </row>
    <row r="181" s="347" customFormat="1" ht="14.25" customHeight="1" spans="1:7">
      <c r="A181" s="362" t="s">
        <v>273</v>
      </c>
      <c r="B181" s="362" t="s">
        <v>3089</v>
      </c>
      <c r="C181" s="362"/>
      <c r="D181" s="362"/>
      <c r="E181" s="362"/>
      <c r="F181" s="362">
        <v>2340</v>
      </c>
      <c r="G181" s="362"/>
    </row>
    <row r="182" s="347" customFormat="1" ht="14.25" customHeight="1" spans="1:7">
      <c r="A182" s="362" t="s">
        <v>273</v>
      </c>
      <c r="B182" s="362" t="s">
        <v>3090</v>
      </c>
      <c r="C182" s="362"/>
      <c r="D182" s="362"/>
      <c r="E182" s="362"/>
      <c r="F182" s="362">
        <v>2340</v>
      </c>
      <c r="G182" s="362"/>
    </row>
    <row r="183" s="347" customFormat="1" ht="14.25" customHeight="1" spans="1:7">
      <c r="A183" s="362" t="s">
        <v>273</v>
      </c>
      <c r="B183" s="362" t="s">
        <v>3091</v>
      </c>
      <c r="C183" s="362"/>
      <c r="D183" s="362"/>
      <c r="E183" s="362"/>
      <c r="F183" s="362">
        <v>2340</v>
      </c>
      <c r="G183" s="362"/>
    </row>
    <row r="184" s="347" customFormat="1" ht="14.25" customHeight="1" spans="1:7">
      <c r="A184" s="362" t="s">
        <v>273</v>
      </c>
      <c r="B184" s="362" t="s">
        <v>3092</v>
      </c>
      <c r="C184" s="362"/>
      <c r="D184" s="362"/>
      <c r="E184" s="362"/>
      <c r="F184" s="362">
        <v>2340</v>
      </c>
      <c r="G184" s="362"/>
    </row>
    <row r="185" s="347" customFormat="1" ht="14.25" customHeight="1" spans="1:7">
      <c r="A185" s="362" t="s">
        <v>273</v>
      </c>
      <c r="B185" s="362" t="s">
        <v>3093</v>
      </c>
      <c r="C185" s="362"/>
      <c r="D185" s="362"/>
      <c r="E185" s="362"/>
      <c r="F185" s="362">
        <v>2530</v>
      </c>
      <c r="G185" s="362"/>
    </row>
    <row r="186" s="347" customFormat="1" ht="14.25" customHeight="1" spans="1:7">
      <c r="A186" s="362" t="s">
        <v>273</v>
      </c>
      <c r="B186" s="362" t="s">
        <v>3094</v>
      </c>
      <c r="C186" s="362"/>
      <c r="D186" s="362"/>
      <c r="E186" s="362"/>
      <c r="F186" s="362">
        <v>2550</v>
      </c>
      <c r="G186" s="362"/>
    </row>
    <row r="187" s="347" customFormat="1" ht="14.25" customHeight="1" spans="1:7">
      <c r="A187" s="362" t="s">
        <v>273</v>
      </c>
      <c r="B187" s="362" t="s">
        <v>3095</v>
      </c>
      <c r="C187" s="362"/>
      <c r="D187" s="362"/>
      <c r="E187" s="362"/>
      <c r="F187" s="362">
        <v>2070</v>
      </c>
      <c r="G187" s="362"/>
    </row>
    <row r="188" s="347" customFormat="1" ht="14.25" customHeight="1" spans="1:7">
      <c r="A188" s="362" t="s">
        <v>273</v>
      </c>
      <c r="B188" s="362" t="s">
        <v>3096</v>
      </c>
      <c r="C188" s="362"/>
      <c r="D188" s="362"/>
      <c r="E188" s="362"/>
      <c r="F188" s="362">
        <v>2340</v>
      </c>
      <c r="G188" s="362"/>
    </row>
    <row r="189" s="347" customFormat="1" ht="14.25" customHeight="1" spans="1:7">
      <c r="A189" s="364" t="s">
        <v>273</v>
      </c>
      <c r="B189" s="368" t="s">
        <v>3097</v>
      </c>
      <c r="C189" s="368"/>
      <c r="D189" s="368"/>
      <c r="E189" s="368"/>
      <c r="F189" s="368">
        <v>2050</v>
      </c>
      <c r="G189" s="368"/>
    </row>
    <row r="190" s="347" customFormat="1" ht="14.25" customHeight="1" spans="1:7">
      <c r="A190" s="360" t="s">
        <v>278</v>
      </c>
      <c r="B190" s="361" t="s">
        <v>2721</v>
      </c>
      <c r="C190" s="361">
        <v>8830</v>
      </c>
      <c r="D190" s="361">
        <v>8790</v>
      </c>
      <c r="E190" s="361">
        <v>11630</v>
      </c>
      <c r="F190" s="361">
        <v>1790</v>
      </c>
      <c r="G190" s="369">
        <v>5550</v>
      </c>
    </row>
    <row r="191" s="347" customFormat="1" ht="14.25" customHeight="1" spans="1:7">
      <c r="A191" s="362" t="s">
        <v>278</v>
      </c>
      <c r="B191" s="362" t="s">
        <v>2734</v>
      </c>
      <c r="C191" s="362">
        <v>9780</v>
      </c>
      <c r="D191" s="362">
        <v>9710</v>
      </c>
      <c r="E191" s="362">
        <v>12550</v>
      </c>
      <c r="F191" s="362">
        <v>1980</v>
      </c>
      <c r="G191" s="370">
        <v>6130</v>
      </c>
    </row>
    <row r="192" s="347" customFormat="1" ht="14.25" customHeight="1" spans="1:7">
      <c r="A192" s="362" t="s">
        <v>278</v>
      </c>
      <c r="B192" s="362" t="s">
        <v>2748</v>
      </c>
      <c r="C192" s="362">
        <v>8180</v>
      </c>
      <c r="D192" s="362">
        <v>8140</v>
      </c>
      <c r="E192" s="362">
        <v>10870</v>
      </c>
      <c r="F192" s="362">
        <v>1690</v>
      </c>
      <c r="G192" s="370">
        <v>5140</v>
      </c>
    </row>
    <row r="193" s="347" customFormat="1" ht="14.25" customHeight="1" spans="1:7">
      <c r="A193" s="362" t="s">
        <v>278</v>
      </c>
      <c r="B193" s="362" t="s">
        <v>2760</v>
      </c>
      <c r="C193" s="362">
        <v>8440</v>
      </c>
      <c r="D193" s="362">
        <v>8390</v>
      </c>
      <c r="E193" s="362">
        <v>11210</v>
      </c>
      <c r="F193" s="362">
        <v>1600</v>
      </c>
      <c r="G193" s="370">
        <v>5300</v>
      </c>
    </row>
    <row r="194" s="347" customFormat="1" ht="14.25" customHeight="1" spans="1:7">
      <c r="A194" s="362" t="s">
        <v>278</v>
      </c>
      <c r="B194" s="362" t="s">
        <v>2772</v>
      </c>
      <c r="C194" s="362">
        <v>8780</v>
      </c>
      <c r="D194" s="362">
        <v>8730</v>
      </c>
      <c r="E194" s="362">
        <v>11550</v>
      </c>
      <c r="F194" s="362">
        <v>1660</v>
      </c>
      <c r="G194" s="370">
        <v>5520</v>
      </c>
    </row>
    <row r="195" s="347" customFormat="1" ht="14.25" customHeight="1" spans="1:7">
      <c r="A195" s="362" t="s">
        <v>278</v>
      </c>
      <c r="B195" s="362" t="s">
        <v>2783</v>
      </c>
      <c r="C195" s="362">
        <v>8720</v>
      </c>
      <c r="D195" s="362">
        <v>8670</v>
      </c>
      <c r="E195" s="362">
        <v>11450</v>
      </c>
      <c r="F195" s="362">
        <v>1720</v>
      </c>
      <c r="G195" s="370">
        <v>5480</v>
      </c>
    </row>
    <row r="196" s="347" customFormat="1" ht="14.25" customHeight="1" spans="1:7">
      <c r="A196" s="362" t="s">
        <v>278</v>
      </c>
      <c r="B196" s="362" t="s">
        <v>2794</v>
      </c>
      <c r="C196" s="362">
        <v>8460</v>
      </c>
      <c r="D196" s="362">
        <v>8410</v>
      </c>
      <c r="E196" s="362">
        <v>11230</v>
      </c>
      <c r="F196" s="362">
        <v>1730</v>
      </c>
      <c r="G196" s="370">
        <v>5310</v>
      </c>
    </row>
    <row r="197" s="347" customFormat="1" ht="14.25" customHeight="1" spans="1:7">
      <c r="A197" s="362" t="s">
        <v>278</v>
      </c>
      <c r="B197" s="362" t="s">
        <v>2805</v>
      </c>
      <c r="C197" s="362">
        <v>8790</v>
      </c>
      <c r="D197" s="362">
        <v>8730</v>
      </c>
      <c r="E197" s="362">
        <v>11560</v>
      </c>
      <c r="F197" s="362">
        <v>1750</v>
      </c>
      <c r="G197" s="370">
        <v>5520</v>
      </c>
    </row>
    <row r="198" s="347" customFormat="1" ht="14.25" customHeight="1" spans="1:7">
      <c r="A198" s="362" t="s">
        <v>278</v>
      </c>
      <c r="B198" s="362" t="s">
        <v>2815</v>
      </c>
      <c r="C198" s="362">
        <v>8720</v>
      </c>
      <c r="D198" s="362">
        <v>8680</v>
      </c>
      <c r="E198" s="362">
        <v>11470</v>
      </c>
      <c r="F198" s="362"/>
      <c r="G198" s="370">
        <v>5480</v>
      </c>
    </row>
    <row r="199" s="347" customFormat="1" ht="14.25" customHeight="1" spans="1:7">
      <c r="A199" s="362" t="s">
        <v>278</v>
      </c>
      <c r="B199" s="362" t="s">
        <v>2825</v>
      </c>
      <c r="C199" s="362">
        <v>8690</v>
      </c>
      <c r="D199" s="362">
        <v>8630</v>
      </c>
      <c r="E199" s="362">
        <v>11350</v>
      </c>
      <c r="F199" s="362">
        <v>1600</v>
      </c>
      <c r="G199" s="370">
        <v>5450</v>
      </c>
    </row>
    <row r="200" s="347" customFormat="1" ht="14.25" customHeight="1" spans="1:7">
      <c r="A200" s="362" t="s">
        <v>278</v>
      </c>
      <c r="B200" s="362" t="s">
        <v>2835</v>
      </c>
      <c r="C200" s="362"/>
      <c r="D200" s="362"/>
      <c r="E200" s="362"/>
      <c r="F200" s="362">
        <v>1510</v>
      </c>
      <c r="G200" s="370"/>
    </row>
    <row r="201" s="347" customFormat="1" ht="14.25" customHeight="1" spans="1:7">
      <c r="A201" s="362" t="s">
        <v>278</v>
      </c>
      <c r="B201" s="362" t="s">
        <v>2845</v>
      </c>
      <c r="C201" s="362">
        <v>8440</v>
      </c>
      <c r="D201" s="362">
        <v>8390</v>
      </c>
      <c r="E201" s="362">
        <v>10930</v>
      </c>
      <c r="F201" s="362">
        <v>1500</v>
      </c>
      <c r="G201" s="370">
        <v>5300</v>
      </c>
    </row>
    <row r="202" s="347" customFormat="1" ht="14.25" customHeight="1" spans="1:7">
      <c r="A202" s="362" t="s">
        <v>278</v>
      </c>
      <c r="B202" s="362" t="s">
        <v>2855</v>
      </c>
      <c r="C202" s="362">
        <v>8530</v>
      </c>
      <c r="D202" s="362">
        <v>8490</v>
      </c>
      <c r="E202" s="362">
        <v>11160</v>
      </c>
      <c r="F202" s="362">
        <v>1580</v>
      </c>
      <c r="G202" s="370">
        <v>5360</v>
      </c>
    </row>
    <row r="203" s="347" customFormat="1" ht="14.25" customHeight="1" spans="1:7">
      <c r="A203" s="362" t="s">
        <v>278</v>
      </c>
      <c r="B203" s="362" t="s">
        <v>2865</v>
      </c>
      <c r="C203" s="362">
        <v>8130</v>
      </c>
      <c r="D203" s="362">
        <v>8070</v>
      </c>
      <c r="E203" s="362">
        <v>10820</v>
      </c>
      <c r="F203" s="362">
        <v>1690</v>
      </c>
      <c r="G203" s="370">
        <v>5100</v>
      </c>
    </row>
    <row r="204" s="347" customFormat="1" ht="14.25" customHeight="1" spans="1:7">
      <c r="A204" s="362" t="s">
        <v>278</v>
      </c>
      <c r="B204" s="362" t="s">
        <v>2875</v>
      </c>
      <c r="C204" s="362">
        <v>8350</v>
      </c>
      <c r="D204" s="362">
        <v>8290</v>
      </c>
      <c r="E204" s="362">
        <v>11080</v>
      </c>
      <c r="F204" s="362">
        <v>1450</v>
      </c>
      <c r="G204" s="370">
        <v>5240</v>
      </c>
    </row>
    <row r="205" s="347" customFormat="1" ht="14.25" customHeight="1" spans="1:7">
      <c r="A205" s="362" t="s">
        <v>278</v>
      </c>
      <c r="B205" s="362" t="s">
        <v>2885</v>
      </c>
      <c r="C205" s="362">
        <v>7190</v>
      </c>
      <c r="D205" s="362">
        <v>7130</v>
      </c>
      <c r="E205" s="362">
        <v>9490</v>
      </c>
      <c r="F205" s="362">
        <v>1470</v>
      </c>
      <c r="G205" s="370">
        <v>4510</v>
      </c>
    </row>
    <row r="206" s="347" customFormat="1" ht="14.25" customHeight="1" spans="1:7">
      <c r="A206" s="362" t="s">
        <v>278</v>
      </c>
      <c r="B206" s="362" t="s">
        <v>2895</v>
      </c>
      <c r="C206" s="362">
        <v>7000</v>
      </c>
      <c r="D206" s="362">
        <v>6950</v>
      </c>
      <c r="E206" s="362">
        <v>9170</v>
      </c>
      <c r="F206" s="362">
        <v>1400</v>
      </c>
      <c r="G206" s="370">
        <v>4380</v>
      </c>
    </row>
    <row r="207" s="347" customFormat="1" ht="14.25" customHeight="1" spans="1:7">
      <c r="A207" s="362" t="s">
        <v>278</v>
      </c>
      <c r="B207" s="362" t="s">
        <v>2905</v>
      </c>
      <c r="C207" s="362">
        <v>6950</v>
      </c>
      <c r="D207" s="362">
        <v>6900</v>
      </c>
      <c r="E207" s="362">
        <v>9110</v>
      </c>
      <c r="F207" s="362">
        <v>1790</v>
      </c>
      <c r="G207" s="370">
        <v>4360</v>
      </c>
    </row>
    <row r="208" s="347" customFormat="1" ht="14.25" customHeight="1" spans="1:7">
      <c r="A208" s="362" t="s">
        <v>278</v>
      </c>
      <c r="B208" s="362" t="s">
        <v>2915</v>
      </c>
      <c r="C208" s="362">
        <v>9470</v>
      </c>
      <c r="D208" s="362">
        <v>9410</v>
      </c>
      <c r="E208" s="362">
        <v>12330</v>
      </c>
      <c r="F208" s="362">
        <v>1770</v>
      </c>
      <c r="G208" s="370">
        <v>5940</v>
      </c>
    </row>
    <row r="209" s="347" customFormat="1" ht="14.25" customHeight="1" spans="1:7">
      <c r="A209" s="362" t="s">
        <v>278</v>
      </c>
      <c r="B209" s="362" t="s">
        <v>2925</v>
      </c>
      <c r="C209" s="362">
        <v>8740</v>
      </c>
      <c r="D209" s="362">
        <v>8700</v>
      </c>
      <c r="E209" s="362">
        <v>11500</v>
      </c>
      <c r="F209" s="362">
        <v>1730</v>
      </c>
      <c r="G209" s="370">
        <v>5490</v>
      </c>
    </row>
    <row r="210" s="347" customFormat="1" ht="14.25" customHeight="1" spans="1:7">
      <c r="A210" s="362" t="s">
        <v>278</v>
      </c>
      <c r="B210" s="362" t="s">
        <v>2934</v>
      </c>
      <c r="C210" s="362">
        <v>8710</v>
      </c>
      <c r="D210" s="362">
        <v>8660</v>
      </c>
      <c r="E210" s="362">
        <v>11440</v>
      </c>
      <c r="F210" s="362">
        <v>1740</v>
      </c>
      <c r="G210" s="370">
        <v>5470</v>
      </c>
    </row>
    <row r="211" s="347" customFormat="1" ht="14.25" customHeight="1" spans="1:7">
      <c r="A211" s="362" t="s">
        <v>278</v>
      </c>
      <c r="B211" s="362" t="s">
        <v>2942</v>
      </c>
      <c r="C211" s="362">
        <v>9480</v>
      </c>
      <c r="D211" s="362">
        <v>9430</v>
      </c>
      <c r="E211" s="362">
        <v>12360</v>
      </c>
      <c r="F211" s="362">
        <v>1820</v>
      </c>
      <c r="G211" s="370">
        <v>5950</v>
      </c>
    </row>
    <row r="212" s="347" customFormat="1" ht="14.25" customHeight="1" spans="1:7">
      <c r="A212" s="362" t="s">
        <v>278</v>
      </c>
      <c r="B212" s="362" t="s">
        <v>2950</v>
      </c>
      <c r="C212" s="362">
        <v>9070</v>
      </c>
      <c r="D212" s="362">
        <v>9020</v>
      </c>
      <c r="E212" s="362">
        <v>11720</v>
      </c>
      <c r="F212" s="362">
        <v>1850</v>
      </c>
      <c r="G212" s="370">
        <v>5700</v>
      </c>
    </row>
    <row r="213" s="347" customFormat="1" ht="14.25" customHeight="1" spans="1:7">
      <c r="A213" s="362" t="s">
        <v>278</v>
      </c>
      <c r="B213" s="362" t="s">
        <v>2958</v>
      </c>
      <c r="C213" s="362">
        <v>9030</v>
      </c>
      <c r="D213" s="362">
        <v>8980</v>
      </c>
      <c r="E213" s="362">
        <v>11670</v>
      </c>
      <c r="F213" s="362">
        <v>1690</v>
      </c>
      <c r="G213" s="370">
        <v>5670</v>
      </c>
    </row>
    <row r="214" s="347" customFormat="1" ht="14.25" customHeight="1" spans="1:7">
      <c r="A214" s="362" t="s">
        <v>278</v>
      </c>
      <c r="B214" s="362" t="s">
        <v>2966</v>
      </c>
      <c r="C214" s="362">
        <v>8090</v>
      </c>
      <c r="D214" s="362">
        <v>8030</v>
      </c>
      <c r="E214" s="362">
        <v>10780</v>
      </c>
      <c r="F214" s="362">
        <v>1570</v>
      </c>
      <c r="G214" s="370">
        <v>5070</v>
      </c>
    </row>
    <row r="215" s="347" customFormat="1" ht="14.25" customHeight="1" spans="1:7">
      <c r="A215" s="362" t="s">
        <v>278</v>
      </c>
      <c r="B215" s="362" t="s">
        <v>2973</v>
      </c>
      <c r="C215" s="362">
        <v>7950</v>
      </c>
      <c r="D215" s="362">
        <v>7900</v>
      </c>
      <c r="E215" s="362">
        <v>10560</v>
      </c>
      <c r="F215" s="362">
        <v>1630</v>
      </c>
      <c r="G215" s="370">
        <v>4990</v>
      </c>
    </row>
    <row r="216" s="347" customFormat="1" ht="14.25" customHeight="1" spans="1:7">
      <c r="A216" s="362" t="s">
        <v>278</v>
      </c>
      <c r="B216" s="362" t="s">
        <v>2980</v>
      </c>
      <c r="C216" s="362">
        <v>8490</v>
      </c>
      <c r="D216" s="362">
        <v>8440</v>
      </c>
      <c r="E216" s="362">
        <v>11260</v>
      </c>
      <c r="F216" s="362">
        <v>1690</v>
      </c>
      <c r="G216" s="370">
        <v>5330</v>
      </c>
    </row>
    <row r="217" s="347" customFormat="1" ht="14.25" customHeight="1" spans="1:7">
      <c r="A217" s="362" t="s">
        <v>278</v>
      </c>
      <c r="B217" s="362" t="s">
        <v>2987</v>
      </c>
      <c r="C217" s="362">
        <v>8200</v>
      </c>
      <c r="D217" s="362">
        <v>8150</v>
      </c>
      <c r="E217" s="362">
        <v>10910</v>
      </c>
      <c r="F217" s="362">
        <v>1670</v>
      </c>
      <c r="G217" s="370">
        <v>5150</v>
      </c>
    </row>
    <row r="218" s="347" customFormat="1" ht="14.25" customHeight="1" spans="1:7">
      <c r="A218" s="362" t="s">
        <v>278</v>
      </c>
      <c r="B218" s="362" t="s">
        <v>2994</v>
      </c>
      <c r="C218" s="362"/>
      <c r="D218" s="362"/>
      <c r="E218" s="362"/>
      <c r="F218" s="362">
        <v>2040</v>
      </c>
      <c r="G218" s="370"/>
    </row>
    <row r="219" s="347" customFormat="1" ht="14.25" customHeight="1" spans="1:7">
      <c r="A219" s="362" t="s">
        <v>278</v>
      </c>
      <c r="B219" s="362" t="s">
        <v>3001</v>
      </c>
      <c r="C219" s="362"/>
      <c r="D219" s="362"/>
      <c r="E219" s="362"/>
      <c r="F219" s="362">
        <v>2040</v>
      </c>
      <c r="G219" s="370"/>
    </row>
    <row r="220" s="347" customFormat="1" ht="14.25" customHeight="1" spans="1:7">
      <c r="A220" s="362" t="s">
        <v>278</v>
      </c>
      <c r="B220" s="362" t="s">
        <v>3008</v>
      </c>
      <c r="C220" s="362"/>
      <c r="D220" s="362"/>
      <c r="E220" s="362"/>
      <c r="F220" s="362">
        <v>2040</v>
      </c>
      <c r="G220" s="370"/>
    </row>
    <row r="221" s="347" customFormat="1" ht="14.25" customHeight="1" spans="1:7">
      <c r="A221" s="362" t="s">
        <v>278</v>
      </c>
      <c r="B221" s="362" t="s">
        <v>3015</v>
      </c>
      <c r="C221" s="362"/>
      <c r="D221" s="362"/>
      <c r="E221" s="362"/>
      <c r="F221" s="362">
        <v>2040</v>
      </c>
      <c r="G221" s="370"/>
    </row>
    <row r="222" s="347" customFormat="1" ht="14.25" customHeight="1" spans="1:7">
      <c r="A222" s="362" t="s">
        <v>278</v>
      </c>
      <c r="B222" s="362" t="s">
        <v>3020</v>
      </c>
      <c r="C222" s="362"/>
      <c r="D222" s="362"/>
      <c r="E222" s="362"/>
      <c r="F222" s="362">
        <v>2040</v>
      </c>
      <c r="G222" s="370"/>
    </row>
    <row r="223" s="347" customFormat="1" ht="14.25" customHeight="1" spans="1:7">
      <c r="A223" s="362" t="s">
        <v>278</v>
      </c>
      <c r="B223" s="362" t="s">
        <v>3025</v>
      </c>
      <c r="C223" s="362"/>
      <c r="D223" s="362"/>
      <c r="E223" s="362"/>
      <c r="F223" s="362">
        <v>1930</v>
      </c>
      <c r="G223" s="370"/>
    </row>
    <row r="224" s="347" customFormat="1" ht="14.25" customHeight="1" spans="1:7">
      <c r="A224" s="362" t="s">
        <v>278</v>
      </c>
      <c r="B224" s="362" t="s">
        <v>3030</v>
      </c>
      <c r="C224" s="362"/>
      <c r="D224" s="362"/>
      <c r="E224" s="362"/>
      <c r="F224" s="362">
        <v>1930</v>
      </c>
      <c r="G224" s="370"/>
    </row>
    <row r="225" s="347" customFormat="1" ht="14.25" customHeight="1" spans="1:7">
      <c r="A225" s="362" t="s">
        <v>278</v>
      </c>
      <c r="B225" s="362" t="s">
        <v>3035</v>
      </c>
      <c r="C225" s="362"/>
      <c r="D225" s="362"/>
      <c r="E225" s="362"/>
      <c r="F225" s="362">
        <v>1930</v>
      </c>
      <c r="G225" s="370"/>
    </row>
    <row r="226" s="347" customFormat="1" ht="14.25" customHeight="1" spans="1:7">
      <c r="A226" s="362" t="s">
        <v>278</v>
      </c>
      <c r="B226" s="362" t="s">
        <v>3040</v>
      </c>
      <c r="C226" s="362"/>
      <c r="D226" s="362"/>
      <c r="E226" s="362"/>
      <c r="F226" s="362">
        <v>1700</v>
      </c>
      <c r="G226" s="370"/>
    </row>
    <row r="227" s="347" customFormat="1" ht="14.25" customHeight="1" spans="1:7">
      <c r="A227" s="362" t="s">
        <v>278</v>
      </c>
      <c r="B227" s="362" t="s">
        <v>3045</v>
      </c>
      <c r="C227" s="362"/>
      <c r="D227" s="362"/>
      <c r="E227" s="362"/>
      <c r="F227" s="362">
        <v>1520</v>
      </c>
      <c r="G227" s="370"/>
    </row>
    <row r="228" s="347" customFormat="1" ht="14.25" customHeight="1" spans="1:7">
      <c r="A228" s="362" t="s">
        <v>278</v>
      </c>
      <c r="B228" s="362" t="s">
        <v>3050</v>
      </c>
      <c r="C228" s="362"/>
      <c r="D228" s="362"/>
      <c r="E228" s="362"/>
      <c r="F228" s="362">
        <v>1520</v>
      </c>
      <c r="G228" s="370"/>
    </row>
    <row r="229" s="347" customFormat="1" ht="14.25" customHeight="1" spans="1:7">
      <c r="A229" s="362" t="s">
        <v>278</v>
      </c>
      <c r="B229" s="362" t="s">
        <v>3055</v>
      </c>
      <c r="C229" s="362"/>
      <c r="D229" s="362"/>
      <c r="E229" s="362"/>
      <c r="F229" s="362">
        <v>1520</v>
      </c>
      <c r="G229" s="370"/>
    </row>
    <row r="230" s="347" customFormat="1" ht="14.25" customHeight="1" spans="1:7">
      <c r="A230" s="362" t="s">
        <v>278</v>
      </c>
      <c r="B230" s="362" t="s">
        <v>3059</v>
      </c>
      <c r="C230" s="362"/>
      <c r="D230" s="362"/>
      <c r="E230" s="362"/>
      <c r="F230" s="362">
        <v>1820</v>
      </c>
      <c r="G230" s="370"/>
    </row>
    <row r="231" s="347" customFormat="1" ht="14.25" customHeight="1" spans="1:7">
      <c r="A231" s="362" t="s">
        <v>278</v>
      </c>
      <c r="B231" s="362" t="s">
        <v>3063</v>
      </c>
      <c r="C231" s="362"/>
      <c r="D231" s="362"/>
      <c r="E231" s="362"/>
      <c r="F231" s="362">
        <v>1760</v>
      </c>
      <c r="G231" s="370"/>
    </row>
    <row r="232" s="347" customFormat="1" ht="14.25" customHeight="1" spans="1:7">
      <c r="A232" s="362" t="s">
        <v>278</v>
      </c>
      <c r="B232" s="362" t="s">
        <v>3067</v>
      </c>
      <c r="C232" s="362"/>
      <c r="D232" s="362"/>
      <c r="E232" s="362"/>
      <c r="F232" s="362">
        <v>1840</v>
      </c>
      <c r="G232" s="370"/>
    </row>
    <row r="233" s="347" customFormat="1" ht="14.25" customHeight="1" spans="1:7">
      <c r="A233" s="371" t="s">
        <v>278</v>
      </c>
      <c r="B233" s="366" t="s">
        <v>3071</v>
      </c>
      <c r="C233" s="366"/>
      <c r="D233" s="366"/>
      <c r="E233" s="366"/>
      <c r="F233" s="366">
        <v>1770</v>
      </c>
      <c r="G233" s="372"/>
    </row>
    <row r="234" s="347" customFormat="1" ht="14.25" customHeight="1" spans="1:7">
      <c r="A234" s="360" t="s">
        <v>284</v>
      </c>
      <c r="B234" s="361" t="s">
        <v>2722</v>
      </c>
      <c r="C234" s="362">
        <v>6980</v>
      </c>
      <c r="D234" s="362">
        <v>6970</v>
      </c>
      <c r="E234" s="362">
        <v>8720</v>
      </c>
      <c r="F234" s="362">
        <v>1350</v>
      </c>
      <c r="G234" s="362">
        <v>4280</v>
      </c>
    </row>
    <row r="235" s="347" customFormat="1" ht="14.25" customHeight="1" spans="1:7">
      <c r="A235" s="362" t="s">
        <v>284</v>
      </c>
      <c r="B235" s="362" t="s">
        <v>2735</v>
      </c>
      <c r="C235" s="362">
        <v>7620</v>
      </c>
      <c r="D235" s="362">
        <v>7580</v>
      </c>
      <c r="E235" s="362">
        <v>9360</v>
      </c>
      <c r="F235" s="362">
        <v>1490</v>
      </c>
      <c r="G235" s="362">
        <v>4650</v>
      </c>
    </row>
    <row r="236" s="347" customFormat="1" ht="14.25" customHeight="1" spans="1:7">
      <c r="A236" s="362" t="s">
        <v>284</v>
      </c>
      <c r="B236" s="362" t="s">
        <v>2749</v>
      </c>
      <c r="C236" s="362">
        <v>6650</v>
      </c>
      <c r="D236" s="362">
        <v>6630</v>
      </c>
      <c r="E236" s="362">
        <v>8330</v>
      </c>
      <c r="F236" s="362">
        <v>1250</v>
      </c>
      <c r="G236" s="362">
        <v>4070</v>
      </c>
    </row>
    <row r="237" s="347" customFormat="1" ht="14.25" customHeight="1" spans="1:7">
      <c r="A237" s="362" t="s">
        <v>284</v>
      </c>
      <c r="B237" s="362" t="s">
        <v>2761</v>
      </c>
      <c r="C237" s="362">
        <v>5850</v>
      </c>
      <c r="D237" s="362">
        <v>5820</v>
      </c>
      <c r="E237" s="362">
        <v>7260</v>
      </c>
      <c r="F237" s="362">
        <v>1140</v>
      </c>
      <c r="G237" s="362">
        <v>3570</v>
      </c>
    </row>
    <row r="238" s="347" customFormat="1" ht="14.25" customHeight="1" spans="1:7">
      <c r="A238" s="362" t="s">
        <v>284</v>
      </c>
      <c r="B238" s="362" t="s">
        <v>2773</v>
      </c>
      <c r="C238" s="362">
        <v>6920</v>
      </c>
      <c r="D238" s="362">
        <v>6890</v>
      </c>
      <c r="E238" s="362">
        <v>8640</v>
      </c>
      <c r="F238" s="362">
        <v>1310</v>
      </c>
      <c r="G238" s="362">
        <v>4230</v>
      </c>
    </row>
    <row r="239" s="347" customFormat="1" ht="14.25" customHeight="1" spans="1:7">
      <c r="A239" s="362" t="s">
        <v>284</v>
      </c>
      <c r="B239" s="362" t="s">
        <v>2784</v>
      </c>
      <c r="C239" s="362">
        <v>6780</v>
      </c>
      <c r="D239" s="362">
        <v>6750</v>
      </c>
      <c r="E239" s="362">
        <v>8440</v>
      </c>
      <c r="F239" s="362">
        <v>1160</v>
      </c>
      <c r="G239" s="362">
        <v>4140</v>
      </c>
    </row>
    <row r="240" s="347" customFormat="1" ht="14.25" customHeight="1" spans="1:7">
      <c r="A240" s="362" t="s">
        <v>284</v>
      </c>
      <c r="B240" s="362" t="s">
        <v>2795</v>
      </c>
      <c r="C240" s="362">
        <v>5420</v>
      </c>
      <c r="D240" s="362">
        <v>5380</v>
      </c>
      <c r="E240" s="362">
        <v>6640</v>
      </c>
      <c r="F240" s="362">
        <v>1020</v>
      </c>
      <c r="G240" s="362">
        <v>3300</v>
      </c>
    </row>
    <row r="241" s="347" customFormat="1" ht="14.25" customHeight="1" spans="1:7">
      <c r="A241" s="362" t="s">
        <v>284</v>
      </c>
      <c r="B241" s="362" t="s">
        <v>2806</v>
      </c>
      <c r="C241" s="362">
        <v>6660</v>
      </c>
      <c r="D241" s="362">
        <v>6640</v>
      </c>
      <c r="E241" s="362">
        <v>8340</v>
      </c>
      <c r="F241" s="362">
        <v>1130</v>
      </c>
      <c r="G241" s="362">
        <v>4080</v>
      </c>
    </row>
    <row r="242" s="347" customFormat="1" ht="14.25" customHeight="1" spans="1:7">
      <c r="A242" s="362" t="s">
        <v>284</v>
      </c>
      <c r="B242" s="362" t="s">
        <v>2816</v>
      </c>
      <c r="C242" s="362">
        <v>6580</v>
      </c>
      <c r="D242" s="362">
        <v>6550</v>
      </c>
      <c r="E242" s="362">
        <v>8090</v>
      </c>
      <c r="F242" s="362">
        <v>1240</v>
      </c>
      <c r="G242" s="362">
        <v>4020</v>
      </c>
    </row>
    <row r="243" s="347" customFormat="1" ht="14.25" customHeight="1" spans="1:7">
      <c r="A243" s="362" t="s">
        <v>284</v>
      </c>
      <c r="B243" s="362" t="s">
        <v>2826</v>
      </c>
      <c r="C243" s="362">
        <v>6000</v>
      </c>
      <c r="D243" s="362">
        <v>5970</v>
      </c>
      <c r="E243" s="362">
        <v>7370</v>
      </c>
      <c r="F243" s="362">
        <v>1070</v>
      </c>
      <c r="G243" s="362">
        <v>3670</v>
      </c>
    </row>
    <row r="244" s="347" customFormat="1" ht="14.25" customHeight="1" spans="1:7">
      <c r="A244" s="362" t="s">
        <v>284</v>
      </c>
      <c r="B244" s="362" t="s">
        <v>2836</v>
      </c>
      <c r="C244" s="362">
        <v>5840</v>
      </c>
      <c r="D244" s="362">
        <v>5810</v>
      </c>
      <c r="E244" s="362">
        <v>7240</v>
      </c>
      <c r="F244" s="362">
        <v>1100</v>
      </c>
      <c r="G244" s="362">
        <v>3560</v>
      </c>
    </row>
    <row r="245" s="347" customFormat="1" ht="14.25" customHeight="1" spans="1:7">
      <c r="A245" s="362" t="s">
        <v>284</v>
      </c>
      <c r="B245" s="362" t="s">
        <v>2846</v>
      </c>
      <c r="C245" s="362">
        <v>6040</v>
      </c>
      <c r="D245" s="362">
        <v>6000</v>
      </c>
      <c r="E245" s="362">
        <v>7420</v>
      </c>
      <c r="F245" s="362">
        <v>1140</v>
      </c>
      <c r="G245" s="362">
        <v>3690</v>
      </c>
    </row>
    <row r="246" s="347" customFormat="1" ht="14.25" customHeight="1" spans="1:7">
      <c r="A246" s="362" t="s">
        <v>284</v>
      </c>
      <c r="B246" s="362" t="s">
        <v>2856</v>
      </c>
      <c r="C246" s="362">
        <v>5890</v>
      </c>
      <c r="D246" s="362">
        <v>5860</v>
      </c>
      <c r="E246" s="362">
        <v>7300</v>
      </c>
      <c r="F246" s="362">
        <v>1110</v>
      </c>
      <c r="G246" s="362">
        <v>3590</v>
      </c>
    </row>
    <row r="247" s="347" customFormat="1" ht="14.25" customHeight="1" spans="1:7">
      <c r="A247" s="362" t="s">
        <v>284</v>
      </c>
      <c r="B247" s="362" t="s">
        <v>2866</v>
      </c>
      <c r="C247" s="362">
        <v>6480</v>
      </c>
      <c r="D247" s="362">
        <v>6450</v>
      </c>
      <c r="E247" s="362">
        <v>8010</v>
      </c>
      <c r="F247" s="362">
        <v>1170</v>
      </c>
      <c r="G247" s="362">
        <v>3960</v>
      </c>
    </row>
    <row r="248" s="347" customFormat="1" ht="14.25" customHeight="1" spans="1:7">
      <c r="A248" s="362" t="s">
        <v>284</v>
      </c>
      <c r="B248" s="362" t="s">
        <v>2876</v>
      </c>
      <c r="C248" s="362">
        <v>6860</v>
      </c>
      <c r="D248" s="362">
        <v>6840</v>
      </c>
      <c r="E248" s="362">
        <v>8520</v>
      </c>
      <c r="F248" s="362">
        <v>1240</v>
      </c>
      <c r="G248" s="362">
        <v>4200</v>
      </c>
    </row>
    <row r="249" s="347" customFormat="1" ht="14.25" customHeight="1" spans="1:7">
      <c r="A249" s="362" t="s">
        <v>284</v>
      </c>
      <c r="B249" s="362" t="s">
        <v>2886</v>
      </c>
      <c r="C249" s="362">
        <v>7180</v>
      </c>
      <c r="D249" s="362">
        <v>7140</v>
      </c>
      <c r="E249" s="362">
        <v>8900</v>
      </c>
      <c r="F249" s="362">
        <v>1350</v>
      </c>
      <c r="G249" s="362">
        <v>4380</v>
      </c>
    </row>
    <row r="250" s="347" customFormat="1" ht="14.25" customHeight="1" spans="1:7">
      <c r="A250" s="362" t="s">
        <v>284</v>
      </c>
      <c r="B250" s="362" t="s">
        <v>2896</v>
      </c>
      <c r="C250" s="362">
        <v>6880</v>
      </c>
      <c r="D250" s="362">
        <v>6860</v>
      </c>
      <c r="E250" s="362">
        <v>8550</v>
      </c>
      <c r="F250" s="362">
        <v>1220</v>
      </c>
      <c r="G250" s="362">
        <v>4210</v>
      </c>
    </row>
    <row r="251" s="347" customFormat="1" ht="14.25" customHeight="1" spans="1:7">
      <c r="A251" s="362" t="s">
        <v>284</v>
      </c>
      <c r="B251" s="362" t="s">
        <v>2906</v>
      </c>
      <c r="C251" s="362"/>
      <c r="D251" s="362"/>
      <c r="E251" s="362"/>
      <c r="F251" s="362">
        <v>1100</v>
      </c>
      <c r="G251" s="362"/>
    </row>
    <row r="252" s="347" customFormat="1" ht="14.25" customHeight="1" spans="1:7">
      <c r="A252" s="362" t="s">
        <v>284</v>
      </c>
      <c r="B252" s="362" t="s">
        <v>2916</v>
      </c>
      <c r="C252" s="362">
        <v>7240</v>
      </c>
      <c r="D252" s="362">
        <v>7200</v>
      </c>
      <c r="E252" s="362">
        <v>9040</v>
      </c>
      <c r="F252" s="362">
        <v>1380</v>
      </c>
      <c r="G252" s="362">
        <v>4420</v>
      </c>
    </row>
    <row r="253" s="347" customFormat="1" ht="14.25" customHeight="1" spans="1:7">
      <c r="A253" s="362" t="s">
        <v>284</v>
      </c>
      <c r="B253" s="362" t="s">
        <v>2926</v>
      </c>
      <c r="C253" s="362">
        <v>6670</v>
      </c>
      <c r="D253" s="362">
        <v>6650</v>
      </c>
      <c r="E253" s="362">
        <v>8350</v>
      </c>
      <c r="F253" s="362">
        <v>1260</v>
      </c>
      <c r="G253" s="362">
        <v>4080</v>
      </c>
    </row>
    <row r="254" s="347" customFormat="1" ht="14.25" customHeight="1" spans="1:7">
      <c r="A254" s="362" t="s">
        <v>284</v>
      </c>
      <c r="B254" s="362" t="s">
        <v>2935</v>
      </c>
      <c r="C254" s="362">
        <v>7630</v>
      </c>
      <c r="D254" s="362">
        <v>7590</v>
      </c>
      <c r="E254" s="362">
        <v>9380</v>
      </c>
      <c r="F254" s="362">
        <v>1320</v>
      </c>
      <c r="G254" s="362">
        <v>4660</v>
      </c>
    </row>
    <row r="255" s="347" customFormat="1" ht="14.25" customHeight="1" spans="1:7">
      <c r="A255" s="362" t="s">
        <v>284</v>
      </c>
      <c r="B255" s="362" t="s">
        <v>2943</v>
      </c>
      <c r="C255" s="362">
        <v>6940</v>
      </c>
      <c r="D255" s="362">
        <v>6890</v>
      </c>
      <c r="E255" s="362">
        <v>8650</v>
      </c>
      <c r="F255" s="362">
        <v>1210</v>
      </c>
      <c r="G255" s="362">
        <v>4230</v>
      </c>
    </row>
    <row r="256" s="347" customFormat="1" ht="14.25" customHeight="1" spans="1:7">
      <c r="A256" s="362" t="s">
        <v>284</v>
      </c>
      <c r="B256" s="362" t="s">
        <v>2951</v>
      </c>
      <c r="C256" s="362">
        <v>7520</v>
      </c>
      <c r="D256" s="362">
        <v>7490</v>
      </c>
      <c r="E256" s="362">
        <v>9240</v>
      </c>
      <c r="F256" s="362">
        <v>1270</v>
      </c>
      <c r="G256" s="362">
        <v>4590</v>
      </c>
    </row>
    <row r="257" s="347" customFormat="1" ht="14.25" customHeight="1" spans="1:7">
      <c r="A257" s="362" t="s">
        <v>284</v>
      </c>
      <c r="B257" s="362" t="s">
        <v>2959</v>
      </c>
      <c r="C257" s="362">
        <v>6280</v>
      </c>
      <c r="D257" s="362">
        <v>6230</v>
      </c>
      <c r="E257" s="362">
        <v>7740</v>
      </c>
      <c r="F257" s="362">
        <v>1080</v>
      </c>
      <c r="G257" s="362">
        <v>3830</v>
      </c>
    </row>
    <row r="258" s="347" customFormat="1" ht="14.25" customHeight="1" spans="1:7">
      <c r="A258" s="362" t="s">
        <v>284</v>
      </c>
      <c r="B258" s="362" t="s">
        <v>2967</v>
      </c>
      <c r="C258" s="362">
        <v>6190</v>
      </c>
      <c r="D258" s="362">
        <v>6160</v>
      </c>
      <c r="E258" s="362">
        <v>7680</v>
      </c>
      <c r="F258" s="362">
        <v>1170</v>
      </c>
      <c r="G258" s="362">
        <v>3780</v>
      </c>
    </row>
    <row r="259" s="347" customFormat="1" ht="14.25" customHeight="1" spans="1:7">
      <c r="A259" s="362" t="s">
        <v>284</v>
      </c>
      <c r="B259" s="362" t="s">
        <v>2974</v>
      </c>
      <c r="C259" s="362">
        <v>7610</v>
      </c>
      <c r="D259" s="362">
        <v>7570</v>
      </c>
      <c r="E259" s="362">
        <v>9350</v>
      </c>
      <c r="F259" s="362">
        <v>1350</v>
      </c>
      <c r="G259" s="362">
        <v>4650</v>
      </c>
    </row>
    <row r="260" s="347" customFormat="1" ht="14.25" customHeight="1" spans="1:7">
      <c r="A260" s="362" t="s">
        <v>284</v>
      </c>
      <c r="B260" s="362" t="s">
        <v>2981</v>
      </c>
      <c r="C260" s="362">
        <v>6920</v>
      </c>
      <c r="D260" s="362">
        <v>6880</v>
      </c>
      <c r="E260" s="362">
        <v>8380</v>
      </c>
      <c r="F260" s="362">
        <v>1160</v>
      </c>
      <c r="G260" s="362">
        <v>4220</v>
      </c>
    </row>
    <row r="261" s="347" customFormat="1" ht="14.25" customHeight="1" spans="1:7">
      <c r="A261" s="362" t="s">
        <v>284</v>
      </c>
      <c r="B261" s="362" t="s">
        <v>2988</v>
      </c>
      <c r="C261" s="362">
        <v>6850</v>
      </c>
      <c r="D261" s="362">
        <v>6810</v>
      </c>
      <c r="E261" s="362">
        <v>8290</v>
      </c>
      <c r="F261" s="362">
        <v>1130</v>
      </c>
      <c r="G261" s="362">
        <v>4180</v>
      </c>
    </row>
    <row r="262" s="347" customFormat="1" ht="14.25" customHeight="1" spans="1:7">
      <c r="A262" s="362" t="s">
        <v>284</v>
      </c>
      <c r="B262" s="362" t="s">
        <v>2995</v>
      </c>
      <c r="C262" s="362">
        <v>5860</v>
      </c>
      <c r="D262" s="362">
        <v>5820</v>
      </c>
      <c r="E262" s="362">
        <v>7640</v>
      </c>
      <c r="F262" s="362">
        <v>1070</v>
      </c>
      <c r="G262" s="362">
        <v>3570</v>
      </c>
    </row>
    <row r="263" s="347" customFormat="1" ht="14.25" customHeight="1" spans="1:7">
      <c r="A263" s="362" t="s">
        <v>284</v>
      </c>
      <c r="B263" s="362" t="s">
        <v>3002</v>
      </c>
      <c r="C263" s="362">
        <v>5870</v>
      </c>
      <c r="D263" s="362">
        <v>5840</v>
      </c>
      <c r="E263" s="362">
        <v>7270</v>
      </c>
      <c r="F263" s="362">
        <v>1190</v>
      </c>
      <c r="G263" s="362">
        <v>3580</v>
      </c>
    </row>
    <row r="264" s="347" customFormat="1" ht="14.25" customHeight="1" spans="1:7">
      <c r="A264" s="362" t="s">
        <v>284</v>
      </c>
      <c r="B264" s="362" t="s">
        <v>3009</v>
      </c>
      <c r="C264" s="362">
        <v>6190</v>
      </c>
      <c r="D264" s="362">
        <v>6150</v>
      </c>
      <c r="E264" s="362">
        <v>7660</v>
      </c>
      <c r="F264" s="362">
        <v>1160</v>
      </c>
      <c r="G264" s="362">
        <v>3770</v>
      </c>
    </row>
    <row r="265" s="347" customFormat="1" ht="14.25" customHeight="1" spans="1:7">
      <c r="A265" s="362" t="s">
        <v>284</v>
      </c>
      <c r="B265" s="362" t="s">
        <v>3016</v>
      </c>
      <c r="C265" s="362"/>
      <c r="D265" s="362"/>
      <c r="E265" s="362"/>
      <c r="F265" s="362">
        <v>1500</v>
      </c>
      <c r="G265" s="362"/>
    </row>
    <row r="266" s="347" customFormat="1" ht="14.25" customHeight="1" spans="1:7">
      <c r="A266" s="362" t="s">
        <v>284</v>
      </c>
      <c r="B266" s="362" t="s">
        <v>3021</v>
      </c>
      <c r="C266" s="362"/>
      <c r="D266" s="362"/>
      <c r="E266" s="362"/>
      <c r="F266" s="362">
        <v>1500</v>
      </c>
      <c r="G266" s="362"/>
    </row>
    <row r="267" s="347" customFormat="1" ht="14.25" customHeight="1" spans="1:7">
      <c r="A267" s="362" t="s">
        <v>284</v>
      </c>
      <c r="B267" s="362" t="s">
        <v>3026</v>
      </c>
      <c r="C267" s="362"/>
      <c r="D267" s="362"/>
      <c r="E267" s="362"/>
      <c r="F267" s="362">
        <v>1500</v>
      </c>
      <c r="G267" s="362"/>
    </row>
    <row r="268" s="347" customFormat="1" ht="14.25" customHeight="1" spans="1:7">
      <c r="A268" s="362" t="s">
        <v>284</v>
      </c>
      <c r="B268" s="362" t="s">
        <v>3031</v>
      </c>
      <c r="C268" s="362"/>
      <c r="D268" s="362"/>
      <c r="E268" s="362"/>
      <c r="F268" s="362">
        <v>1290</v>
      </c>
      <c r="G268" s="362"/>
    </row>
    <row r="269" s="347" customFormat="1" ht="14.25" customHeight="1" spans="1:7">
      <c r="A269" s="362" t="s">
        <v>284</v>
      </c>
      <c r="B269" s="362" t="s">
        <v>3036</v>
      </c>
      <c r="C269" s="362"/>
      <c r="D269" s="362"/>
      <c r="E269" s="362"/>
      <c r="F269" s="362">
        <v>1150</v>
      </c>
      <c r="G269" s="362"/>
    </row>
    <row r="270" s="347" customFormat="1" ht="14.25" customHeight="1" spans="1:7">
      <c r="A270" s="362" t="s">
        <v>284</v>
      </c>
      <c r="B270" s="362" t="s">
        <v>3041</v>
      </c>
      <c r="C270" s="362"/>
      <c r="D270" s="362"/>
      <c r="E270" s="362"/>
      <c r="F270" s="362">
        <v>1380</v>
      </c>
      <c r="G270" s="362"/>
    </row>
    <row r="271" s="347" customFormat="1" ht="14.25" customHeight="1" spans="1:7">
      <c r="A271" s="362" t="s">
        <v>284</v>
      </c>
      <c r="B271" s="362" t="s">
        <v>3046</v>
      </c>
      <c r="C271" s="362"/>
      <c r="D271" s="362"/>
      <c r="E271" s="362"/>
      <c r="F271" s="362">
        <v>1460</v>
      </c>
      <c r="G271" s="362"/>
    </row>
    <row r="272" s="347" customFormat="1" ht="14.25" customHeight="1" spans="1:7">
      <c r="A272" s="362" t="s">
        <v>284</v>
      </c>
      <c r="B272" s="362" t="s">
        <v>3051</v>
      </c>
      <c r="C272" s="362"/>
      <c r="D272" s="362"/>
      <c r="E272" s="362"/>
      <c r="F272" s="362">
        <v>1460</v>
      </c>
      <c r="G272" s="362"/>
    </row>
    <row r="273" s="347" customFormat="1" ht="14.25" customHeight="1" spans="1:7">
      <c r="A273" s="362" t="s">
        <v>284</v>
      </c>
      <c r="B273" s="362" t="s">
        <v>3056</v>
      </c>
      <c r="C273" s="362"/>
      <c r="D273" s="362"/>
      <c r="E273" s="362"/>
      <c r="F273" s="362">
        <v>1490</v>
      </c>
      <c r="G273" s="362"/>
    </row>
    <row r="274" s="347" customFormat="1" ht="14.25" customHeight="1" spans="1:7">
      <c r="A274" s="362" t="s">
        <v>284</v>
      </c>
      <c r="B274" s="362" t="s">
        <v>3060</v>
      </c>
      <c r="C274" s="362"/>
      <c r="D274" s="362"/>
      <c r="E274" s="362"/>
      <c r="F274" s="362">
        <v>1490</v>
      </c>
      <c r="G274" s="362"/>
    </row>
    <row r="275" s="347" customFormat="1" ht="14.25" customHeight="1" spans="1:7">
      <c r="A275" s="362" t="s">
        <v>284</v>
      </c>
      <c r="B275" s="362" t="s">
        <v>3064</v>
      </c>
      <c r="C275" s="362"/>
      <c r="D275" s="362"/>
      <c r="E275" s="362"/>
      <c r="F275" s="362">
        <v>1220</v>
      </c>
      <c r="G275" s="362"/>
    </row>
    <row r="276" s="347" customFormat="1" ht="14.25" customHeight="1" spans="1:7">
      <c r="A276" s="364" t="s">
        <v>284</v>
      </c>
      <c r="B276" s="367" t="s">
        <v>3068</v>
      </c>
      <c r="C276" s="368"/>
      <c r="D276" s="368"/>
      <c r="E276" s="368"/>
      <c r="F276" s="368">
        <v>1380</v>
      </c>
      <c r="G276" s="368"/>
    </row>
    <row r="277" s="347" customFormat="1" ht="14.25" customHeight="1" spans="1:7">
      <c r="A277" s="360" t="s">
        <v>288</v>
      </c>
      <c r="B277" s="361" t="s">
        <v>2723</v>
      </c>
      <c r="C277" s="361">
        <v>5790</v>
      </c>
      <c r="D277" s="361">
        <v>5740</v>
      </c>
      <c r="E277" s="361">
        <v>6730</v>
      </c>
      <c r="F277" s="361">
        <v>1110</v>
      </c>
      <c r="G277" s="369">
        <v>3460</v>
      </c>
    </row>
    <row r="278" s="347" customFormat="1" ht="14.25" customHeight="1" spans="1:7">
      <c r="A278" s="362" t="s">
        <v>288</v>
      </c>
      <c r="B278" s="362" t="s">
        <v>2736</v>
      </c>
      <c r="C278" s="362">
        <v>5740</v>
      </c>
      <c r="D278" s="362">
        <v>5670</v>
      </c>
      <c r="E278" s="362">
        <v>6680</v>
      </c>
      <c r="F278" s="362">
        <v>1070</v>
      </c>
      <c r="G278" s="370">
        <v>3420</v>
      </c>
    </row>
    <row r="279" s="347" customFormat="1" ht="14.25" customHeight="1" spans="1:7">
      <c r="A279" s="362" t="s">
        <v>288</v>
      </c>
      <c r="B279" s="362" t="s">
        <v>2750</v>
      </c>
      <c r="C279" s="362">
        <v>4760</v>
      </c>
      <c r="D279" s="362">
        <v>4720</v>
      </c>
      <c r="E279" s="362">
        <v>5540</v>
      </c>
      <c r="F279" s="362">
        <v>810</v>
      </c>
      <c r="G279" s="370">
        <v>2850</v>
      </c>
    </row>
    <row r="280" s="347" customFormat="1" ht="14.25" customHeight="1" spans="1:7">
      <c r="A280" s="362" t="s">
        <v>288</v>
      </c>
      <c r="B280" s="362" t="s">
        <v>2762</v>
      </c>
      <c r="C280" s="362">
        <v>4010</v>
      </c>
      <c r="D280" s="362">
        <v>3950</v>
      </c>
      <c r="E280" s="362">
        <v>4710</v>
      </c>
      <c r="F280" s="362">
        <v>800</v>
      </c>
      <c r="G280" s="370">
        <v>2390</v>
      </c>
    </row>
    <row r="281" s="347" customFormat="1" ht="14.25" customHeight="1" spans="1:7">
      <c r="A281" s="362" t="s">
        <v>288</v>
      </c>
      <c r="B281" s="362" t="s">
        <v>2774</v>
      </c>
      <c r="C281" s="362">
        <v>4480</v>
      </c>
      <c r="D281" s="362">
        <v>4420</v>
      </c>
      <c r="E281" s="362">
        <v>5230</v>
      </c>
      <c r="F281" s="362">
        <v>870</v>
      </c>
      <c r="G281" s="370">
        <v>2660</v>
      </c>
    </row>
    <row r="282" s="347" customFormat="1" ht="14.25" customHeight="1" spans="1:7">
      <c r="A282" s="362" t="s">
        <v>288</v>
      </c>
      <c r="B282" s="362" t="s">
        <v>2785</v>
      </c>
      <c r="C282" s="362">
        <v>5360</v>
      </c>
      <c r="D282" s="362">
        <v>5300</v>
      </c>
      <c r="E282" s="362">
        <v>6190</v>
      </c>
      <c r="F282" s="362">
        <v>950</v>
      </c>
      <c r="G282" s="370">
        <v>3190</v>
      </c>
    </row>
    <row r="283" s="347" customFormat="1" ht="14.25" customHeight="1" spans="1:7">
      <c r="A283" s="362" t="s">
        <v>288</v>
      </c>
      <c r="B283" s="362" t="s">
        <v>2796</v>
      </c>
      <c r="C283" s="362">
        <v>4950</v>
      </c>
      <c r="D283" s="362">
        <v>4900</v>
      </c>
      <c r="E283" s="362">
        <v>5720</v>
      </c>
      <c r="F283" s="362">
        <v>920</v>
      </c>
      <c r="G283" s="370">
        <v>2950</v>
      </c>
    </row>
    <row r="284" s="347" customFormat="1" ht="14.25" customHeight="1" spans="1:7">
      <c r="A284" s="362" t="s">
        <v>288</v>
      </c>
      <c r="B284" s="362" t="s">
        <v>2807</v>
      </c>
      <c r="C284" s="362">
        <v>5610</v>
      </c>
      <c r="D284" s="362">
        <v>5560</v>
      </c>
      <c r="E284" s="362">
        <v>6520</v>
      </c>
      <c r="F284" s="362">
        <v>1030</v>
      </c>
      <c r="G284" s="370">
        <v>3360</v>
      </c>
    </row>
    <row r="285" s="347" customFormat="1" ht="14.25" customHeight="1" spans="1:7">
      <c r="A285" s="362" t="s">
        <v>288</v>
      </c>
      <c r="B285" s="362" t="s">
        <v>2817</v>
      </c>
      <c r="C285" s="362">
        <v>5340</v>
      </c>
      <c r="D285" s="362">
        <v>5290</v>
      </c>
      <c r="E285" s="362">
        <v>6170</v>
      </c>
      <c r="F285" s="362">
        <v>1080</v>
      </c>
      <c r="G285" s="370">
        <v>3180</v>
      </c>
    </row>
    <row r="286" s="347" customFormat="1" ht="14.25" customHeight="1" spans="1:7">
      <c r="A286" s="362" t="s">
        <v>288</v>
      </c>
      <c r="B286" s="362" t="s">
        <v>2827</v>
      </c>
      <c r="C286" s="362">
        <v>4890</v>
      </c>
      <c r="D286" s="362">
        <v>4840</v>
      </c>
      <c r="E286" s="362">
        <v>5640</v>
      </c>
      <c r="F286" s="362">
        <v>960</v>
      </c>
      <c r="G286" s="370">
        <v>2910</v>
      </c>
    </row>
    <row r="287" s="347" customFormat="1" ht="14.25" customHeight="1" spans="1:7">
      <c r="A287" s="362" t="s">
        <v>288</v>
      </c>
      <c r="B287" s="362" t="s">
        <v>2837</v>
      </c>
      <c r="C287" s="362">
        <v>4960</v>
      </c>
      <c r="D287" s="362">
        <v>4920</v>
      </c>
      <c r="E287" s="362">
        <v>5730</v>
      </c>
      <c r="F287" s="362">
        <v>930</v>
      </c>
      <c r="G287" s="370">
        <v>2960</v>
      </c>
    </row>
    <row r="288" s="347" customFormat="1" ht="14.25" customHeight="1" spans="1:7">
      <c r="A288" s="362" t="s">
        <v>288</v>
      </c>
      <c r="B288" s="362" t="s">
        <v>2847</v>
      </c>
      <c r="C288" s="362">
        <v>4350</v>
      </c>
      <c r="D288" s="362">
        <v>4300</v>
      </c>
      <c r="E288" s="362">
        <v>4900</v>
      </c>
      <c r="F288" s="362">
        <v>820</v>
      </c>
      <c r="G288" s="370">
        <v>2590</v>
      </c>
    </row>
    <row r="289" s="347" customFormat="1" ht="14.25" customHeight="1" spans="1:7">
      <c r="A289" s="362" t="s">
        <v>288</v>
      </c>
      <c r="B289" s="362" t="s">
        <v>2857</v>
      </c>
      <c r="C289" s="362">
        <v>5230</v>
      </c>
      <c r="D289" s="362">
        <v>5170</v>
      </c>
      <c r="E289" s="362">
        <v>6060</v>
      </c>
      <c r="F289" s="362">
        <v>900</v>
      </c>
      <c r="G289" s="370">
        <v>3120</v>
      </c>
    </row>
    <row r="290" s="347" customFormat="1" ht="14.25" customHeight="1" spans="1:7">
      <c r="A290" s="362" t="s">
        <v>288</v>
      </c>
      <c r="B290" s="362" t="s">
        <v>2867</v>
      </c>
      <c r="C290" s="362">
        <v>5550</v>
      </c>
      <c r="D290" s="362">
        <v>5500</v>
      </c>
      <c r="E290" s="362">
        <v>6440</v>
      </c>
      <c r="F290" s="362">
        <v>960</v>
      </c>
      <c r="G290" s="370">
        <v>3320</v>
      </c>
    </row>
    <row r="291" s="347" customFormat="1" ht="14.25" customHeight="1" spans="1:7">
      <c r="A291" s="362" t="s">
        <v>288</v>
      </c>
      <c r="B291" s="362" t="s">
        <v>2877</v>
      </c>
      <c r="C291" s="362">
        <v>5440</v>
      </c>
      <c r="D291" s="362">
        <v>5400</v>
      </c>
      <c r="E291" s="362">
        <v>6320</v>
      </c>
      <c r="F291" s="362">
        <v>930</v>
      </c>
      <c r="G291" s="370">
        <v>3250</v>
      </c>
    </row>
    <row r="292" s="347" customFormat="1" ht="14.25" customHeight="1" spans="1:7">
      <c r="A292" s="362" t="s">
        <v>288</v>
      </c>
      <c r="B292" s="362" t="s">
        <v>2887</v>
      </c>
      <c r="C292" s="362">
        <v>5400</v>
      </c>
      <c r="D292" s="362">
        <v>5360</v>
      </c>
      <c r="E292" s="362">
        <v>6270</v>
      </c>
      <c r="F292" s="362">
        <v>1040</v>
      </c>
      <c r="G292" s="370">
        <v>3230</v>
      </c>
    </row>
    <row r="293" s="347" customFormat="1" ht="14.25" customHeight="1" spans="1:7">
      <c r="A293" s="362" t="s">
        <v>288</v>
      </c>
      <c r="B293" s="362" t="s">
        <v>2897</v>
      </c>
      <c r="C293" s="362">
        <v>5320</v>
      </c>
      <c r="D293" s="362">
        <v>5270</v>
      </c>
      <c r="E293" s="362">
        <v>6160</v>
      </c>
      <c r="F293" s="362">
        <v>990</v>
      </c>
      <c r="G293" s="370">
        <v>3170</v>
      </c>
    </row>
    <row r="294" s="347" customFormat="1" ht="14.25" customHeight="1" spans="1:7">
      <c r="A294" s="362" t="s">
        <v>288</v>
      </c>
      <c r="B294" s="362" t="s">
        <v>2907</v>
      </c>
      <c r="C294" s="362">
        <v>5260</v>
      </c>
      <c r="D294" s="362">
        <v>5210</v>
      </c>
      <c r="E294" s="362">
        <v>6100</v>
      </c>
      <c r="F294" s="362">
        <v>950</v>
      </c>
      <c r="G294" s="370">
        <v>3150</v>
      </c>
    </row>
    <row r="295" s="347" customFormat="1" ht="14.25" customHeight="1" spans="1:7">
      <c r="A295" s="362" t="s">
        <v>288</v>
      </c>
      <c r="B295" s="362" t="s">
        <v>2917</v>
      </c>
      <c r="C295" s="362">
        <v>5610</v>
      </c>
      <c r="D295" s="362">
        <v>5570</v>
      </c>
      <c r="E295" s="362">
        <v>6530</v>
      </c>
      <c r="F295" s="362">
        <v>960</v>
      </c>
      <c r="G295" s="370">
        <v>3360</v>
      </c>
    </row>
    <row r="296" s="347" customFormat="1" ht="14.25" customHeight="1" spans="1:7">
      <c r="A296" s="362" t="s">
        <v>288</v>
      </c>
      <c r="B296" s="362" t="s">
        <v>2927</v>
      </c>
      <c r="C296" s="362">
        <v>5540</v>
      </c>
      <c r="D296" s="362">
        <v>5490</v>
      </c>
      <c r="E296" s="362">
        <v>6430</v>
      </c>
      <c r="F296" s="362">
        <v>980</v>
      </c>
      <c r="G296" s="370">
        <v>3310</v>
      </c>
    </row>
    <row r="297" s="347" customFormat="1" ht="14.25" customHeight="1" spans="1:7">
      <c r="A297" s="362" t="s">
        <v>288</v>
      </c>
      <c r="B297" s="362" t="s">
        <v>2936</v>
      </c>
      <c r="C297" s="362">
        <v>5480</v>
      </c>
      <c r="D297" s="362">
        <v>5420</v>
      </c>
      <c r="E297" s="362">
        <v>6370</v>
      </c>
      <c r="F297" s="362">
        <v>990</v>
      </c>
      <c r="G297" s="370">
        <v>3270</v>
      </c>
    </row>
    <row r="298" s="347" customFormat="1" ht="14.25" customHeight="1" spans="1:7">
      <c r="A298" s="362" t="s">
        <v>288</v>
      </c>
      <c r="B298" s="362" t="s">
        <v>2944</v>
      </c>
      <c r="C298" s="362">
        <v>5090</v>
      </c>
      <c r="D298" s="362">
        <v>5050</v>
      </c>
      <c r="E298" s="362">
        <v>5910</v>
      </c>
      <c r="F298" s="362">
        <v>900</v>
      </c>
      <c r="G298" s="370">
        <v>3040</v>
      </c>
    </row>
    <row r="299" s="347" customFormat="1" ht="14.25" customHeight="1" spans="1:7">
      <c r="A299" s="362" t="s">
        <v>288</v>
      </c>
      <c r="B299" s="376" t="s">
        <v>2952</v>
      </c>
      <c r="C299" s="362">
        <v>5430</v>
      </c>
      <c r="D299" s="362">
        <v>5380</v>
      </c>
      <c r="E299" s="362">
        <v>6280</v>
      </c>
      <c r="F299" s="362">
        <v>1000</v>
      </c>
      <c r="G299" s="370">
        <v>3240</v>
      </c>
    </row>
    <row r="300" s="347" customFormat="1" ht="14.25" customHeight="1" spans="1:7">
      <c r="A300" s="362" t="s">
        <v>288</v>
      </c>
      <c r="B300" s="376" t="s">
        <v>2960</v>
      </c>
      <c r="C300" s="362">
        <v>4740</v>
      </c>
      <c r="D300" s="362">
        <v>4680</v>
      </c>
      <c r="E300" s="362">
        <v>5450</v>
      </c>
      <c r="F300" s="362">
        <v>900</v>
      </c>
      <c r="G300" s="370">
        <v>2830</v>
      </c>
    </row>
    <row r="301" s="347" customFormat="1" ht="14.25" customHeight="1" spans="1:7">
      <c r="A301" s="362" t="s">
        <v>288</v>
      </c>
      <c r="B301" s="376" t="s">
        <v>2968</v>
      </c>
      <c r="C301" s="362">
        <v>4870</v>
      </c>
      <c r="D301" s="362">
        <v>4810</v>
      </c>
      <c r="E301" s="362">
        <v>5560</v>
      </c>
      <c r="F301" s="362">
        <v>990</v>
      </c>
      <c r="G301" s="370">
        <v>2910</v>
      </c>
    </row>
    <row r="302" s="347" customFormat="1" ht="14.25" customHeight="1" spans="1:7">
      <c r="A302" s="362" t="s">
        <v>288</v>
      </c>
      <c r="B302" s="362" t="s">
        <v>2975</v>
      </c>
      <c r="C302" s="362">
        <v>5520</v>
      </c>
      <c r="D302" s="362">
        <v>5470</v>
      </c>
      <c r="E302" s="362">
        <v>6410</v>
      </c>
      <c r="F302" s="362">
        <v>950</v>
      </c>
      <c r="G302" s="370">
        <v>3300</v>
      </c>
    </row>
    <row r="303" s="347" customFormat="1" ht="14.25" customHeight="1" spans="1:7">
      <c r="A303" s="362" t="s">
        <v>288</v>
      </c>
      <c r="B303" s="362" t="s">
        <v>2982</v>
      </c>
      <c r="C303" s="362">
        <v>5630</v>
      </c>
      <c r="D303" s="362">
        <v>5590</v>
      </c>
      <c r="E303" s="362">
        <v>6550</v>
      </c>
      <c r="F303" s="362">
        <v>1010</v>
      </c>
      <c r="G303" s="370">
        <v>3370</v>
      </c>
    </row>
    <row r="304" s="347" customFormat="1" ht="14.25" customHeight="1" spans="1:7">
      <c r="A304" s="362" t="s">
        <v>288</v>
      </c>
      <c r="B304" s="362" t="s">
        <v>2989</v>
      </c>
      <c r="C304" s="362">
        <v>5680</v>
      </c>
      <c r="D304" s="362">
        <v>5620</v>
      </c>
      <c r="E304" s="362">
        <v>6620</v>
      </c>
      <c r="F304" s="362">
        <v>1050</v>
      </c>
      <c r="G304" s="370">
        <v>3390</v>
      </c>
    </row>
    <row r="305" s="347" customFormat="1" ht="14.25" customHeight="1" spans="1:7">
      <c r="A305" s="362" t="s">
        <v>288</v>
      </c>
      <c r="B305" s="362" t="s">
        <v>2996</v>
      </c>
      <c r="C305" s="362">
        <v>5590</v>
      </c>
      <c r="D305" s="362">
        <v>5530</v>
      </c>
      <c r="E305" s="362">
        <v>6460</v>
      </c>
      <c r="F305" s="362">
        <v>900</v>
      </c>
      <c r="G305" s="370">
        <v>3340</v>
      </c>
    </row>
    <row r="306" s="347" customFormat="1" ht="14.25" customHeight="1" spans="1:7">
      <c r="A306" s="362" t="s">
        <v>288</v>
      </c>
      <c r="B306" s="362" t="s">
        <v>3003</v>
      </c>
      <c r="C306" s="362">
        <v>5560</v>
      </c>
      <c r="D306" s="362">
        <v>5510</v>
      </c>
      <c r="E306" s="362">
        <v>6440</v>
      </c>
      <c r="F306" s="362">
        <v>900</v>
      </c>
      <c r="G306" s="370">
        <v>3320</v>
      </c>
    </row>
    <row r="307" s="347" customFormat="1" ht="14.25" customHeight="1" spans="1:7">
      <c r="A307" s="362" t="s">
        <v>288</v>
      </c>
      <c r="B307" s="362" t="s">
        <v>3010</v>
      </c>
      <c r="C307" s="362">
        <v>5650</v>
      </c>
      <c r="D307" s="362">
        <v>5600</v>
      </c>
      <c r="E307" s="362">
        <v>6590</v>
      </c>
      <c r="F307" s="362">
        <v>930</v>
      </c>
      <c r="G307" s="370">
        <v>3380</v>
      </c>
    </row>
    <row r="308" s="347" customFormat="1" ht="14.25" customHeight="1" spans="1:7">
      <c r="A308" s="362" t="s">
        <v>288</v>
      </c>
      <c r="B308" s="362" t="s">
        <v>3017</v>
      </c>
      <c r="C308" s="362">
        <v>5620</v>
      </c>
      <c r="D308" s="362">
        <v>5580</v>
      </c>
      <c r="E308" s="362">
        <v>6540</v>
      </c>
      <c r="F308" s="362">
        <v>910</v>
      </c>
      <c r="G308" s="370">
        <v>3370</v>
      </c>
    </row>
    <row r="309" s="347" customFormat="1" ht="14.25" customHeight="1" spans="1:7">
      <c r="A309" s="362" t="s">
        <v>288</v>
      </c>
      <c r="B309" s="362" t="s">
        <v>3022</v>
      </c>
      <c r="C309" s="362">
        <v>5060</v>
      </c>
      <c r="D309" s="362">
        <v>5020</v>
      </c>
      <c r="E309" s="362">
        <v>6370</v>
      </c>
      <c r="F309" s="362">
        <v>800</v>
      </c>
      <c r="G309" s="370">
        <v>3020</v>
      </c>
    </row>
    <row r="310" s="347" customFormat="1" ht="14.25" customHeight="1" spans="1:7">
      <c r="A310" s="362" t="s">
        <v>288</v>
      </c>
      <c r="B310" s="362" t="s">
        <v>3027</v>
      </c>
      <c r="C310" s="362">
        <v>5150</v>
      </c>
      <c r="D310" s="362">
        <v>5110</v>
      </c>
      <c r="E310" s="362">
        <v>6500</v>
      </c>
      <c r="F310" s="362">
        <v>880</v>
      </c>
      <c r="G310" s="370">
        <v>3080</v>
      </c>
    </row>
    <row r="311" s="347" customFormat="1" ht="14.25" customHeight="1" spans="1:7">
      <c r="A311" s="362" t="s">
        <v>288</v>
      </c>
      <c r="B311" s="362" t="s">
        <v>3032</v>
      </c>
      <c r="C311" s="362">
        <v>4750</v>
      </c>
      <c r="D311" s="362">
        <v>4710</v>
      </c>
      <c r="E311" s="362">
        <v>5510</v>
      </c>
      <c r="F311" s="362">
        <v>880</v>
      </c>
      <c r="G311" s="370">
        <v>2840</v>
      </c>
    </row>
    <row r="312" s="347" customFormat="1" ht="14.25" customHeight="1" spans="1:7">
      <c r="A312" s="362" t="s">
        <v>288</v>
      </c>
      <c r="B312" s="362" t="s">
        <v>3037</v>
      </c>
      <c r="C312" s="362">
        <v>4690</v>
      </c>
      <c r="D312" s="362">
        <v>4640</v>
      </c>
      <c r="E312" s="362">
        <v>5420</v>
      </c>
      <c r="F312" s="362">
        <v>800</v>
      </c>
      <c r="G312" s="370">
        <v>2800</v>
      </c>
    </row>
    <row r="313" s="347" customFormat="1" ht="14.25" customHeight="1" spans="1:7">
      <c r="A313" s="362" t="s">
        <v>288</v>
      </c>
      <c r="B313" s="362" t="s">
        <v>3042</v>
      </c>
      <c r="C313" s="362">
        <v>4810</v>
      </c>
      <c r="D313" s="362">
        <v>4760</v>
      </c>
      <c r="E313" s="362">
        <v>5550</v>
      </c>
      <c r="F313" s="362">
        <v>920</v>
      </c>
      <c r="G313" s="370">
        <v>2870</v>
      </c>
    </row>
    <row r="314" s="347" customFormat="1" ht="14.25" customHeight="1" spans="1:7">
      <c r="A314" s="362" t="s">
        <v>288</v>
      </c>
      <c r="B314" s="362" t="s">
        <v>3047</v>
      </c>
      <c r="C314" s="362"/>
      <c r="D314" s="362"/>
      <c r="E314" s="362"/>
      <c r="F314" s="362">
        <v>1020</v>
      </c>
      <c r="G314" s="370"/>
    </row>
    <row r="315" s="347" customFormat="1" ht="14.25" customHeight="1" spans="1:7">
      <c r="A315" s="362" t="s">
        <v>288</v>
      </c>
      <c r="B315" s="362" t="s">
        <v>3052</v>
      </c>
      <c r="C315" s="362"/>
      <c r="D315" s="362"/>
      <c r="E315" s="362"/>
      <c r="F315" s="362">
        <v>1050</v>
      </c>
      <c r="G315" s="370"/>
    </row>
    <row r="316" s="347" customFormat="1" ht="14.25" customHeight="1" spans="1:7">
      <c r="A316" s="362" t="s">
        <v>288</v>
      </c>
      <c r="B316" s="362" t="s">
        <v>3057</v>
      </c>
      <c r="C316" s="362"/>
      <c r="D316" s="362"/>
      <c r="E316" s="362"/>
      <c r="F316" s="362">
        <v>900</v>
      </c>
      <c r="G316" s="370"/>
    </row>
    <row r="317" s="347" customFormat="1" ht="14.25" customHeight="1" spans="1:7">
      <c r="A317" s="362" t="s">
        <v>288</v>
      </c>
      <c r="B317" s="362" t="s">
        <v>3061</v>
      </c>
      <c r="C317" s="362"/>
      <c r="D317" s="362"/>
      <c r="E317" s="362"/>
      <c r="F317" s="362">
        <v>920</v>
      </c>
      <c r="G317" s="370"/>
    </row>
    <row r="318" s="347" customFormat="1" ht="14.25" customHeight="1" spans="1:7">
      <c r="A318" s="362" t="s">
        <v>288</v>
      </c>
      <c r="B318" s="362" t="s">
        <v>3065</v>
      </c>
      <c r="C318" s="362"/>
      <c r="D318" s="362"/>
      <c r="E318" s="362"/>
      <c r="F318" s="362">
        <v>1080</v>
      </c>
      <c r="G318" s="370"/>
    </row>
    <row r="319" s="347" customFormat="1" ht="14.25" customHeight="1" spans="1:7">
      <c r="A319" s="362" t="s">
        <v>288</v>
      </c>
      <c r="B319" s="362" t="s">
        <v>3069</v>
      </c>
      <c r="C319" s="362"/>
      <c r="D319" s="362"/>
      <c r="E319" s="362"/>
      <c r="F319" s="362">
        <v>1020</v>
      </c>
      <c r="G319" s="370"/>
    </row>
    <row r="320" s="347" customFormat="1" ht="14.25" customHeight="1" spans="1:7">
      <c r="A320" s="362" t="s">
        <v>288</v>
      </c>
      <c r="B320" s="362" t="s">
        <v>3072</v>
      </c>
      <c r="C320" s="362"/>
      <c r="D320" s="362"/>
      <c r="E320" s="362"/>
      <c r="F320" s="362">
        <v>1050</v>
      </c>
      <c r="G320" s="370"/>
    </row>
    <row r="321" s="347" customFormat="1" ht="14.25" customHeight="1" spans="1:7">
      <c r="A321" s="362" t="s">
        <v>288</v>
      </c>
      <c r="B321" s="362" t="s">
        <v>3074</v>
      </c>
      <c r="C321" s="362"/>
      <c r="D321" s="362"/>
      <c r="E321" s="362"/>
      <c r="F321" s="362">
        <v>960</v>
      </c>
      <c r="G321" s="370"/>
    </row>
    <row r="322" s="347" customFormat="1" ht="14.25" customHeight="1" spans="1:7">
      <c r="A322" s="362" t="s">
        <v>288</v>
      </c>
      <c r="B322" s="362" t="s">
        <v>3076</v>
      </c>
      <c r="C322" s="362"/>
      <c r="D322" s="362"/>
      <c r="E322" s="362"/>
      <c r="F322" s="362">
        <v>960</v>
      </c>
      <c r="G322" s="370"/>
    </row>
    <row r="323" s="347" customFormat="1" ht="14.25" customHeight="1" spans="1:7">
      <c r="A323" s="362" t="s">
        <v>288</v>
      </c>
      <c r="B323" s="362" t="s">
        <v>3078</v>
      </c>
      <c r="C323" s="362"/>
      <c r="D323" s="362"/>
      <c r="E323" s="362"/>
      <c r="F323" s="362">
        <v>880</v>
      </c>
      <c r="G323" s="370"/>
    </row>
    <row r="324" s="347" customFormat="1" ht="14.25" customHeight="1" spans="1:7">
      <c r="A324" s="362" t="s">
        <v>288</v>
      </c>
      <c r="B324" s="362" t="s">
        <v>3080</v>
      </c>
      <c r="C324" s="362"/>
      <c r="D324" s="362"/>
      <c r="E324" s="362"/>
      <c r="F324" s="362">
        <v>930</v>
      </c>
      <c r="G324" s="370"/>
    </row>
    <row r="325" s="347" customFormat="1" ht="14.25" customHeight="1" spans="1:7">
      <c r="A325" s="362" t="s">
        <v>288</v>
      </c>
      <c r="B325" s="363" t="s">
        <v>3082</v>
      </c>
      <c r="C325" s="362"/>
      <c r="D325" s="362"/>
      <c r="E325" s="362"/>
      <c r="F325" s="362">
        <v>900</v>
      </c>
      <c r="G325" s="370"/>
    </row>
    <row r="326" s="347" customFormat="1" ht="14.25" customHeight="1" spans="1:7">
      <c r="A326" s="371" t="s">
        <v>288</v>
      </c>
      <c r="B326" s="366" t="s">
        <v>3084</v>
      </c>
      <c r="C326" s="366"/>
      <c r="D326" s="366"/>
      <c r="E326" s="366"/>
      <c r="F326" s="366">
        <v>790</v>
      </c>
      <c r="G326" s="372"/>
    </row>
    <row r="327" s="347" customFormat="1" ht="14.25" customHeight="1" spans="1:7">
      <c r="A327" s="360" t="s">
        <v>292</v>
      </c>
      <c r="B327" s="361" t="s">
        <v>2724</v>
      </c>
      <c r="C327" s="362">
        <v>3750</v>
      </c>
      <c r="D327" s="362">
        <v>3710</v>
      </c>
      <c r="E327" s="362">
        <v>4080</v>
      </c>
      <c r="F327" s="362">
        <v>860</v>
      </c>
      <c r="G327" s="362">
        <v>2210</v>
      </c>
    </row>
    <row r="328" s="347" customFormat="1" ht="14.25" customHeight="1" spans="1:7">
      <c r="A328" s="362" t="s">
        <v>292</v>
      </c>
      <c r="B328" s="362" t="s">
        <v>2737</v>
      </c>
      <c r="C328" s="362">
        <v>3330</v>
      </c>
      <c r="D328" s="362">
        <v>3290</v>
      </c>
      <c r="E328" s="362">
        <v>3610</v>
      </c>
      <c r="F328" s="362">
        <v>850</v>
      </c>
      <c r="G328" s="362">
        <v>1960</v>
      </c>
    </row>
    <row r="329" s="347" customFormat="1" ht="14.25" customHeight="1" spans="1:7">
      <c r="A329" s="362" t="s">
        <v>292</v>
      </c>
      <c r="B329" s="362" t="s">
        <v>2751</v>
      </c>
      <c r="C329" s="362">
        <v>2730</v>
      </c>
      <c r="D329" s="362">
        <v>2690</v>
      </c>
      <c r="E329" s="362">
        <v>3100</v>
      </c>
      <c r="F329" s="362">
        <v>660</v>
      </c>
      <c r="G329" s="362">
        <v>1610</v>
      </c>
    </row>
    <row r="330" s="347" customFormat="1" ht="14.25" customHeight="1" spans="1:7">
      <c r="A330" s="362" t="s">
        <v>292</v>
      </c>
      <c r="B330" s="362" t="s">
        <v>2763</v>
      </c>
      <c r="C330" s="362">
        <v>3270</v>
      </c>
      <c r="D330" s="362">
        <v>3240</v>
      </c>
      <c r="E330" s="362">
        <v>3560</v>
      </c>
      <c r="F330" s="362">
        <v>680</v>
      </c>
      <c r="G330" s="362">
        <v>1940</v>
      </c>
    </row>
    <row r="331" s="347" customFormat="1" ht="14.25" customHeight="1" spans="1:7">
      <c r="A331" s="362" t="s">
        <v>292</v>
      </c>
      <c r="B331" s="362" t="s">
        <v>2775</v>
      </c>
      <c r="C331" s="362">
        <v>3770</v>
      </c>
      <c r="D331" s="362">
        <v>3740</v>
      </c>
      <c r="E331" s="362">
        <v>4110</v>
      </c>
      <c r="F331" s="362">
        <v>730</v>
      </c>
      <c r="G331" s="362">
        <v>2230</v>
      </c>
    </row>
    <row r="332" s="347" customFormat="1" ht="14.25" customHeight="1" spans="1:7">
      <c r="A332" s="362" t="s">
        <v>292</v>
      </c>
      <c r="B332" s="362" t="s">
        <v>2786</v>
      </c>
      <c r="C332" s="362">
        <v>3520</v>
      </c>
      <c r="D332" s="362">
        <v>3480</v>
      </c>
      <c r="E332" s="362">
        <v>3830</v>
      </c>
      <c r="F332" s="362">
        <v>720</v>
      </c>
      <c r="G332" s="362">
        <v>2090</v>
      </c>
    </row>
    <row r="333" s="347" customFormat="1" ht="14.25" customHeight="1" spans="1:7">
      <c r="A333" s="362" t="s">
        <v>292</v>
      </c>
      <c r="B333" s="362" t="s">
        <v>2797</v>
      </c>
      <c r="C333" s="362">
        <v>3840</v>
      </c>
      <c r="D333" s="362">
        <v>3800</v>
      </c>
      <c r="E333" s="362">
        <v>4200</v>
      </c>
      <c r="F333" s="362">
        <v>760</v>
      </c>
      <c r="G333" s="362">
        <v>2270</v>
      </c>
    </row>
    <row r="334" s="347" customFormat="1" ht="14.25" customHeight="1" spans="1:7">
      <c r="A334" s="362" t="s">
        <v>292</v>
      </c>
      <c r="B334" s="362" t="s">
        <v>2808</v>
      </c>
      <c r="C334" s="362">
        <v>3960</v>
      </c>
      <c r="D334" s="362">
        <v>3910</v>
      </c>
      <c r="E334" s="362">
        <v>4340</v>
      </c>
      <c r="F334" s="362">
        <v>780</v>
      </c>
      <c r="G334" s="362">
        <v>2340</v>
      </c>
    </row>
    <row r="335" s="347" customFormat="1" ht="14.25" customHeight="1" spans="1:7">
      <c r="A335" s="362" t="s">
        <v>292</v>
      </c>
      <c r="B335" s="362" t="s">
        <v>2818</v>
      </c>
      <c r="C335" s="362">
        <v>3710</v>
      </c>
      <c r="D335" s="362">
        <v>3670</v>
      </c>
      <c r="E335" s="362">
        <v>4030</v>
      </c>
      <c r="F335" s="362">
        <v>750</v>
      </c>
      <c r="G335" s="362">
        <v>2200</v>
      </c>
    </row>
    <row r="336" s="347" customFormat="1" ht="14.25" customHeight="1" spans="1:7">
      <c r="A336" s="362" t="s">
        <v>292</v>
      </c>
      <c r="B336" s="362" t="s">
        <v>2828</v>
      </c>
      <c r="C336" s="362">
        <v>3570</v>
      </c>
      <c r="D336" s="362">
        <v>3530</v>
      </c>
      <c r="E336" s="362">
        <v>3880</v>
      </c>
      <c r="F336" s="362">
        <v>770</v>
      </c>
      <c r="G336" s="362">
        <v>2110</v>
      </c>
    </row>
    <row r="337" s="347" customFormat="1" ht="14.25" customHeight="1" spans="1:7">
      <c r="A337" s="362" t="s">
        <v>292</v>
      </c>
      <c r="B337" s="362" t="s">
        <v>2838</v>
      </c>
      <c r="C337" s="362">
        <v>3780</v>
      </c>
      <c r="D337" s="362">
        <v>3750</v>
      </c>
      <c r="E337" s="362">
        <v>4130</v>
      </c>
      <c r="F337" s="362">
        <v>750</v>
      </c>
      <c r="G337" s="362">
        <v>2240</v>
      </c>
    </row>
    <row r="338" s="347" customFormat="1" ht="14.25" customHeight="1" spans="1:7">
      <c r="A338" s="362" t="s">
        <v>292</v>
      </c>
      <c r="B338" s="362" t="s">
        <v>2848</v>
      </c>
      <c r="C338" s="362">
        <v>3600</v>
      </c>
      <c r="D338" s="362">
        <v>3570</v>
      </c>
      <c r="E338" s="362">
        <v>3920</v>
      </c>
      <c r="F338" s="362">
        <v>790</v>
      </c>
      <c r="G338" s="362">
        <v>2140</v>
      </c>
    </row>
    <row r="339" s="347" customFormat="1" ht="14.25" customHeight="1" spans="1:7">
      <c r="A339" s="362" t="s">
        <v>292</v>
      </c>
      <c r="B339" s="362" t="s">
        <v>2858</v>
      </c>
      <c r="C339" s="362">
        <v>3540</v>
      </c>
      <c r="D339" s="362">
        <v>3500</v>
      </c>
      <c r="E339" s="362">
        <v>3850</v>
      </c>
      <c r="F339" s="362">
        <v>780</v>
      </c>
      <c r="G339" s="362">
        <v>2100</v>
      </c>
    </row>
    <row r="340" s="347" customFormat="1" ht="14.25" customHeight="1" spans="1:7">
      <c r="A340" s="362" t="s">
        <v>292</v>
      </c>
      <c r="B340" s="362" t="s">
        <v>2868</v>
      </c>
      <c r="C340" s="362">
        <v>3850</v>
      </c>
      <c r="D340" s="362">
        <v>3810</v>
      </c>
      <c r="E340" s="362">
        <v>4210</v>
      </c>
      <c r="F340" s="362">
        <v>750</v>
      </c>
      <c r="G340" s="362">
        <v>2280</v>
      </c>
    </row>
    <row r="341" s="347" customFormat="1" ht="14.25" customHeight="1" spans="1:7">
      <c r="A341" s="362" t="s">
        <v>292</v>
      </c>
      <c r="B341" s="362" t="s">
        <v>2878</v>
      </c>
      <c r="C341" s="362">
        <v>3780</v>
      </c>
      <c r="D341" s="362">
        <v>3750</v>
      </c>
      <c r="E341" s="362">
        <v>4140</v>
      </c>
      <c r="F341" s="362">
        <v>720</v>
      </c>
      <c r="G341" s="362">
        <v>2240</v>
      </c>
    </row>
    <row r="342" s="347" customFormat="1" ht="14.25" customHeight="1" spans="1:7">
      <c r="A342" s="362" t="s">
        <v>292</v>
      </c>
      <c r="B342" s="362" t="s">
        <v>2888</v>
      </c>
      <c r="C342" s="362">
        <v>3670</v>
      </c>
      <c r="D342" s="362">
        <v>3620</v>
      </c>
      <c r="E342" s="362">
        <v>3990</v>
      </c>
      <c r="F342" s="362">
        <v>760</v>
      </c>
      <c r="G342" s="362">
        <v>2170</v>
      </c>
    </row>
    <row r="343" s="347" customFormat="1" ht="14.25" customHeight="1" spans="1:7">
      <c r="A343" s="362" t="s">
        <v>292</v>
      </c>
      <c r="B343" s="362" t="s">
        <v>2898</v>
      </c>
      <c r="C343" s="362">
        <v>3760</v>
      </c>
      <c r="D343" s="362">
        <v>3720</v>
      </c>
      <c r="E343" s="362">
        <v>4090</v>
      </c>
      <c r="F343" s="362">
        <v>780</v>
      </c>
      <c r="G343" s="362">
        <v>2220</v>
      </c>
    </row>
    <row r="344" s="347" customFormat="1" ht="14.25" customHeight="1" spans="1:7">
      <c r="A344" s="362" t="s">
        <v>292</v>
      </c>
      <c r="B344" s="362" t="s">
        <v>2908</v>
      </c>
      <c r="C344" s="362">
        <v>3680</v>
      </c>
      <c r="D344" s="362">
        <v>3640</v>
      </c>
      <c r="E344" s="362">
        <v>4010</v>
      </c>
      <c r="F344" s="362">
        <v>750</v>
      </c>
      <c r="G344" s="362">
        <v>2180</v>
      </c>
    </row>
    <row r="345" spans="1:10">
      <c r="A345" s="362" t="s">
        <v>292</v>
      </c>
      <c r="B345" s="362" t="s">
        <v>2918</v>
      </c>
      <c r="C345" s="362">
        <v>3190</v>
      </c>
      <c r="D345" s="362">
        <v>3140</v>
      </c>
      <c r="E345" s="362">
        <v>3450</v>
      </c>
      <c r="F345" s="362">
        <v>720</v>
      </c>
      <c r="G345" s="362">
        <v>1880</v>
      </c>
      <c r="J345" s="347"/>
    </row>
    <row r="346" spans="1:10">
      <c r="A346" s="362" t="s">
        <v>292</v>
      </c>
      <c r="B346" s="362" t="s">
        <v>2928</v>
      </c>
      <c r="C346" s="362">
        <v>3630</v>
      </c>
      <c r="D346" s="362">
        <v>3590</v>
      </c>
      <c r="E346" s="362">
        <v>3940</v>
      </c>
      <c r="F346" s="362">
        <v>730</v>
      </c>
      <c r="G346" s="362">
        <v>2150</v>
      </c>
      <c r="J346" s="347"/>
    </row>
    <row r="347" spans="1:10">
      <c r="A347" s="362" t="s">
        <v>292</v>
      </c>
      <c r="B347" s="362" t="s">
        <v>2937</v>
      </c>
      <c r="C347" s="362">
        <v>3860</v>
      </c>
      <c r="D347" s="362">
        <v>3820</v>
      </c>
      <c r="E347" s="362">
        <v>4220</v>
      </c>
      <c r="F347" s="362">
        <v>750</v>
      </c>
      <c r="G347" s="362">
        <v>2280</v>
      </c>
      <c r="J347" s="347"/>
    </row>
    <row r="348" spans="1:10">
      <c r="A348" s="362" t="s">
        <v>292</v>
      </c>
      <c r="B348" s="362" t="s">
        <v>2945</v>
      </c>
      <c r="C348" s="362">
        <v>4000</v>
      </c>
      <c r="D348" s="362">
        <v>3950</v>
      </c>
      <c r="E348" s="362">
        <v>4430</v>
      </c>
      <c r="F348" s="362">
        <v>760</v>
      </c>
      <c r="G348" s="362">
        <v>2360</v>
      </c>
      <c r="J348" s="347"/>
    </row>
    <row r="349" spans="1:10">
      <c r="A349" s="362" t="s">
        <v>292</v>
      </c>
      <c r="B349" s="362" t="s">
        <v>2953</v>
      </c>
      <c r="C349" s="362">
        <v>3820</v>
      </c>
      <c r="D349" s="362">
        <v>3780</v>
      </c>
      <c r="E349" s="362">
        <v>4170</v>
      </c>
      <c r="F349" s="362">
        <v>710</v>
      </c>
      <c r="G349" s="362">
        <v>2260</v>
      </c>
      <c r="J349" s="347"/>
    </row>
    <row r="350" spans="1:10">
      <c r="A350" s="362" t="s">
        <v>292</v>
      </c>
      <c r="B350" s="362" t="s">
        <v>2961</v>
      </c>
      <c r="C350" s="362">
        <v>3760</v>
      </c>
      <c r="D350" s="362">
        <v>3730</v>
      </c>
      <c r="E350" s="362">
        <v>4100</v>
      </c>
      <c r="F350" s="362">
        <v>800</v>
      </c>
      <c r="G350" s="362">
        <v>2230</v>
      </c>
      <c r="J350" s="347"/>
    </row>
    <row r="351" spans="1:10">
      <c r="A351" s="362" t="s">
        <v>292</v>
      </c>
      <c r="B351" s="362" t="s">
        <v>2969</v>
      </c>
      <c r="C351" s="362">
        <v>3610</v>
      </c>
      <c r="D351" s="362">
        <v>3580</v>
      </c>
      <c r="E351" s="362">
        <v>3930</v>
      </c>
      <c r="F351" s="362">
        <v>700</v>
      </c>
      <c r="G351" s="362">
        <v>2140</v>
      </c>
      <c r="J351" s="347"/>
    </row>
    <row r="352" spans="1:7">
      <c r="A352" s="362" t="s">
        <v>292</v>
      </c>
      <c r="B352" s="362" t="s">
        <v>2976</v>
      </c>
      <c r="C352" s="362">
        <v>3670</v>
      </c>
      <c r="D352" s="362">
        <v>3630</v>
      </c>
      <c r="E352" s="362">
        <v>4000</v>
      </c>
      <c r="F352" s="362">
        <v>750</v>
      </c>
      <c r="G352" s="362">
        <v>2180</v>
      </c>
    </row>
    <row r="353" s="348" customFormat="1" spans="1:7">
      <c r="A353" s="362" t="s">
        <v>292</v>
      </c>
      <c r="B353" s="362" t="s">
        <v>2983</v>
      </c>
      <c r="C353" s="362">
        <v>3190</v>
      </c>
      <c r="D353" s="362">
        <v>3150</v>
      </c>
      <c r="E353" s="362">
        <v>3640</v>
      </c>
      <c r="F353" s="362">
        <v>630</v>
      </c>
      <c r="G353" s="362">
        <v>1890</v>
      </c>
    </row>
    <row r="354" s="348" customFormat="1" spans="1:7">
      <c r="A354" s="362" t="s">
        <v>292</v>
      </c>
      <c r="B354" s="362" t="s">
        <v>2990</v>
      </c>
      <c r="C354" s="362">
        <v>3450</v>
      </c>
      <c r="D354" s="362">
        <v>3420</v>
      </c>
      <c r="E354" s="362">
        <v>3960</v>
      </c>
      <c r="F354" s="362">
        <v>660</v>
      </c>
      <c r="G354" s="362">
        <v>2050</v>
      </c>
    </row>
    <row r="355" s="348" customFormat="1" spans="1:7">
      <c r="A355" s="362" t="s">
        <v>292</v>
      </c>
      <c r="B355" s="362" t="s">
        <v>2997</v>
      </c>
      <c r="C355" s="362">
        <v>3650</v>
      </c>
      <c r="D355" s="362">
        <v>3610</v>
      </c>
      <c r="E355" s="362">
        <v>4200</v>
      </c>
      <c r="F355" s="362">
        <v>640</v>
      </c>
      <c r="G355" s="362">
        <v>2160</v>
      </c>
    </row>
    <row r="356" s="348" customFormat="1" spans="1:7">
      <c r="A356" s="362" t="s">
        <v>292</v>
      </c>
      <c r="B356" s="362" t="s">
        <v>3004</v>
      </c>
      <c r="C356" s="362">
        <v>3260</v>
      </c>
      <c r="D356" s="362">
        <v>3230</v>
      </c>
      <c r="E356" s="362">
        <v>3740</v>
      </c>
      <c r="F356" s="362">
        <v>600</v>
      </c>
      <c r="G356" s="362">
        <v>1930</v>
      </c>
    </row>
    <row r="357" s="348" customFormat="1" ht="12" spans="1:7">
      <c r="A357" s="364" t="s">
        <v>292</v>
      </c>
      <c r="B357" s="368" t="s">
        <v>3011</v>
      </c>
      <c r="C357" s="368">
        <v>3690</v>
      </c>
      <c r="D357" s="368">
        <v>3650</v>
      </c>
      <c r="E357" s="368">
        <v>4020</v>
      </c>
      <c r="F357" s="368">
        <v>700</v>
      </c>
      <c r="G357" s="368">
        <v>2190</v>
      </c>
    </row>
    <row r="358" s="348" customFormat="1" spans="1:7">
      <c r="A358" s="360" t="s">
        <v>296</v>
      </c>
      <c r="B358" s="361" t="s">
        <v>2725</v>
      </c>
      <c r="C358" s="361">
        <v>2080</v>
      </c>
      <c r="D358" s="361">
        <v>2040</v>
      </c>
      <c r="E358" s="361">
        <v>2010</v>
      </c>
      <c r="F358" s="361">
        <v>530</v>
      </c>
      <c r="G358" s="369">
        <v>1230</v>
      </c>
    </row>
    <row r="359" s="348" customFormat="1" spans="1:7">
      <c r="A359" s="362" t="s">
        <v>296</v>
      </c>
      <c r="B359" s="362" t="s">
        <v>2738</v>
      </c>
      <c r="C359" s="362">
        <v>1850</v>
      </c>
      <c r="D359" s="362">
        <v>1820</v>
      </c>
      <c r="E359" s="362">
        <v>1780</v>
      </c>
      <c r="F359" s="362">
        <v>520</v>
      </c>
      <c r="G359" s="370">
        <v>1100</v>
      </c>
    </row>
    <row r="360" s="348" customFormat="1" spans="1:7">
      <c r="A360" s="362" t="s">
        <v>296</v>
      </c>
      <c r="B360" s="362" t="s">
        <v>2752</v>
      </c>
      <c r="C360" s="362">
        <v>2020</v>
      </c>
      <c r="D360" s="362">
        <v>1990</v>
      </c>
      <c r="E360" s="362">
        <v>1950</v>
      </c>
      <c r="F360" s="362">
        <v>500</v>
      </c>
      <c r="G360" s="370">
        <v>1200</v>
      </c>
    </row>
    <row r="361" s="348" customFormat="1" spans="1:7">
      <c r="A361" s="362" t="s">
        <v>296</v>
      </c>
      <c r="B361" s="362" t="s">
        <v>2764</v>
      </c>
      <c r="C361" s="362">
        <v>2260</v>
      </c>
      <c r="D361" s="362">
        <v>2220</v>
      </c>
      <c r="E361" s="362">
        <v>2180</v>
      </c>
      <c r="F361" s="362">
        <v>580</v>
      </c>
      <c r="G361" s="370">
        <v>1340</v>
      </c>
    </row>
    <row r="362" s="348" customFormat="1" spans="1:7">
      <c r="A362" s="362" t="s">
        <v>296</v>
      </c>
      <c r="B362" s="362" t="s">
        <v>2776</v>
      </c>
      <c r="C362" s="362">
        <v>2650</v>
      </c>
      <c r="D362" s="362">
        <v>2610</v>
      </c>
      <c r="E362" s="362">
        <v>2570</v>
      </c>
      <c r="F362" s="362">
        <v>630</v>
      </c>
      <c r="G362" s="370">
        <v>1570</v>
      </c>
    </row>
    <row r="363" s="348" customFormat="1" spans="1:7">
      <c r="A363" s="362" t="s">
        <v>296</v>
      </c>
      <c r="B363" s="362" t="s">
        <v>2787</v>
      </c>
      <c r="C363" s="362">
        <v>2390</v>
      </c>
      <c r="D363" s="362">
        <v>2360</v>
      </c>
      <c r="E363" s="362">
        <v>2320</v>
      </c>
      <c r="F363" s="362">
        <v>600</v>
      </c>
      <c r="G363" s="370">
        <v>1420</v>
      </c>
    </row>
    <row r="364" s="348" customFormat="1" spans="1:7">
      <c r="A364" s="362" t="s">
        <v>296</v>
      </c>
      <c r="B364" s="362" t="s">
        <v>2798</v>
      </c>
      <c r="C364" s="362">
        <v>2050</v>
      </c>
      <c r="D364" s="362">
        <v>2030</v>
      </c>
      <c r="E364" s="362">
        <v>1990</v>
      </c>
      <c r="F364" s="362">
        <v>550</v>
      </c>
      <c r="G364" s="370">
        <v>1220</v>
      </c>
    </row>
    <row r="365" s="348" customFormat="1" spans="1:7">
      <c r="A365" s="362" t="s">
        <v>296</v>
      </c>
      <c r="B365" s="362" t="s">
        <v>2809</v>
      </c>
      <c r="C365" s="362">
        <v>2140</v>
      </c>
      <c r="D365" s="362">
        <v>2100</v>
      </c>
      <c r="E365" s="362">
        <v>2060</v>
      </c>
      <c r="F365" s="362">
        <v>540</v>
      </c>
      <c r="G365" s="370">
        <v>1270</v>
      </c>
    </row>
    <row r="366" s="348" customFormat="1" spans="1:7">
      <c r="A366" s="362" t="s">
        <v>296</v>
      </c>
      <c r="B366" s="362" t="s">
        <v>2819</v>
      </c>
      <c r="C366" s="362">
        <v>2410</v>
      </c>
      <c r="D366" s="362">
        <v>2370</v>
      </c>
      <c r="E366" s="362">
        <v>2330</v>
      </c>
      <c r="F366" s="362">
        <v>570</v>
      </c>
      <c r="G366" s="370">
        <v>1440</v>
      </c>
    </row>
    <row r="367" s="348" customFormat="1" spans="1:7">
      <c r="A367" s="362" t="s">
        <v>296</v>
      </c>
      <c r="B367" s="362" t="s">
        <v>2829</v>
      </c>
      <c r="C367" s="362">
        <v>2300</v>
      </c>
      <c r="D367" s="362">
        <v>2260</v>
      </c>
      <c r="E367" s="362">
        <v>2220</v>
      </c>
      <c r="F367" s="362">
        <v>560</v>
      </c>
      <c r="G367" s="370">
        <v>1370</v>
      </c>
    </row>
    <row r="368" s="348" customFormat="1" spans="1:7">
      <c r="A368" s="362" t="s">
        <v>296</v>
      </c>
      <c r="B368" s="362" t="s">
        <v>2839</v>
      </c>
      <c r="C368" s="362">
        <v>2430</v>
      </c>
      <c r="D368" s="362">
        <v>2390</v>
      </c>
      <c r="E368" s="362">
        <v>2350</v>
      </c>
      <c r="F368" s="362">
        <v>570</v>
      </c>
      <c r="G368" s="370">
        <v>1450</v>
      </c>
    </row>
    <row r="369" s="348" customFormat="1" spans="1:7">
      <c r="A369" s="362" t="s">
        <v>296</v>
      </c>
      <c r="B369" s="362" t="s">
        <v>2849</v>
      </c>
      <c r="C369" s="362">
        <v>2320</v>
      </c>
      <c r="D369" s="362">
        <v>2290</v>
      </c>
      <c r="E369" s="362">
        <v>2250</v>
      </c>
      <c r="F369" s="362">
        <v>550</v>
      </c>
      <c r="G369" s="370">
        <v>1380</v>
      </c>
    </row>
    <row r="370" s="348" customFormat="1" spans="1:7">
      <c r="A370" s="362" t="s">
        <v>296</v>
      </c>
      <c r="B370" s="362" t="s">
        <v>2859</v>
      </c>
      <c r="C370" s="362">
        <v>2190</v>
      </c>
      <c r="D370" s="362">
        <v>2170</v>
      </c>
      <c r="E370" s="362">
        <v>2130</v>
      </c>
      <c r="F370" s="362">
        <v>530</v>
      </c>
      <c r="G370" s="370">
        <v>1310</v>
      </c>
    </row>
    <row r="371" s="348" customFormat="1" spans="1:7">
      <c r="A371" s="362" t="s">
        <v>296</v>
      </c>
      <c r="B371" s="362" t="s">
        <v>2869</v>
      </c>
      <c r="C371" s="362">
        <v>2460</v>
      </c>
      <c r="D371" s="362">
        <v>2420</v>
      </c>
      <c r="E371" s="362">
        <v>2370</v>
      </c>
      <c r="F371" s="362">
        <v>560</v>
      </c>
      <c r="G371" s="370">
        <v>1470</v>
      </c>
    </row>
    <row r="372" s="348" customFormat="1" spans="1:7">
      <c r="A372" s="362" t="s">
        <v>296</v>
      </c>
      <c r="B372" s="362" t="s">
        <v>2879</v>
      </c>
      <c r="C372" s="362">
        <v>2250</v>
      </c>
      <c r="D372" s="362">
        <v>2210</v>
      </c>
      <c r="E372" s="362">
        <v>2180</v>
      </c>
      <c r="F372" s="362">
        <v>550</v>
      </c>
      <c r="G372" s="370">
        <v>1340</v>
      </c>
    </row>
    <row r="373" s="348" customFormat="1" spans="1:7">
      <c r="A373" s="362" t="s">
        <v>296</v>
      </c>
      <c r="B373" s="362" t="s">
        <v>2889</v>
      </c>
      <c r="C373" s="362">
        <v>2210</v>
      </c>
      <c r="D373" s="362">
        <v>2190</v>
      </c>
      <c r="E373" s="362">
        <v>2150</v>
      </c>
      <c r="F373" s="362">
        <v>530</v>
      </c>
      <c r="G373" s="370">
        <v>1320</v>
      </c>
    </row>
    <row r="374" s="348" customFormat="1" spans="1:7">
      <c r="A374" s="362" t="s">
        <v>296</v>
      </c>
      <c r="B374" s="362" t="s">
        <v>2899</v>
      </c>
      <c r="C374" s="362">
        <v>2320</v>
      </c>
      <c r="D374" s="362">
        <v>2280</v>
      </c>
      <c r="E374" s="362">
        <v>2230</v>
      </c>
      <c r="F374" s="362">
        <v>580</v>
      </c>
      <c r="G374" s="370">
        <v>1380</v>
      </c>
    </row>
    <row r="375" s="348" customFormat="1" spans="1:7">
      <c r="A375" s="362" t="s">
        <v>296</v>
      </c>
      <c r="B375" s="362" t="s">
        <v>2909</v>
      </c>
      <c r="C375" s="362">
        <v>2090</v>
      </c>
      <c r="D375" s="362">
        <v>2050</v>
      </c>
      <c r="E375" s="362">
        <v>2020</v>
      </c>
      <c r="F375" s="362">
        <v>520</v>
      </c>
      <c r="G375" s="370">
        <v>1240</v>
      </c>
    </row>
    <row r="376" s="348" customFormat="1" spans="1:7">
      <c r="A376" s="362" t="s">
        <v>296</v>
      </c>
      <c r="B376" s="362" t="s">
        <v>2919</v>
      </c>
      <c r="C376" s="362">
        <v>2010</v>
      </c>
      <c r="D376" s="362">
        <v>1980</v>
      </c>
      <c r="E376" s="362">
        <v>1940</v>
      </c>
      <c r="F376" s="362">
        <v>540</v>
      </c>
      <c r="G376" s="370">
        <v>1190</v>
      </c>
    </row>
    <row r="377" s="348" customFormat="1" ht="12" spans="1:7">
      <c r="A377" s="364" t="s">
        <v>296</v>
      </c>
      <c r="B377" s="368" t="s">
        <v>2929</v>
      </c>
      <c r="C377" s="368">
        <v>1930</v>
      </c>
      <c r="D377" s="368">
        <v>1890</v>
      </c>
      <c r="E377" s="368">
        <v>1860</v>
      </c>
      <c r="F377" s="368">
        <v>530</v>
      </c>
      <c r="G377" s="377">
        <v>1150</v>
      </c>
    </row>
    <row r="378" s="348" customFormat="1" spans="1:7">
      <c r="A378" s="378" t="s">
        <v>300</v>
      </c>
      <c r="B378" s="361" t="s">
        <v>2726</v>
      </c>
      <c r="C378" s="361">
        <v>1520</v>
      </c>
      <c r="D378" s="361">
        <v>1490</v>
      </c>
      <c r="E378" s="361">
        <v>1460</v>
      </c>
      <c r="F378" s="361">
        <v>460</v>
      </c>
      <c r="G378" s="369">
        <v>940</v>
      </c>
    </row>
    <row r="379" s="348" customFormat="1" spans="1:7">
      <c r="A379" s="379" t="s">
        <v>300</v>
      </c>
      <c r="B379" s="362" t="s">
        <v>2739</v>
      </c>
      <c r="C379" s="362">
        <v>1500</v>
      </c>
      <c r="D379" s="362">
        <v>1470</v>
      </c>
      <c r="E379" s="362">
        <v>1430</v>
      </c>
      <c r="F379" s="362">
        <v>460</v>
      </c>
      <c r="G379" s="370">
        <v>920</v>
      </c>
    </row>
    <row r="380" s="348" customFormat="1" spans="1:7">
      <c r="A380" s="379" t="s">
        <v>300</v>
      </c>
      <c r="B380" s="362" t="s">
        <v>2753</v>
      </c>
      <c r="C380" s="362">
        <v>1620</v>
      </c>
      <c r="D380" s="362">
        <v>1590</v>
      </c>
      <c r="E380" s="362">
        <v>1560</v>
      </c>
      <c r="F380" s="362">
        <v>480</v>
      </c>
      <c r="G380" s="370">
        <v>1000</v>
      </c>
    </row>
    <row r="381" s="348" customFormat="1" spans="1:7">
      <c r="A381" s="379" t="s">
        <v>300</v>
      </c>
      <c r="B381" s="362" t="s">
        <v>2765</v>
      </c>
      <c r="C381" s="362">
        <v>1460</v>
      </c>
      <c r="D381" s="362">
        <v>1430</v>
      </c>
      <c r="E381" s="362">
        <v>1390</v>
      </c>
      <c r="F381" s="362">
        <v>450</v>
      </c>
      <c r="G381" s="370">
        <v>900</v>
      </c>
    </row>
    <row r="382" s="348" customFormat="1" spans="1:7">
      <c r="A382" s="379" t="s">
        <v>300</v>
      </c>
      <c r="B382" s="362" t="s">
        <v>2777</v>
      </c>
      <c r="C382" s="362">
        <v>1310</v>
      </c>
      <c r="D382" s="362">
        <v>1280</v>
      </c>
      <c r="E382" s="362">
        <v>1250</v>
      </c>
      <c r="F382" s="362">
        <v>440</v>
      </c>
      <c r="G382" s="370">
        <v>800</v>
      </c>
    </row>
    <row r="383" s="348" customFormat="1" spans="1:7">
      <c r="A383" s="379" t="s">
        <v>300</v>
      </c>
      <c r="B383" s="362" t="s">
        <v>2788</v>
      </c>
      <c r="C383" s="362">
        <v>1260</v>
      </c>
      <c r="D383" s="362">
        <v>1230</v>
      </c>
      <c r="E383" s="362">
        <v>1200</v>
      </c>
      <c r="F383" s="362">
        <v>420</v>
      </c>
      <c r="G383" s="370">
        <v>770</v>
      </c>
    </row>
    <row r="384" s="348" customFormat="1" ht="12" spans="1:7">
      <c r="A384" s="380" t="s">
        <v>300</v>
      </c>
      <c r="B384" s="366" t="s">
        <v>2799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3098</v>
      </c>
      <c r="B1" s="312"/>
    </row>
    <row r="2" ht="14.25" spans="1:2">
      <c r="A2" s="312"/>
      <c r="B2" s="312"/>
    </row>
    <row r="3" ht="14.25" spans="1:7">
      <c r="A3" s="312"/>
      <c r="B3" s="312"/>
      <c r="C3" s="313" t="s">
        <v>2389</v>
      </c>
      <c r="D3" s="313" t="s">
        <v>2390</v>
      </c>
      <c r="E3" s="313" t="s">
        <v>412</v>
      </c>
      <c r="F3" s="313" t="s">
        <v>408</v>
      </c>
      <c r="G3" s="313" t="s">
        <v>280</v>
      </c>
    </row>
    <row r="4" ht="14.25" spans="1:7">
      <c r="A4" s="314" t="s">
        <v>2727</v>
      </c>
      <c r="B4" s="315" t="s">
        <v>2740</v>
      </c>
      <c r="C4" s="313"/>
      <c r="D4" s="313"/>
      <c r="E4" s="313"/>
      <c r="F4" s="313"/>
      <c r="G4" s="313"/>
    </row>
    <row r="5" spans="1:7">
      <c r="A5" s="316" t="s">
        <v>230</v>
      </c>
      <c r="B5" s="317" t="s">
        <v>2715</v>
      </c>
      <c r="C5" s="318">
        <v>0.098</v>
      </c>
      <c r="D5" s="318">
        <v>0.087</v>
      </c>
      <c r="E5" s="318">
        <v>0.087</v>
      </c>
      <c r="F5" s="318">
        <v>0.098</v>
      </c>
      <c r="G5" s="319">
        <v>0.095</v>
      </c>
    </row>
    <row r="6" spans="1:7">
      <c r="A6" s="320" t="s">
        <v>230</v>
      </c>
      <c r="B6" s="321" t="s">
        <v>2728</v>
      </c>
      <c r="C6" s="322">
        <v>0.098</v>
      </c>
      <c r="D6" s="322">
        <v>0.098</v>
      </c>
      <c r="E6" s="322">
        <v>0.098</v>
      </c>
      <c r="F6" s="322">
        <v>0.1</v>
      </c>
      <c r="G6" s="323">
        <v>0.099</v>
      </c>
    </row>
    <row r="7" spans="1:7">
      <c r="A7" s="320" t="s">
        <v>230</v>
      </c>
      <c r="B7" s="321" t="s">
        <v>2742</v>
      </c>
      <c r="C7" s="322">
        <v>0.097</v>
      </c>
      <c r="D7" s="322">
        <v>0.097</v>
      </c>
      <c r="E7" s="322">
        <v>0.096</v>
      </c>
      <c r="F7" s="322">
        <v>0.1</v>
      </c>
      <c r="G7" s="323">
        <v>0.098</v>
      </c>
    </row>
    <row r="8" spans="1:7">
      <c r="A8" s="320" t="s">
        <v>230</v>
      </c>
      <c r="B8" s="321" t="s">
        <v>2754</v>
      </c>
      <c r="C8" s="322">
        <v>0.081</v>
      </c>
      <c r="D8" s="322">
        <v>0.082</v>
      </c>
      <c r="E8" s="322">
        <v>0.07</v>
      </c>
      <c r="F8" s="322">
        <v>0.096</v>
      </c>
      <c r="G8" s="323">
        <v>0.089</v>
      </c>
    </row>
    <row r="9" ht="14.25" spans="1:7">
      <c r="A9" s="324" t="s">
        <v>230</v>
      </c>
      <c r="B9" s="325" t="s">
        <v>2766</v>
      </c>
      <c r="C9" s="326">
        <v>0.1</v>
      </c>
      <c r="D9" s="326">
        <v>0.1</v>
      </c>
      <c r="E9" s="326">
        <v>0.1</v>
      </c>
      <c r="F9" s="327"/>
      <c r="G9" s="328">
        <v>0.1</v>
      </c>
    </row>
    <row r="10" spans="1:7">
      <c r="A10" s="316" t="s">
        <v>241</v>
      </c>
      <c r="B10" s="317" t="s">
        <v>2716</v>
      </c>
      <c r="C10" s="318">
        <v>0.067</v>
      </c>
      <c r="D10" s="318">
        <v>0.079</v>
      </c>
      <c r="E10" s="318">
        <v>0.079</v>
      </c>
      <c r="F10" s="318">
        <v>0.1</v>
      </c>
      <c r="G10" s="319">
        <v>0.091</v>
      </c>
    </row>
    <row r="11" spans="1:7">
      <c r="A11" s="320" t="s">
        <v>241</v>
      </c>
      <c r="B11" s="321" t="s">
        <v>2729</v>
      </c>
      <c r="C11" s="322">
        <v>0.05</v>
      </c>
      <c r="D11" s="322">
        <v>0.053</v>
      </c>
      <c r="E11" s="322">
        <v>0.063</v>
      </c>
      <c r="F11" s="322">
        <v>0.1</v>
      </c>
      <c r="G11" s="323">
        <v>0.072</v>
      </c>
    </row>
    <row r="12" spans="1:7">
      <c r="A12" s="320" t="s">
        <v>241</v>
      </c>
      <c r="B12" s="321" t="s">
        <v>2743</v>
      </c>
      <c r="C12" s="322">
        <v>0.053</v>
      </c>
      <c r="D12" s="322">
        <v>0.09</v>
      </c>
      <c r="E12" s="322">
        <v>0.072</v>
      </c>
      <c r="F12" s="322">
        <v>0.1</v>
      </c>
      <c r="G12" s="323">
        <v>0.097</v>
      </c>
    </row>
    <row r="13" spans="1:7">
      <c r="A13" s="320" t="s">
        <v>241</v>
      </c>
      <c r="B13" s="321" t="s">
        <v>2755</v>
      </c>
      <c r="C13" s="322">
        <v>0.097</v>
      </c>
      <c r="D13" s="322">
        <v>0.092</v>
      </c>
      <c r="E13" s="322">
        <v>0.095</v>
      </c>
      <c r="F13" s="322">
        <v>0.1</v>
      </c>
      <c r="G13" s="323">
        <v>0.097</v>
      </c>
    </row>
    <row r="14" spans="1:7">
      <c r="A14" s="320" t="s">
        <v>241</v>
      </c>
      <c r="B14" s="321" t="s">
        <v>2767</v>
      </c>
      <c r="C14" s="322">
        <v>0.097</v>
      </c>
      <c r="D14" s="322">
        <v>0.097</v>
      </c>
      <c r="E14" s="322">
        <v>0.097</v>
      </c>
      <c r="F14" s="322">
        <v>0.1</v>
      </c>
      <c r="G14" s="323">
        <v>0.098</v>
      </c>
    </row>
    <row r="15" spans="1:7">
      <c r="A15" s="320" t="s">
        <v>241</v>
      </c>
      <c r="B15" s="321" t="s">
        <v>2778</v>
      </c>
      <c r="C15" s="322">
        <v>0.098</v>
      </c>
      <c r="D15" s="322">
        <v>0.091</v>
      </c>
      <c r="E15" s="322">
        <v>0.06</v>
      </c>
      <c r="F15" s="322">
        <v>0.1</v>
      </c>
      <c r="G15" s="323">
        <v>0.097</v>
      </c>
    </row>
    <row r="16" spans="1:7">
      <c r="A16" s="320" t="s">
        <v>241</v>
      </c>
      <c r="B16" s="321" t="s">
        <v>2789</v>
      </c>
      <c r="C16" s="322">
        <v>0.098</v>
      </c>
      <c r="D16" s="322">
        <v>0.097</v>
      </c>
      <c r="E16" s="322">
        <v>0.095</v>
      </c>
      <c r="F16" s="322">
        <v>0.1</v>
      </c>
      <c r="G16" s="323">
        <v>0.099</v>
      </c>
    </row>
    <row r="17" spans="1:7">
      <c r="A17" s="320" t="s">
        <v>241</v>
      </c>
      <c r="B17" s="321" t="s">
        <v>2800</v>
      </c>
      <c r="C17" s="322">
        <v>0.089</v>
      </c>
      <c r="D17" s="322">
        <v>0.092</v>
      </c>
      <c r="E17" s="322">
        <v>0.061</v>
      </c>
      <c r="F17" s="322">
        <v>0.1</v>
      </c>
      <c r="G17" s="323">
        <v>0.097</v>
      </c>
    </row>
    <row r="18" spans="1:7">
      <c r="A18" s="320" t="s">
        <v>241</v>
      </c>
      <c r="B18" s="321" t="s">
        <v>2810</v>
      </c>
      <c r="C18" s="322">
        <v>0.098</v>
      </c>
      <c r="D18" s="322">
        <v>0.098</v>
      </c>
      <c r="E18" s="322">
        <v>0.098</v>
      </c>
      <c r="F18" s="329"/>
      <c r="G18" s="323">
        <v>0.099</v>
      </c>
    </row>
    <row r="19" spans="1:7">
      <c r="A19" s="320" t="s">
        <v>241</v>
      </c>
      <c r="B19" s="321" t="s">
        <v>2820</v>
      </c>
      <c r="C19" s="322">
        <v>0.099</v>
      </c>
      <c r="D19" s="322">
        <v>0.074</v>
      </c>
      <c r="E19" s="322">
        <v>0.081</v>
      </c>
      <c r="F19" s="329"/>
      <c r="G19" s="323">
        <v>0.093</v>
      </c>
    </row>
    <row r="20" spans="1:7">
      <c r="A20" s="320" t="s">
        <v>241</v>
      </c>
      <c r="B20" s="321" t="s">
        <v>2830</v>
      </c>
      <c r="C20" s="322">
        <v>0.1</v>
      </c>
      <c r="D20" s="322">
        <v>0.089</v>
      </c>
      <c r="E20" s="322">
        <v>0.089</v>
      </c>
      <c r="F20" s="329"/>
      <c r="G20" s="323">
        <v>0.095</v>
      </c>
    </row>
    <row r="21" spans="1:7">
      <c r="A21" s="320" t="s">
        <v>241</v>
      </c>
      <c r="B21" s="321" t="s">
        <v>2840</v>
      </c>
      <c r="C21" s="322">
        <v>0.1</v>
      </c>
      <c r="D21" s="322">
        <v>0.091</v>
      </c>
      <c r="E21" s="322">
        <v>0.082</v>
      </c>
      <c r="F21" s="329"/>
      <c r="G21" s="323">
        <v>0.097</v>
      </c>
    </row>
    <row r="22" spans="1:7">
      <c r="A22" s="320" t="s">
        <v>241</v>
      </c>
      <c r="B22" s="321" t="s">
        <v>2850</v>
      </c>
      <c r="C22" s="322">
        <v>0.095</v>
      </c>
      <c r="D22" s="322">
        <v>0.099</v>
      </c>
      <c r="E22" s="322">
        <v>0.098</v>
      </c>
      <c r="F22" s="329"/>
      <c r="G22" s="323">
        <v>0.1</v>
      </c>
    </row>
    <row r="23" spans="1:7">
      <c r="A23" s="320" t="s">
        <v>241</v>
      </c>
      <c r="B23" s="321" t="s">
        <v>2860</v>
      </c>
      <c r="C23" s="322">
        <v>0.099</v>
      </c>
      <c r="D23" s="322">
        <v>0.1</v>
      </c>
      <c r="E23" s="322">
        <v>0.1</v>
      </c>
      <c r="F23" s="329"/>
      <c r="G23" s="323">
        <v>0.1</v>
      </c>
    </row>
    <row r="24" spans="1:7">
      <c r="A24" s="320" t="s">
        <v>241</v>
      </c>
      <c r="B24" s="321" t="s">
        <v>2870</v>
      </c>
      <c r="C24" s="322">
        <v>0.095</v>
      </c>
      <c r="D24" s="322">
        <v>0.1</v>
      </c>
      <c r="E24" s="322">
        <v>0.098</v>
      </c>
      <c r="F24" s="329"/>
      <c r="G24" s="323">
        <v>0.1</v>
      </c>
    </row>
    <row r="25" spans="1:7">
      <c r="A25" s="320" t="s">
        <v>241</v>
      </c>
      <c r="B25" s="321" t="s">
        <v>2880</v>
      </c>
      <c r="C25" s="322">
        <v>0.05</v>
      </c>
      <c r="D25" s="322">
        <v>0.096</v>
      </c>
      <c r="E25" s="322">
        <v>0.096</v>
      </c>
      <c r="F25" s="329"/>
      <c r="G25" s="323">
        <v>0.096</v>
      </c>
    </row>
    <row r="26" spans="1:7">
      <c r="A26" s="320" t="s">
        <v>241</v>
      </c>
      <c r="B26" s="321" t="s">
        <v>2890</v>
      </c>
      <c r="C26" s="322">
        <v>0.063</v>
      </c>
      <c r="D26" s="322">
        <v>0.099</v>
      </c>
      <c r="E26" s="322">
        <v>0.098</v>
      </c>
      <c r="F26" s="329"/>
      <c r="G26" s="323">
        <v>0.1</v>
      </c>
    </row>
    <row r="27" spans="1:7">
      <c r="A27" s="320" t="s">
        <v>241</v>
      </c>
      <c r="B27" s="321" t="s">
        <v>2900</v>
      </c>
      <c r="C27" s="322">
        <v>0.052</v>
      </c>
      <c r="D27" s="322">
        <v>0.095</v>
      </c>
      <c r="E27" s="322">
        <v>0.064</v>
      </c>
      <c r="F27" s="329"/>
      <c r="G27" s="323">
        <v>0.097</v>
      </c>
    </row>
    <row r="28" spans="1:7">
      <c r="A28" s="320" t="s">
        <v>241</v>
      </c>
      <c r="B28" s="321" t="s">
        <v>2910</v>
      </c>
      <c r="C28" s="329"/>
      <c r="D28" s="322">
        <v>0.063</v>
      </c>
      <c r="E28" s="322">
        <v>0.052</v>
      </c>
      <c r="F28" s="329"/>
      <c r="G28" s="323">
        <v>0.063</v>
      </c>
    </row>
    <row r="29" ht="14.25" spans="1:7">
      <c r="A29" s="324" t="s">
        <v>241</v>
      </c>
      <c r="B29" s="325" t="s">
        <v>2920</v>
      </c>
      <c r="C29" s="330"/>
      <c r="D29" s="326">
        <v>0.052</v>
      </c>
      <c r="E29" s="326">
        <v>0.07</v>
      </c>
      <c r="F29" s="330"/>
      <c r="G29" s="328">
        <v>0.071</v>
      </c>
    </row>
    <row r="30" spans="1:7">
      <c r="A30" s="331" t="s">
        <v>251</v>
      </c>
      <c r="B30" s="317" t="s">
        <v>2717</v>
      </c>
      <c r="C30" s="318">
        <v>0.066</v>
      </c>
      <c r="D30" s="318">
        <v>0.066</v>
      </c>
      <c r="E30" s="318">
        <v>0.057</v>
      </c>
      <c r="F30" s="318">
        <v>0.1</v>
      </c>
      <c r="G30" s="319">
        <v>0.068</v>
      </c>
    </row>
    <row r="31" spans="1:7">
      <c r="A31" s="332" t="s">
        <v>251</v>
      </c>
      <c r="B31" s="321" t="s">
        <v>2730</v>
      </c>
      <c r="C31" s="322">
        <v>0.055</v>
      </c>
      <c r="D31" s="322">
        <v>0.082</v>
      </c>
      <c r="E31" s="322">
        <v>0.064</v>
      </c>
      <c r="F31" s="322">
        <v>0.1</v>
      </c>
      <c r="G31" s="323">
        <v>0.095</v>
      </c>
    </row>
    <row r="32" spans="1:7">
      <c r="A32" s="332" t="s">
        <v>251</v>
      </c>
      <c r="B32" s="321" t="s">
        <v>2744</v>
      </c>
      <c r="C32" s="322">
        <v>0.082</v>
      </c>
      <c r="D32" s="322">
        <v>0.087</v>
      </c>
      <c r="E32" s="322">
        <v>0.095</v>
      </c>
      <c r="F32" s="322">
        <v>0.1</v>
      </c>
      <c r="G32" s="323">
        <v>0.096</v>
      </c>
    </row>
    <row r="33" spans="1:7">
      <c r="A33" s="332" t="s">
        <v>251</v>
      </c>
      <c r="B33" s="321" t="s">
        <v>2756</v>
      </c>
      <c r="C33" s="322">
        <v>0.099</v>
      </c>
      <c r="D33" s="322">
        <v>0.092</v>
      </c>
      <c r="E33" s="322">
        <v>0.087</v>
      </c>
      <c r="F33" s="322">
        <v>0.1</v>
      </c>
      <c r="G33" s="323">
        <v>0.097</v>
      </c>
    </row>
    <row r="34" spans="1:7">
      <c r="A34" s="332" t="s">
        <v>251</v>
      </c>
      <c r="B34" s="321" t="s">
        <v>2768</v>
      </c>
      <c r="C34" s="322">
        <v>0.084</v>
      </c>
      <c r="D34" s="322">
        <v>0.097</v>
      </c>
      <c r="E34" s="322">
        <v>0.071</v>
      </c>
      <c r="F34" s="322">
        <v>0.1</v>
      </c>
      <c r="G34" s="323">
        <v>0.098</v>
      </c>
    </row>
    <row r="35" spans="1:7">
      <c r="A35" s="332" t="s">
        <v>251</v>
      </c>
      <c r="B35" s="321" t="s">
        <v>2779</v>
      </c>
      <c r="C35" s="322">
        <v>0.083</v>
      </c>
      <c r="D35" s="322">
        <v>0.097</v>
      </c>
      <c r="E35" s="322">
        <v>0.061</v>
      </c>
      <c r="F35" s="322">
        <v>0.1</v>
      </c>
      <c r="G35" s="323">
        <v>0.099</v>
      </c>
    </row>
    <row r="36" spans="1:7">
      <c r="A36" s="332" t="s">
        <v>251</v>
      </c>
      <c r="B36" s="321" t="s">
        <v>2790</v>
      </c>
      <c r="C36" s="322">
        <v>0.097</v>
      </c>
      <c r="D36" s="322">
        <v>0.097</v>
      </c>
      <c r="E36" s="322">
        <v>0.078</v>
      </c>
      <c r="F36" s="322">
        <v>0.1</v>
      </c>
      <c r="G36" s="323">
        <v>0.099</v>
      </c>
    </row>
    <row r="37" spans="1:7">
      <c r="A37" s="332" t="s">
        <v>251</v>
      </c>
      <c r="B37" s="321" t="s">
        <v>2801</v>
      </c>
      <c r="C37" s="322">
        <v>0.097</v>
      </c>
      <c r="D37" s="322">
        <v>0.095</v>
      </c>
      <c r="E37" s="322">
        <v>0.078</v>
      </c>
      <c r="F37" s="322">
        <v>0.1</v>
      </c>
      <c r="G37" s="323">
        <v>0.097</v>
      </c>
    </row>
    <row r="38" spans="1:7">
      <c r="A38" s="332" t="s">
        <v>251</v>
      </c>
      <c r="B38" s="321" t="s">
        <v>2811</v>
      </c>
      <c r="C38" s="322">
        <v>0.097</v>
      </c>
      <c r="D38" s="322">
        <v>0.077</v>
      </c>
      <c r="E38" s="322">
        <v>0.07</v>
      </c>
      <c r="F38" s="322">
        <v>0.1</v>
      </c>
      <c r="G38" s="323">
        <v>0.077</v>
      </c>
    </row>
    <row r="39" spans="1:7">
      <c r="A39" s="332" t="s">
        <v>251</v>
      </c>
      <c r="B39" s="321" t="s">
        <v>2821</v>
      </c>
      <c r="C39" s="322">
        <v>0.095</v>
      </c>
      <c r="D39" s="322">
        <v>0.077</v>
      </c>
      <c r="E39" s="322">
        <v>0.066</v>
      </c>
      <c r="F39" s="322">
        <v>0.1</v>
      </c>
      <c r="G39" s="323">
        <v>0.086</v>
      </c>
    </row>
    <row r="40" spans="1:7">
      <c r="A40" s="332" t="s">
        <v>251</v>
      </c>
      <c r="B40" s="321" t="s">
        <v>2831</v>
      </c>
      <c r="C40" s="322">
        <v>0.077</v>
      </c>
      <c r="D40" s="322">
        <v>0.078</v>
      </c>
      <c r="E40" s="322">
        <v>0.082</v>
      </c>
      <c r="F40" s="333"/>
      <c r="G40" s="323">
        <v>0.078</v>
      </c>
    </row>
    <row r="41" spans="1:7">
      <c r="A41" s="332" t="s">
        <v>251</v>
      </c>
      <c r="B41" s="321" t="s">
        <v>2841</v>
      </c>
      <c r="C41" s="322">
        <v>0.078</v>
      </c>
      <c r="D41" s="322">
        <v>0.078</v>
      </c>
      <c r="E41" s="322">
        <v>0.082</v>
      </c>
      <c r="F41" s="333"/>
      <c r="G41" s="323">
        <v>0.086</v>
      </c>
    </row>
    <row r="42" spans="1:7">
      <c r="A42" s="332" t="s">
        <v>251</v>
      </c>
      <c r="B42" s="321" t="s">
        <v>2851</v>
      </c>
      <c r="C42" s="322">
        <v>0.078</v>
      </c>
      <c r="D42" s="322">
        <v>0.096</v>
      </c>
      <c r="E42" s="322">
        <v>0.072</v>
      </c>
      <c r="F42" s="333"/>
      <c r="G42" s="323">
        <v>0.098</v>
      </c>
    </row>
    <row r="43" spans="1:7">
      <c r="A43" s="332" t="s">
        <v>251</v>
      </c>
      <c r="B43" s="321" t="s">
        <v>2861</v>
      </c>
      <c r="C43" s="322">
        <v>0.078</v>
      </c>
      <c r="D43" s="322">
        <v>0.099</v>
      </c>
      <c r="E43" s="322">
        <v>0.096</v>
      </c>
      <c r="F43" s="333"/>
      <c r="G43" s="323">
        <v>0.1</v>
      </c>
    </row>
    <row r="44" spans="1:7">
      <c r="A44" s="332" t="s">
        <v>251</v>
      </c>
      <c r="B44" s="321" t="s">
        <v>2871</v>
      </c>
      <c r="C44" s="322">
        <v>0.096</v>
      </c>
      <c r="D44" s="322">
        <v>0.1</v>
      </c>
      <c r="E44" s="322">
        <v>0.098</v>
      </c>
      <c r="F44" s="333"/>
      <c r="G44" s="323">
        <v>0.1</v>
      </c>
    </row>
    <row r="45" spans="1:7">
      <c r="A45" s="332" t="s">
        <v>251</v>
      </c>
      <c r="B45" s="321" t="s">
        <v>2881</v>
      </c>
      <c r="C45" s="322">
        <v>0.099</v>
      </c>
      <c r="D45" s="322">
        <v>0.098</v>
      </c>
      <c r="E45" s="322">
        <v>0.095</v>
      </c>
      <c r="F45" s="333"/>
      <c r="G45" s="323">
        <v>0.098</v>
      </c>
    </row>
    <row r="46" spans="1:7">
      <c r="A46" s="332" t="s">
        <v>251</v>
      </c>
      <c r="B46" s="321" t="s">
        <v>2891</v>
      </c>
      <c r="C46" s="322">
        <v>0.1</v>
      </c>
      <c r="D46" s="322">
        <v>0.099</v>
      </c>
      <c r="E46" s="322">
        <v>0.096</v>
      </c>
      <c r="F46" s="333"/>
      <c r="G46" s="323">
        <v>0.1</v>
      </c>
    </row>
    <row r="47" spans="1:7">
      <c r="A47" s="332" t="s">
        <v>251</v>
      </c>
      <c r="B47" s="321" t="s">
        <v>2901</v>
      </c>
      <c r="C47" s="322">
        <v>0.098</v>
      </c>
      <c r="D47" s="322">
        <v>0.087</v>
      </c>
      <c r="E47" s="322">
        <v>0.059</v>
      </c>
      <c r="F47" s="333"/>
      <c r="G47" s="323">
        <v>0.096</v>
      </c>
    </row>
    <row r="48" spans="1:7">
      <c r="A48" s="332" t="s">
        <v>251</v>
      </c>
      <c r="B48" s="321" t="s">
        <v>2911</v>
      </c>
      <c r="C48" s="322">
        <v>0.099</v>
      </c>
      <c r="D48" s="322">
        <v>0.098</v>
      </c>
      <c r="E48" s="322">
        <v>0.095</v>
      </c>
      <c r="F48" s="333"/>
      <c r="G48" s="323">
        <v>0.098</v>
      </c>
    </row>
    <row r="49" spans="1:7">
      <c r="A49" s="332" t="s">
        <v>251</v>
      </c>
      <c r="B49" s="321" t="s">
        <v>2921</v>
      </c>
      <c r="C49" s="322">
        <v>0.088</v>
      </c>
      <c r="D49" s="322">
        <v>0.099</v>
      </c>
      <c r="E49" s="322">
        <v>0.07</v>
      </c>
      <c r="F49" s="333"/>
      <c r="G49" s="323">
        <v>0.1</v>
      </c>
    </row>
    <row r="50" spans="1:7">
      <c r="A50" s="332" t="s">
        <v>251</v>
      </c>
      <c r="B50" s="321" t="s">
        <v>2930</v>
      </c>
      <c r="C50" s="322">
        <v>0.098</v>
      </c>
      <c r="D50" s="322">
        <v>0.073</v>
      </c>
      <c r="E50" s="322">
        <v>0.071</v>
      </c>
      <c r="F50" s="333"/>
      <c r="G50" s="323">
        <v>0.073</v>
      </c>
    </row>
    <row r="51" spans="1:7">
      <c r="A51" s="332" t="s">
        <v>251</v>
      </c>
      <c r="B51" s="321" t="s">
        <v>2938</v>
      </c>
      <c r="C51" s="322">
        <v>0.099</v>
      </c>
      <c r="D51" s="322">
        <v>0.085</v>
      </c>
      <c r="E51" s="322">
        <v>0.063</v>
      </c>
      <c r="F51" s="333"/>
      <c r="G51" s="323">
        <v>0.096</v>
      </c>
    </row>
    <row r="52" spans="1:7">
      <c r="A52" s="332" t="s">
        <v>251</v>
      </c>
      <c r="B52" s="321" t="s">
        <v>2946</v>
      </c>
      <c r="C52" s="322">
        <v>0.074</v>
      </c>
      <c r="D52" s="322">
        <v>0.096</v>
      </c>
      <c r="E52" s="322">
        <v>0.05</v>
      </c>
      <c r="F52" s="333"/>
      <c r="G52" s="323">
        <v>0.098</v>
      </c>
    </row>
    <row r="53" spans="1:7">
      <c r="A53" s="332" t="s">
        <v>251</v>
      </c>
      <c r="B53" s="321" t="s">
        <v>2954</v>
      </c>
      <c r="C53" s="322">
        <v>0.086</v>
      </c>
      <c r="D53" s="333"/>
      <c r="E53" s="322">
        <v>0.092</v>
      </c>
      <c r="F53" s="333"/>
      <c r="G53" s="334"/>
    </row>
    <row r="54" ht="14.25" spans="1:7">
      <c r="A54" s="335" t="s">
        <v>251</v>
      </c>
      <c r="B54" s="325" t="s">
        <v>2962</v>
      </c>
      <c r="C54" s="326">
        <v>0.096</v>
      </c>
      <c r="D54" s="327"/>
      <c r="E54" s="336"/>
      <c r="F54" s="327"/>
      <c r="G54" s="337"/>
    </row>
    <row r="55" spans="1:7">
      <c r="A55" s="331" t="s">
        <v>259</v>
      </c>
      <c r="B55" s="317" t="s">
        <v>2718</v>
      </c>
      <c r="C55" s="318">
        <v>0.096</v>
      </c>
      <c r="D55" s="318">
        <v>0.084</v>
      </c>
      <c r="E55" s="318">
        <v>0.092</v>
      </c>
      <c r="F55" s="318">
        <v>0.1</v>
      </c>
      <c r="G55" s="319">
        <v>0.095</v>
      </c>
    </row>
    <row r="56" spans="1:7">
      <c r="A56" s="332" t="s">
        <v>259</v>
      </c>
      <c r="B56" s="321" t="s">
        <v>2731</v>
      </c>
      <c r="C56" s="322">
        <v>0.084</v>
      </c>
      <c r="D56" s="322">
        <v>0.092</v>
      </c>
      <c r="E56" s="322">
        <v>0.095</v>
      </c>
      <c r="F56" s="322">
        <v>0.092</v>
      </c>
      <c r="G56" s="323">
        <v>0.096</v>
      </c>
    </row>
    <row r="57" spans="1:7">
      <c r="A57" s="332" t="s">
        <v>259</v>
      </c>
      <c r="B57" s="321" t="s">
        <v>2745</v>
      </c>
      <c r="C57" s="322">
        <v>0.099</v>
      </c>
      <c r="D57" s="322">
        <v>0.096</v>
      </c>
      <c r="E57" s="322">
        <v>0.092</v>
      </c>
      <c r="F57" s="322">
        <v>0.1</v>
      </c>
      <c r="G57" s="323">
        <v>0.098</v>
      </c>
    </row>
    <row r="58" spans="1:7">
      <c r="A58" s="332" t="s">
        <v>259</v>
      </c>
      <c r="B58" s="321" t="s">
        <v>2757</v>
      </c>
      <c r="C58" s="322">
        <v>0.098</v>
      </c>
      <c r="D58" s="322">
        <v>0.095</v>
      </c>
      <c r="E58" s="322">
        <v>0.057</v>
      </c>
      <c r="F58" s="322">
        <v>0.1</v>
      </c>
      <c r="G58" s="323">
        <v>0.096</v>
      </c>
    </row>
    <row r="59" spans="1:7">
      <c r="A59" s="332" t="s">
        <v>259</v>
      </c>
      <c r="B59" s="321" t="s">
        <v>2769</v>
      </c>
      <c r="C59" s="322">
        <v>0.095</v>
      </c>
      <c r="D59" s="322">
        <v>0.1</v>
      </c>
      <c r="E59" s="322">
        <v>0.075</v>
      </c>
      <c r="F59" s="322">
        <v>0.1</v>
      </c>
      <c r="G59" s="323">
        <v>0.1</v>
      </c>
    </row>
    <row r="60" spans="1:7">
      <c r="A60" s="332" t="s">
        <v>259</v>
      </c>
      <c r="B60" s="321" t="s">
        <v>2780</v>
      </c>
      <c r="C60" s="322">
        <v>0.1</v>
      </c>
      <c r="D60" s="322">
        <v>0.097</v>
      </c>
      <c r="E60" s="322">
        <v>0.1</v>
      </c>
      <c r="F60" s="322">
        <v>0.1</v>
      </c>
      <c r="G60" s="323">
        <v>0.097</v>
      </c>
    </row>
    <row r="61" spans="1:7">
      <c r="A61" s="332" t="s">
        <v>259</v>
      </c>
      <c r="B61" s="321" t="s">
        <v>2791</v>
      </c>
      <c r="C61" s="322">
        <v>0.097</v>
      </c>
      <c r="D61" s="322">
        <v>0.1</v>
      </c>
      <c r="E61" s="322">
        <v>0.093</v>
      </c>
      <c r="F61" s="322">
        <v>0.1</v>
      </c>
      <c r="G61" s="323">
        <v>0.1</v>
      </c>
    </row>
    <row r="62" spans="1:7">
      <c r="A62" s="332" t="s">
        <v>259</v>
      </c>
      <c r="B62" s="321" t="s">
        <v>2802</v>
      </c>
      <c r="C62" s="322">
        <v>0.1</v>
      </c>
      <c r="D62" s="322">
        <v>0.097</v>
      </c>
      <c r="E62" s="322">
        <v>0.089</v>
      </c>
      <c r="F62" s="322">
        <v>0.1</v>
      </c>
      <c r="G62" s="323">
        <v>0.098</v>
      </c>
    </row>
    <row r="63" spans="1:7">
      <c r="A63" s="332" t="s">
        <v>259</v>
      </c>
      <c r="B63" s="321" t="s">
        <v>2812</v>
      </c>
      <c r="C63" s="322">
        <v>0.097</v>
      </c>
      <c r="D63" s="322">
        <v>0.097</v>
      </c>
      <c r="E63" s="322">
        <v>0.099</v>
      </c>
      <c r="F63" s="322">
        <v>0.1</v>
      </c>
      <c r="G63" s="323">
        <v>0.097</v>
      </c>
    </row>
    <row r="64" spans="1:7">
      <c r="A64" s="332" t="s">
        <v>259</v>
      </c>
      <c r="B64" s="321" t="s">
        <v>2822</v>
      </c>
      <c r="C64" s="322">
        <v>0.097</v>
      </c>
      <c r="D64" s="322">
        <v>0.074</v>
      </c>
      <c r="E64" s="322">
        <v>0.078</v>
      </c>
      <c r="F64" s="322">
        <v>0.1</v>
      </c>
      <c r="G64" s="323">
        <v>0.089</v>
      </c>
    </row>
    <row r="65" spans="1:7">
      <c r="A65" s="332" t="s">
        <v>259</v>
      </c>
      <c r="B65" s="321" t="s">
        <v>2832</v>
      </c>
      <c r="C65" s="322">
        <v>0.073</v>
      </c>
      <c r="D65" s="322">
        <v>0.098</v>
      </c>
      <c r="E65" s="322">
        <v>0.095</v>
      </c>
      <c r="F65" s="322">
        <v>0.1</v>
      </c>
      <c r="G65" s="323">
        <v>0.099</v>
      </c>
    </row>
    <row r="66" spans="1:7">
      <c r="A66" s="332" t="s">
        <v>259</v>
      </c>
      <c r="B66" s="321" t="s">
        <v>2842</v>
      </c>
      <c r="C66" s="322">
        <v>0.098</v>
      </c>
      <c r="D66" s="322">
        <v>0.095</v>
      </c>
      <c r="E66" s="322">
        <v>0.05</v>
      </c>
      <c r="F66" s="322">
        <v>0.1</v>
      </c>
      <c r="G66" s="323">
        <v>0.097</v>
      </c>
    </row>
    <row r="67" spans="1:7">
      <c r="A67" s="332" t="s">
        <v>259</v>
      </c>
      <c r="B67" s="321" t="s">
        <v>2852</v>
      </c>
      <c r="C67" s="322">
        <v>0.095</v>
      </c>
      <c r="D67" s="322">
        <v>0.097</v>
      </c>
      <c r="E67" s="322">
        <v>0.097</v>
      </c>
      <c r="F67" s="322">
        <v>0.1</v>
      </c>
      <c r="G67" s="323">
        <v>0.099</v>
      </c>
    </row>
    <row r="68" spans="1:7">
      <c r="A68" s="332" t="s">
        <v>259</v>
      </c>
      <c r="B68" s="321" t="s">
        <v>2862</v>
      </c>
      <c r="C68" s="322">
        <v>0.097</v>
      </c>
      <c r="D68" s="322">
        <v>0.068</v>
      </c>
      <c r="E68" s="322">
        <v>0.066</v>
      </c>
      <c r="F68" s="322">
        <v>0.1</v>
      </c>
      <c r="G68" s="323">
        <v>0.084</v>
      </c>
    </row>
    <row r="69" spans="1:7">
      <c r="A69" s="332" t="s">
        <v>259</v>
      </c>
      <c r="B69" s="321" t="s">
        <v>2872</v>
      </c>
      <c r="C69" s="322">
        <v>0.068</v>
      </c>
      <c r="D69" s="322">
        <v>0.098</v>
      </c>
      <c r="E69" s="322">
        <v>0.095</v>
      </c>
      <c r="F69" s="322">
        <v>0.1</v>
      </c>
      <c r="G69" s="323">
        <v>0.1</v>
      </c>
    </row>
    <row r="70" spans="1:7">
      <c r="A70" s="332" t="s">
        <v>259</v>
      </c>
      <c r="B70" s="321" t="s">
        <v>2882</v>
      </c>
      <c r="C70" s="322">
        <v>0.098</v>
      </c>
      <c r="D70" s="322">
        <v>0.089</v>
      </c>
      <c r="E70" s="322">
        <v>0.059</v>
      </c>
      <c r="F70" s="322">
        <v>0.1</v>
      </c>
      <c r="G70" s="323">
        <v>0.096</v>
      </c>
    </row>
    <row r="71" spans="1:7">
      <c r="A71" s="332" t="s">
        <v>259</v>
      </c>
      <c r="B71" s="321" t="s">
        <v>2892</v>
      </c>
      <c r="C71" s="322">
        <v>0.089</v>
      </c>
      <c r="D71" s="322">
        <v>0.099</v>
      </c>
      <c r="E71" s="322">
        <v>0.096</v>
      </c>
      <c r="F71" s="322">
        <v>0.1</v>
      </c>
      <c r="G71" s="323">
        <v>0.1</v>
      </c>
    </row>
    <row r="72" spans="1:7">
      <c r="A72" s="332" t="s">
        <v>259</v>
      </c>
      <c r="B72" s="321" t="s">
        <v>2902</v>
      </c>
      <c r="C72" s="322">
        <v>0.099</v>
      </c>
      <c r="D72" s="322">
        <v>0.1</v>
      </c>
      <c r="E72" s="322">
        <v>0.07</v>
      </c>
      <c r="F72" s="333"/>
      <c r="G72" s="323">
        <v>0.1</v>
      </c>
    </row>
    <row r="73" spans="1:7">
      <c r="A73" s="332" t="s">
        <v>259</v>
      </c>
      <c r="B73" s="321" t="s">
        <v>2912</v>
      </c>
      <c r="C73" s="322">
        <v>0.1</v>
      </c>
      <c r="D73" s="322">
        <v>0.1</v>
      </c>
      <c r="E73" s="322">
        <v>0.096</v>
      </c>
      <c r="F73" s="333"/>
      <c r="G73" s="323">
        <v>0.1</v>
      </c>
    </row>
    <row r="74" spans="1:7">
      <c r="A74" s="332" t="s">
        <v>259</v>
      </c>
      <c r="B74" s="321" t="s">
        <v>2922</v>
      </c>
      <c r="C74" s="322">
        <v>0.1</v>
      </c>
      <c r="D74" s="322">
        <v>0.1</v>
      </c>
      <c r="E74" s="322">
        <v>0.098</v>
      </c>
      <c r="F74" s="333"/>
      <c r="G74" s="323">
        <v>0.1</v>
      </c>
    </row>
    <row r="75" spans="1:7">
      <c r="A75" s="332" t="s">
        <v>259</v>
      </c>
      <c r="B75" s="321" t="s">
        <v>2931</v>
      </c>
      <c r="C75" s="322">
        <v>0.1</v>
      </c>
      <c r="D75" s="322">
        <v>0.099</v>
      </c>
      <c r="E75" s="322">
        <v>0.098</v>
      </c>
      <c r="F75" s="333"/>
      <c r="G75" s="323">
        <v>0.1</v>
      </c>
    </row>
    <row r="76" spans="1:7">
      <c r="A76" s="332" t="s">
        <v>259</v>
      </c>
      <c r="B76" s="321" t="s">
        <v>2939</v>
      </c>
      <c r="C76" s="322">
        <v>0.099</v>
      </c>
      <c r="D76" s="322">
        <v>0.1</v>
      </c>
      <c r="E76" s="322">
        <v>0.097</v>
      </c>
      <c r="F76" s="333"/>
      <c r="G76" s="323">
        <v>0.1</v>
      </c>
    </row>
    <row r="77" spans="1:7">
      <c r="A77" s="332" t="s">
        <v>259</v>
      </c>
      <c r="B77" s="321" t="s">
        <v>2947</v>
      </c>
      <c r="C77" s="322">
        <v>0.1</v>
      </c>
      <c r="D77" s="322">
        <v>0.1</v>
      </c>
      <c r="E77" s="322">
        <v>0.096</v>
      </c>
      <c r="F77" s="333"/>
      <c r="G77" s="323">
        <v>0.1</v>
      </c>
    </row>
    <row r="78" spans="1:7">
      <c r="A78" s="332" t="s">
        <v>259</v>
      </c>
      <c r="B78" s="321" t="s">
        <v>2955</v>
      </c>
      <c r="C78" s="322">
        <v>0.1</v>
      </c>
      <c r="D78" s="322">
        <v>0.085</v>
      </c>
      <c r="E78" s="322">
        <v>0.096</v>
      </c>
      <c r="F78" s="333"/>
      <c r="G78" s="323">
        <v>0.096</v>
      </c>
    </row>
    <row r="79" spans="1:7">
      <c r="A79" s="332" t="s">
        <v>259</v>
      </c>
      <c r="B79" s="321" t="s">
        <v>2963</v>
      </c>
      <c r="C79" s="322">
        <v>0.05</v>
      </c>
      <c r="D79" s="322">
        <v>0.096</v>
      </c>
      <c r="E79" s="322">
        <v>0.095</v>
      </c>
      <c r="F79" s="333"/>
      <c r="G79" s="323">
        <v>0.098</v>
      </c>
    </row>
    <row r="80" spans="1:7">
      <c r="A80" s="332" t="s">
        <v>259</v>
      </c>
      <c r="B80" s="321" t="s">
        <v>2970</v>
      </c>
      <c r="C80" s="322">
        <v>0.086</v>
      </c>
      <c r="D80" s="338"/>
      <c r="E80" s="322">
        <v>0.1</v>
      </c>
      <c r="F80" s="333"/>
      <c r="G80" s="334"/>
    </row>
    <row r="81" spans="1:7">
      <c r="A81" s="332" t="s">
        <v>259</v>
      </c>
      <c r="B81" s="321" t="s">
        <v>2977</v>
      </c>
      <c r="C81" s="322">
        <v>0.096</v>
      </c>
      <c r="D81" s="333"/>
      <c r="E81" s="322">
        <v>0.098</v>
      </c>
      <c r="F81" s="333"/>
      <c r="G81" s="334"/>
    </row>
    <row r="82" spans="1:7">
      <c r="A82" s="332" t="s">
        <v>259</v>
      </c>
      <c r="B82" s="321" t="s">
        <v>2984</v>
      </c>
      <c r="C82" s="338"/>
      <c r="D82" s="333"/>
      <c r="E82" s="322">
        <v>0.077</v>
      </c>
      <c r="F82" s="333"/>
      <c r="G82" s="334"/>
    </row>
    <row r="83" spans="1:7">
      <c r="A83" s="332" t="s">
        <v>259</v>
      </c>
      <c r="B83" s="321" t="s">
        <v>2991</v>
      </c>
      <c r="C83" s="333"/>
      <c r="D83" s="333"/>
      <c r="E83" s="333"/>
      <c r="F83" s="322">
        <v>0.1</v>
      </c>
      <c r="G83" s="339"/>
    </row>
    <row r="84" spans="1:7">
      <c r="A84" s="332" t="s">
        <v>259</v>
      </c>
      <c r="B84" s="321" t="s">
        <v>2998</v>
      </c>
      <c r="C84" s="333"/>
      <c r="D84" s="333"/>
      <c r="E84" s="333"/>
      <c r="F84" s="322">
        <v>0.1</v>
      </c>
      <c r="G84" s="339"/>
    </row>
    <row r="85" spans="1:7">
      <c r="A85" s="332" t="s">
        <v>259</v>
      </c>
      <c r="B85" s="321" t="s">
        <v>3005</v>
      </c>
      <c r="C85" s="333"/>
      <c r="D85" s="333"/>
      <c r="E85" s="333"/>
      <c r="F85" s="322">
        <v>0.1</v>
      </c>
      <c r="G85" s="339"/>
    </row>
    <row r="86" ht="14.25" spans="1:7">
      <c r="A86" s="335" t="s">
        <v>259</v>
      </c>
      <c r="B86" s="325" t="s">
        <v>3012</v>
      </c>
      <c r="C86" s="326">
        <v>0.098</v>
      </c>
      <c r="D86" s="326">
        <v>0.098</v>
      </c>
      <c r="E86" s="326">
        <v>0.096</v>
      </c>
      <c r="F86" s="336"/>
      <c r="G86" s="328">
        <v>0.1</v>
      </c>
    </row>
    <row r="87" spans="1:7">
      <c r="A87" s="331" t="s">
        <v>267</v>
      </c>
      <c r="B87" s="317" t="s">
        <v>2719</v>
      </c>
      <c r="C87" s="318">
        <v>0.1</v>
      </c>
      <c r="D87" s="318">
        <v>0.1</v>
      </c>
      <c r="E87" s="318">
        <v>0.098</v>
      </c>
      <c r="F87" s="318">
        <v>0.1</v>
      </c>
      <c r="G87" s="319">
        <v>0.1</v>
      </c>
    </row>
    <row r="88" spans="1:7">
      <c r="A88" s="332" t="s">
        <v>267</v>
      </c>
      <c r="B88" s="321" t="s">
        <v>2732</v>
      </c>
      <c r="C88" s="322">
        <v>0.091</v>
      </c>
      <c r="D88" s="322">
        <v>0.092</v>
      </c>
      <c r="E88" s="322">
        <v>0.1</v>
      </c>
      <c r="F88" s="322">
        <v>0.1</v>
      </c>
      <c r="G88" s="323">
        <v>0.096</v>
      </c>
    </row>
    <row r="89" spans="1:7">
      <c r="A89" s="332" t="s">
        <v>267</v>
      </c>
      <c r="B89" s="321" t="s">
        <v>2746</v>
      </c>
      <c r="C89" s="322">
        <v>0.1</v>
      </c>
      <c r="D89" s="322">
        <v>0.1</v>
      </c>
      <c r="E89" s="322">
        <v>0.067</v>
      </c>
      <c r="F89" s="322">
        <v>0.093</v>
      </c>
      <c r="G89" s="323">
        <v>0.1</v>
      </c>
    </row>
    <row r="90" spans="1:7">
      <c r="A90" s="332" t="s">
        <v>267</v>
      </c>
      <c r="B90" s="321" t="s">
        <v>2758</v>
      </c>
      <c r="C90" s="322">
        <v>0.096</v>
      </c>
      <c r="D90" s="322">
        <v>0.096</v>
      </c>
      <c r="E90" s="322">
        <v>0.1</v>
      </c>
      <c r="F90" s="322">
        <v>0.1</v>
      </c>
      <c r="G90" s="323">
        <v>0.098</v>
      </c>
    </row>
    <row r="91" spans="1:7">
      <c r="A91" s="332" t="s">
        <v>267</v>
      </c>
      <c r="B91" s="321" t="s">
        <v>2770</v>
      </c>
      <c r="C91" s="322">
        <v>0.077</v>
      </c>
      <c r="D91" s="322">
        <v>0.077</v>
      </c>
      <c r="E91" s="322">
        <v>0.096</v>
      </c>
      <c r="F91" s="322">
        <v>0.1</v>
      </c>
      <c r="G91" s="323">
        <v>0.077</v>
      </c>
    </row>
    <row r="92" spans="1:7">
      <c r="A92" s="332" t="s">
        <v>267</v>
      </c>
      <c r="B92" s="321" t="s">
        <v>2781</v>
      </c>
      <c r="C92" s="322">
        <v>0.1</v>
      </c>
      <c r="D92" s="322">
        <v>0.1</v>
      </c>
      <c r="E92" s="322">
        <v>0.092</v>
      </c>
      <c r="F92" s="322">
        <v>0.1</v>
      </c>
      <c r="G92" s="323">
        <v>0.1</v>
      </c>
    </row>
    <row r="93" spans="1:7">
      <c r="A93" s="332" t="s">
        <v>267</v>
      </c>
      <c r="B93" s="321" t="s">
        <v>2792</v>
      </c>
      <c r="C93" s="322">
        <v>0.098</v>
      </c>
      <c r="D93" s="322">
        <v>0.098</v>
      </c>
      <c r="E93" s="322">
        <v>0.096</v>
      </c>
      <c r="F93" s="322">
        <v>0.1</v>
      </c>
      <c r="G93" s="323">
        <v>0.099</v>
      </c>
    </row>
    <row r="94" spans="1:7">
      <c r="A94" s="332" t="s">
        <v>267</v>
      </c>
      <c r="B94" s="321" t="s">
        <v>2803</v>
      </c>
      <c r="C94" s="322">
        <v>0.088</v>
      </c>
      <c r="D94" s="322">
        <v>0.088</v>
      </c>
      <c r="E94" s="322">
        <v>0.096</v>
      </c>
      <c r="F94" s="322">
        <v>0.1</v>
      </c>
      <c r="G94" s="323">
        <v>0.088</v>
      </c>
    </row>
    <row r="95" spans="1:7">
      <c r="A95" s="332" t="s">
        <v>267</v>
      </c>
      <c r="B95" s="321" t="s">
        <v>2813</v>
      </c>
      <c r="C95" s="322">
        <v>0.096</v>
      </c>
      <c r="D95" s="322">
        <v>0.096</v>
      </c>
      <c r="E95" s="322">
        <v>0.1</v>
      </c>
      <c r="F95" s="322">
        <v>0.1</v>
      </c>
      <c r="G95" s="323">
        <v>0.098</v>
      </c>
    </row>
    <row r="96" spans="1:7">
      <c r="A96" s="332" t="s">
        <v>267</v>
      </c>
      <c r="B96" s="321" t="s">
        <v>2823</v>
      </c>
      <c r="C96" s="322">
        <v>0.097</v>
      </c>
      <c r="D96" s="322">
        <v>0.097</v>
      </c>
      <c r="E96" s="322">
        <v>0.1</v>
      </c>
      <c r="F96" s="322">
        <v>0.1</v>
      </c>
      <c r="G96" s="323">
        <v>0.098</v>
      </c>
    </row>
    <row r="97" spans="1:7">
      <c r="A97" s="332" t="s">
        <v>267</v>
      </c>
      <c r="B97" s="321" t="s">
        <v>2833</v>
      </c>
      <c r="C97" s="322">
        <v>0.096</v>
      </c>
      <c r="D97" s="322">
        <v>0.096</v>
      </c>
      <c r="E97" s="322">
        <v>0.099</v>
      </c>
      <c r="F97" s="322">
        <v>0.1</v>
      </c>
      <c r="G97" s="323">
        <v>0.098</v>
      </c>
    </row>
    <row r="98" spans="1:7">
      <c r="A98" s="332" t="s">
        <v>267</v>
      </c>
      <c r="B98" s="321" t="s">
        <v>2843</v>
      </c>
      <c r="C98" s="322">
        <v>0.098</v>
      </c>
      <c r="D98" s="322">
        <v>0.098</v>
      </c>
      <c r="E98" s="322">
        <v>0.1</v>
      </c>
      <c r="F98" s="322">
        <v>0.1</v>
      </c>
      <c r="G98" s="323">
        <v>0.099</v>
      </c>
    </row>
    <row r="99" spans="1:7">
      <c r="A99" s="332" t="s">
        <v>267</v>
      </c>
      <c r="B99" s="321" t="s">
        <v>2853</v>
      </c>
      <c r="C99" s="322">
        <v>0.096</v>
      </c>
      <c r="D99" s="322">
        <v>0.096</v>
      </c>
      <c r="E99" s="322">
        <v>0.1</v>
      </c>
      <c r="F99" s="322">
        <v>0.1</v>
      </c>
      <c r="G99" s="323">
        <v>0.097</v>
      </c>
    </row>
    <row r="100" spans="1:7">
      <c r="A100" s="332" t="s">
        <v>267</v>
      </c>
      <c r="B100" s="321" t="s">
        <v>2863</v>
      </c>
      <c r="C100" s="322">
        <v>0.1</v>
      </c>
      <c r="D100" s="322">
        <v>0.1</v>
      </c>
      <c r="E100" s="322">
        <v>0.097</v>
      </c>
      <c r="F100" s="322">
        <v>0.098</v>
      </c>
      <c r="G100" s="323">
        <v>0.1</v>
      </c>
    </row>
    <row r="101" spans="1:7">
      <c r="A101" s="332" t="s">
        <v>267</v>
      </c>
      <c r="B101" s="321" t="s">
        <v>2873</v>
      </c>
      <c r="C101" s="322">
        <v>0.1</v>
      </c>
      <c r="D101" s="322">
        <v>0.1</v>
      </c>
      <c r="E101" s="322">
        <v>0.095</v>
      </c>
      <c r="F101" s="322">
        <v>0.1</v>
      </c>
      <c r="G101" s="323">
        <v>0.1</v>
      </c>
    </row>
    <row r="102" spans="1:7">
      <c r="A102" s="332" t="s">
        <v>267</v>
      </c>
      <c r="B102" s="321" t="s">
        <v>2883</v>
      </c>
      <c r="C102" s="322">
        <v>0.1</v>
      </c>
      <c r="D102" s="322">
        <v>0.1</v>
      </c>
      <c r="E102" s="322">
        <v>0.099</v>
      </c>
      <c r="F102" s="322">
        <v>0.097</v>
      </c>
      <c r="G102" s="323">
        <v>0.1</v>
      </c>
    </row>
    <row r="103" spans="1:7">
      <c r="A103" s="332" t="s">
        <v>267</v>
      </c>
      <c r="B103" s="321" t="s">
        <v>2893</v>
      </c>
      <c r="C103" s="322">
        <v>0.1</v>
      </c>
      <c r="D103" s="322">
        <v>0.1</v>
      </c>
      <c r="E103" s="322">
        <v>0.098</v>
      </c>
      <c r="F103" s="322">
        <v>0.1</v>
      </c>
      <c r="G103" s="323">
        <v>0.1</v>
      </c>
    </row>
    <row r="104" spans="1:7">
      <c r="A104" s="332" t="s">
        <v>267</v>
      </c>
      <c r="B104" s="321" t="s">
        <v>2903</v>
      </c>
      <c r="C104" s="322">
        <v>0.1</v>
      </c>
      <c r="D104" s="322">
        <v>0.1</v>
      </c>
      <c r="E104" s="322">
        <v>0.098</v>
      </c>
      <c r="F104" s="322">
        <v>0.1</v>
      </c>
      <c r="G104" s="323">
        <v>0.1</v>
      </c>
    </row>
    <row r="105" spans="1:7">
      <c r="A105" s="332" t="s">
        <v>267</v>
      </c>
      <c r="B105" s="321" t="s">
        <v>2913</v>
      </c>
      <c r="C105" s="322">
        <v>0.098</v>
      </c>
      <c r="D105" s="322">
        <v>0.098</v>
      </c>
      <c r="E105" s="322">
        <v>0.098</v>
      </c>
      <c r="F105" s="322">
        <v>0.1</v>
      </c>
      <c r="G105" s="323">
        <v>0.099</v>
      </c>
    </row>
    <row r="106" spans="1:7">
      <c r="A106" s="332" t="s">
        <v>267</v>
      </c>
      <c r="B106" s="321" t="s">
        <v>2923</v>
      </c>
      <c r="C106" s="322">
        <v>0.097</v>
      </c>
      <c r="D106" s="322">
        <v>0.097</v>
      </c>
      <c r="E106" s="322">
        <v>0.097</v>
      </c>
      <c r="F106" s="322">
        <v>0.1</v>
      </c>
      <c r="G106" s="323">
        <v>0.099</v>
      </c>
    </row>
    <row r="107" spans="1:7">
      <c r="A107" s="332" t="s">
        <v>267</v>
      </c>
      <c r="B107" s="321" t="s">
        <v>2932</v>
      </c>
      <c r="C107" s="322">
        <v>0.1</v>
      </c>
      <c r="D107" s="322">
        <v>0.1</v>
      </c>
      <c r="E107" s="322">
        <v>0.086</v>
      </c>
      <c r="F107" s="322">
        <v>0.09</v>
      </c>
      <c r="G107" s="323">
        <v>0.1</v>
      </c>
    </row>
    <row r="108" spans="1:7">
      <c r="A108" s="332" t="s">
        <v>267</v>
      </c>
      <c r="B108" s="321" t="s">
        <v>2940</v>
      </c>
      <c r="C108" s="322">
        <v>0.1</v>
      </c>
      <c r="D108" s="322">
        <v>0.1</v>
      </c>
      <c r="E108" s="322">
        <v>0.096</v>
      </c>
      <c r="F108" s="333"/>
      <c r="G108" s="323">
        <v>0.1</v>
      </c>
    </row>
    <row r="109" spans="1:7">
      <c r="A109" s="332" t="s">
        <v>267</v>
      </c>
      <c r="B109" s="321" t="s">
        <v>2948</v>
      </c>
      <c r="C109" s="322">
        <v>0.1</v>
      </c>
      <c r="D109" s="322">
        <v>0.1</v>
      </c>
      <c r="E109" s="322">
        <v>0.1</v>
      </c>
      <c r="F109" s="333"/>
      <c r="G109" s="323">
        <v>0.1</v>
      </c>
    </row>
    <row r="110" spans="1:7">
      <c r="A110" s="332" t="s">
        <v>267</v>
      </c>
      <c r="B110" s="321" t="s">
        <v>2956</v>
      </c>
      <c r="C110" s="322">
        <v>0.1</v>
      </c>
      <c r="D110" s="322">
        <v>0.1</v>
      </c>
      <c r="E110" s="322">
        <v>0.1</v>
      </c>
      <c r="F110" s="333"/>
      <c r="G110" s="323">
        <v>0.1</v>
      </c>
    </row>
    <row r="111" spans="1:7">
      <c r="A111" s="332" t="s">
        <v>267</v>
      </c>
      <c r="B111" s="321" t="s">
        <v>2964</v>
      </c>
      <c r="C111" s="322">
        <v>0.1</v>
      </c>
      <c r="D111" s="322">
        <v>0.1</v>
      </c>
      <c r="E111" s="322">
        <v>0.095</v>
      </c>
      <c r="F111" s="333"/>
      <c r="G111" s="323">
        <v>0.1</v>
      </c>
    </row>
    <row r="112" spans="1:7">
      <c r="A112" s="332" t="s">
        <v>267</v>
      </c>
      <c r="B112" s="321" t="s">
        <v>2971</v>
      </c>
      <c r="C112" s="322">
        <v>0.097</v>
      </c>
      <c r="D112" s="322">
        <v>0.097</v>
      </c>
      <c r="E112" s="322">
        <v>0.05</v>
      </c>
      <c r="F112" s="333"/>
      <c r="G112" s="323">
        <v>0.098</v>
      </c>
    </row>
    <row r="113" spans="1:7">
      <c r="A113" s="332" t="s">
        <v>267</v>
      </c>
      <c r="B113" s="321" t="s">
        <v>2978</v>
      </c>
      <c r="C113" s="322">
        <v>0.1</v>
      </c>
      <c r="D113" s="322">
        <v>0.1</v>
      </c>
      <c r="E113" s="333"/>
      <c r="F113" s="333"/>
      <c r="G113" s="323">
        <v>0.1</v>
      </c>
    </row>
    <row r="114" spans="1:7">
      <c r="A114" s="332" t="s">
        <v>267</v>
      </c>
      <c r="B114" s="321" t="s">
        <v>2985</v>
      </c>
      <c r="C114" s="322">
        <v>0.097</v>
      </c>
      <c r="D114" s="322">
        <v>0.097</v>
      </c>
      <c r="E114" s="333"/>
      <c r="F114" s="333"/>
      <c r="G114" s="323">
        <v>0.099</v>
      </c>
    </row>
    <row r="115" spans="1:7">
      <c r="A115" s="332" t="s">
        <v>267</v>
      </c>
      <c r="B115" s="321" t="s">
        <v>2992</v>
      </c>
      <c r="C115" s="322">
        <v>0.1</v>
      </c>
      <c r="D115" s="322">
        <v>0.1</v>
      </c>
      <c r="E115" s="333"/>
      <c r="F115" s="333"/>
      <c r="G115" s="323">
        <v>0.1</v>
      </c>
    </row>
    <row r="116" spans="1:7">
      <c r="A116" s="332" t="s">
        <v>267</v>
      </c>
      <c r="B116" s="321" t="s">
        <v>2999</v>
      </c>
      <c r="C116" s="322">
        <v>0.1</v>
      </c>
      <c r="D116" s="322">
        <v>0.1</v>
      </c>
      <c r="E116" s="333"/>
      <c r="F116" s="333"/>
      <c r="G116" s="323">
        <v>0.1</v>
      </c>
    </row>
    <row r="117" spans="1:7">
      <c r="A117" s="332" t="s">
        <v>267</v>
      </c>
      <c r="B117" s="321" t="s">
        <v>3006</v>
      </c>
      <c r="C117" s="322">
        <v>0.097</v>
      </c>
      <c r="D117" s="322">
        <v>0.097</v>
      </c>
      <c r="E117" s="333"/>
      <c r="F117" s="333"/>
      <c r="G117" s="323">
        <v>0.097</v>
      </c>
    </row>
    <row r="118" spans="1:7">
      <c r="A118" s="332" t="s">
        <v>267</v>
      </c>
      <c r="B118" s="321" t="s">
        <v>3013</v>
      </c>
      <c r="C118" s="322">
        <v>0.1</v>
      </c>
      <c r="D118" s="322">
        <v>0.1</v>
      </c>
      <c r="E118" s="333"/>
      <c r="F118" s="333"/>
      <c r="G118" s="323">
        <v>0.1</v>
      </c>
    </row>
    <row r="119" spans="1:7">
      <c r="A119" s="332" t="s">
        <v>267</v>
      </c>
      <c r="B119" s="321" t="s">
        <v>3018</v>
      </c>
      <c r="C119" s="322">
        <v>0.051</v>
      </c>
      <c r="D119" s="322">
        <v>0.052</v>
      </c>
      <c r="E119" s="333"/>
      <c r="F119" s="338"/>
      <c r="G119" s="323">
        <v>0.06</v>
      </c>
    </row>
    <row r="120" spans="1:7">
      <c r="A120" s="332" t="s">
        <v>267</v>
      </c>
      <c r="B120" s="321" t="s">
        <v>3023</v>
      </c>
      <c r="C120" s="333"/>
      <c r="D120" s="333"/>
      <c r="E120" s="333"/>
      <c r="F120" s="322">
        <v>0.1</v>
      </c>
      <c r="G120" s="339"/>
    </row>
    <row r="121" spans="1:7">
      <c r="A121" s="332" t="s">
        <v>267</v>
      </c>
      <c r="B121" s="321" t="s">
        <v>3028</v>
      </c>
      <c r="C121" s="333"/>
      <c r="D121" s="333"/>
      <c r="E121" s="333"/>
      <c r="F121" s="322">
        <v>0.1</v>
      </c>
      <c r="G121" s="339"/>
    </row>
    <row r="122" spans="1:7">
      <c r="A122" s="332" t="s">
        <v>267</v>
      </c>
      <c r="B122" s="321" t="s">
        <v>3033</v>
      </c>
      <c r="C122" s="322">
        <v>0.1</v>
      </c>
      <c r="D122" s="322">
        <v>0.1</v>
      </c>
      <c r="E122" s="322">
        <v>0.098</v>
      </c>
      <c r="F122" s="322">
        <v>0.1</v>
      </c>
      <c r="G122" s="323">
        <v>0.1</v>
      </c>
    </row>
    <row r="123" spans="1:7">
      <c r="A123" s="332" t="s">
        <v>267</v>
      </c>
      <c r="B123" s="321" t="s">
        <v>3038</v>
      </c>
      <c r="C123" s="322">
        <v>0.1</v>
      </c>
      <c r="D123" s="322">
        <v>0.1</v>
      </c>
      <c r="E123" s="322">
        <v>0.098</v>
      </c>
      <c r="F123" s="322">
        <v>0.1</v>
      </c>
      <c r="G123" s="323">
        <v>0.1</v>
      </c>
    </row>
    <row r="124" spans="1:7">
      <c r="A124" s="332" t="s">
        <v>267</v>
      </c>
      <c r="B124" s="321" t="s">
        <v>3043</v>
      </c>
      <c r="C124" s="322">
        <v>0.1</v>
      </c>
      <c r="D124" s="322">
        <v>0.1</v>
      </c>
      <c r="E124" s="322">
        <v>0.098</v>
      </c>
      <c r="F124" s="338"/>
      <c r="G124" s="323">
        <v>0.1</v>
      </c>
    </row>
    <row r="125" spans="1:7">
      <c r="A125" s="332" t="s">
        <v>267</v>
      </c>
      <c r="B125" s="321" t="s">
        <v>3048</v>
      </c>
      <c r="C125" s="322">
        <v>0.098</v>
      </c>
      <c r="D125" s="322">
        <v>0.098</v>
      </c>
      <c r="E125" s="322">
        <v>0.096</v>
      </c>
      <c r="F125" s="338"/>
      <c r="G125" s="323">
        <v>0.1</v>
      </c>
    </row>
    <row r="126" ht="14.25" spans="1:7">
      <c r="A126" s="335" t="s">
        <v>267</v>
      </c>
      <c r="B126" s="325" t="s">
        <v>3053</v>
      </c>
      <c r="C126" s="326">
        <v>0.1</v>
      </c>
      <c r="D126" s="326">
        <v>0.1</v>
      </c>
      <c r="E126" s="326">
        <v>0.098</v>
      </c>
      <c r="F126" s="326">
        <v>0.1</v>
      </c>
      <c r="G126" s="328">
        <v>0.1</v>
      </c>
    </row>
    <row r="127" spans="1:7">
      <c r="A127" s="331" t="s">
        <v>273</v>
      </c>
      <c r="B127" s="317" t="s">
        <v>2720</v>
      </c>
      <c r="C127" s="318">
        <v>0.121</v>
      </c>
      <c r="D127" s="318">
        <v>0.121</v>
      </c>
      <c r="E127" s="318">
        <v>0.107</v>
      </c>
      <c r="F127" s="318">
        <v>0.13</v>
      </c>
      <c r="G127" s="319">
        <v>0.122</v>
      </c>
    </row>
    <row r="128" spans="1:7">
      <c r="A128" s="332" t="s">
        <v>273</v>
      </c>
      <c r="B128" s="321" t="s">
        <v>2733</v>
      </c>
      <c r="C128" s="322">
        <v>0.116</v>
      </c>
      <c r="D128" s="322">
        <v>0.117</v>
      </c>
      <c r="E128" s="322">
        <v>0.104</v>
      </c>
      <c r="F128" s="322">
        <v>0.13</v>
      </c>
      <c r="G128" s="323">
        <v>0.117</v>
      </c>
    </row>
    <row r="129" spans="1:7">
      <c r="A129" s="332" t="s">
        <v>273</v>
      </c>
      <c r="B129" s="321" t="s">
        <v>2747</v>
      </c>
      <c r="C129" s="322">
        <v>0.107</v>
      </c>
      <c r="D129" s="322">
        <v>0.108</v>
      </c>
      <c r="E129" s="322">
        <v>0.1</v>
      </c>
      <c r="F129" s="322">
        <v>0.13</v>
      </c>
      <c r="G129" s="323">
        <v>0.117</v>
      </c>
    </row>
    <row r="130" spans="1:7">
      <c r="A130" s="332" t="s">
        <v>273</v>
      </c>
      <c r="B130" s="321" t="s">
        <v>2759</v>
      </c>
      <c r="C130" s="322">
        <v>0.13</v>
      </c>
      <c r="D130" s="322">
        <v>0.13</v>
      </c>
      <c r="E130" s="322">
        <v>0.126</v>
      </c>
      <c r="F130" s="322">
        <v>0.13</v>
      </c>
      <c r="G130" s="323">
        <v>0.13</v>
      </c>
    </row>
    <row r="131" spans="1:7">
      <c r="A131" s="332" t="s">
        <v>273</v>
      </c>
      <c r="B131" s="321" t="s">
        <v>2771</v>
      </c>
      <c r="C131" s="322">
        <v>0.13</v>
      </c>
      <c r="D131" s="322">
        <v>0.13</v>
      </c>
      <c r="E131" s="322">
        <v>0.13</v>
      </c>
      <c r="F131" s="322">
        <v>0.13</v>
      </c>
      <c r="G131" s="323">
        <v>0.13</v>
      </c>
    </row>
    <row r="132" spans="1:7">
      <c r="A132" s="332" t="s">
        <v>273</v>
      </c>
      <c r="B132" s="321" t="s">
        <v>2782</v>
      </c>
      <c r="C132" s="322">
        <v>0.13</v>
      </c>
      <c r="D132" s="322">
        <v>0.13</v>
      </c>
      <c r="E132" s="322">
        <v>0.126</v>
      </c>
      <c r="F132" s="322">
        <v>0.13</v>
      </c>
      <c r="G132" s="323">
        <v>0.13</v>
      </c>
    </row>
    <row r="133" spans="1:7">
      <c r="A133" s="332" t="s">
        <v>273</v>
      </c>
      <c r="B133" s="321" t="s">
        <v>2793</v>
      </c>
      <c r="C133" s="322">
        <v>0.111</v>
      </c>
      <c r="D133" s="322">
        <v>0.111</v>
      </c>
      <c r="E133" s="322">
        <v>0.102</v>
      </c>
      <c r="F133" s="322">
        <v>0.13</v>
      </c>
      <c r="G133" s="323">
        <v>0.121</v>
      </c>
    </row>
    <row r="134" spans="1:7">
      <c r="A134" s="332" t="s">
        <v>273</v>
      </c>
      <c r="B134" s="321" t="s">
        <v>2804</v>
      </c>
      <c r="C134" s="322">
        <v>0.121</v>
      </c>
      <c r="D134" s="322">
        <v>0.121</v>
      </c>
      <c r="E134" s="322">
        <v>0.1</v>
      </c>
      <c r="F134" s="322">
        <v>0.13</v>
      </c>
      <c r="G134" s="323">
        <v>0.123</v>
      </c>
    </row>
    <row r="135" spans="1:7">
      <c r="A135" s="332" t="s">
        <v>273</v>
      </c>
      <c r="B135" s="321" t="s">
        <v>2814</v>
      </c>
      <c r="C135" s="322">
        <v>0.105</v>
      </c>
      <c r="D135" s="322">
        <v>0.106</v>
      </c>
      <c r="E135" s="322">
        <v>0.1</v>
      </c>
      <c r="F135" s="322">
        <v>0.13</v>
      </c>
      <c r="G135" s="323">
        <v>0.115</v>
      </c>
    </row>
    <row r="136" spans="1:7">
      <c r="A136" s="332" t="s">
        <v>273</v>
      </c>
      <c r="B136" s="321" t="s">
        <v>2824</v>
      </c>
      <c r="C136" s="322">
        <v>0.127</v>
      </c>
      <c r="D136" s="322">
        <v>0.127</v>
      </c>
      <c r="E136" s="322">
        <v>0.121</v>
      </c>
      <c r="F136" s="322">
        <v>0.123</v>
      </c>
      <c r="G136" s="323">
        <v>0.129</v>
      </c>
    </row>
    <row r="137" spans="1:7">
      <c r="A137" s="332" t="s">
        <v>273</v>
      </c>
      <c r="B137" s="321" t="s">
        <v>2834</v>
      </c>
      <c r="C137" s="322">
        <v>0.13</v>
      </c>
      <c r="D137" s="322">
        <v>0.13</v>
      </c>
      <c r="E137" s="322">
        <v>0.129</v>
      </c>
      <c r="F137" s="322">
        <v>0.13</v>
      </c>
      <c r="G137" s="323">
        <v>0.13</v>
      </c>
    </row>
    <row r="138" spans="1:7">
      <c r="A138" s="332" t="s">
        <v>273</v>
      </c>
      <c r="B138" s="321" t="s">
        <v>2844</v>
      </c>
      <c r="C138" s="322">
        <v>0.13</v>
      </c>
      <c r="D138" s="322">
        <v>0.13</v>
      </c>
      <c r="E138" s="322">
        <v>0.125</v>
      </c>
      <c r="F138" s="322">
        <v>0.13</v>
      </c>
      <c r="G138" s="323">
        <v>0.13</v>
      </c>
    </row>
    <row r="139" spans="1:7">
      <c r="A139" s="332" t="s">
        <v>273</v>
      </c>
      <c r="B139" s="321" t="s">
        <v>2854</v>
      </c>
      <c r="C139" s="322">
        <v>0.13</v>
      </c>
      <c r="D139" s="322">
        <v>0.13</v>
      </c>
      <c r="E139" s="322">
        <v>0.126</v>
      </c>
      <c r="F139" s="322">
        <v>0.13</v>
      </c>
      <c r="G139" s="323">
        <v>0.13</v>
      </c>
    </row>
    <row r="140" spans="1:7">
      <c r="A140" s="332" t="s">
        <v>273</v>
      </c>
      <c r="B140" s="321" t="s">
        <v>2864</v>
      </c>
      <c r="C140" s="322">
        <v>0.1</v>
      </c>
      <c r="D140" s="322">
        <v>0.1</v>
      </c>
      <c r="E140" s="322">
        <v>0.1</v>
      </c>
      <c r="F140" s="322">
        <v>0.123</v>
      </c>
      <c r="G140" s="323">
        <v>0.107</v>
      </c>
    </row>
    <row r="141" spans="1:7">
      <c r="A141" s="332" t="s">
        <v>273</v>
      </c>
      <c r="B141" s="321" t="s">
        <v>2874</v>
      </c>
      <c r="C141" s="322">
        <v>0.127</v>
      </c>
      <c r="D141" s="322">
        <v>0.127</v>
      </c>
      <c r="E141" s="322">
        <v>0.122</v>
      </c>
      <c r="F141" s="322">
        <v>0.1</v>
      </c>
      <c r="G141" s="323">
        <v>0.129</v>
      </c>
    </row>
    <row r="142" spans="1:7">
      <c r="A142" s="332" t="s">
        <v>273</v>
      </c>
      <c r="B142" s="321" t="s">
        <v>2884</v>
      </c>
      <c r="C142" s="322">
        <v>0.121</v>
      </c>
      <c r="D142" s="322">
        <v>0.122</v>
      </c>
      <c r="E142" s="322">
        <v>0.1</v>
      </c>
      <c r="F142" s="322">
        <v>0.123</v>
      </c>
      <c r="G142" s="323">
        <v>0.123</v>
      </c>
    </row>
    <row r="143" spans="1:7">
      <c r="A143" s="332" t="s">
        <v>273</v>
      </c>
      <c r="B143" s="321" t="s">
        <v>2894</v>
      </c>
      <c r="C143" s="322">
        <v>0.1</v>
      </c>
      <c r="D143" s="322">
        <v>0.1</v>
      </c>
      <c r="E143" s="322">
        <v>0.1</v>
      </c>
      <c r="F143" s="322">
        <v>0.13</v>
      </c>
      <c r="G143" s="323">
        <v>0.1</v>
      </c>
    </row>
    <row r="144" spans="1:7">
      <c r="A144" s="332" t="s">
        <v>273</v>
      </c>
      <c r="B144" s="321" t="s">
        <v>2904</v>
      </c>
      <c r="C144" s="322">
        <v>0.106</v>
      </c>
      <c r="D144" s="322">
        <v>0.105</v>
      </c>
      <c r="E144" s="322">
        <v>0.1</v>
      </c>
      <c r="F144" s="322">
        <v>0.13</v>
      </c>
      <c r="G144" s="323">
        <v>0.118</v>
      </c>
    </row>
    <row r="145" spans="1:7">
      <c r="A145" s="332" t="s">
        <v>273</v>
      </c>
      <c r="B145" s="321" t="s">
        <v>2914</v>
      </c>
      <c r="C145" s="322">
        <v>0.123</v>
      </c>
      <c r="D145" s="322">
        <v>0.123</v>
      </c>
      <c r="E145" s="322">
        <v>0.117</v>
      </c>
      <c r="F145" s="322">
        <v>0.13</v>
      </c>
      <c r="G145" s="323">
        <v>0.126</v>
      </c>
    </row>
    <row r="146" spans="1:7">
      <c r="A146" s="332" t="s">
        <v>273</v>
      </c>
      <c r="B146" s="321" t="s">
        <v>2924</v>
      </c>
      <c r="C146" s="322">
        <v>0.127</v>
      </c>
      <c r="D146" s="322">
        <v>0.127</v>
      </c>
      <c r="E146" s="322">
        <v>0.12</v>
      </c>
      <c r="F146" s="333"/>
      <c r="G146" s="323">
        <v>0.129</v>
      </c>
    </row>
    <row r="147" spans="1:7">
      <c r="A147" s="332" t="s">
        <v>273</v>
      </c>
      <c r="B147" s="321" t="s">
        <v>2933</v>
      </c>
      <c r="C147" s="322">
        <v>0.13</v>
      </c>
      <c r="D147" s="322">
        <v>0.13</v>
      </c>
      <c r="E147" s="322">
        <v>0.126</v>
      </c>
      <c r="F147" s="333"/>
      <c r="G147" s="323">
        <v>0.13</v>
      </c>
    </row>
    <row r="148" spans="1:7">
      <c r="A148" s="332" t="s">
        <v>273</v>
      </c>
      <c r="B148" s="321" t="s">
        <v>2941</v>
      </c>
      <c r="C148" s="322">
        <v>0.13</v>
      </c>
      <c r="D148" s="322">
        <v>0.13</v>
      </c>
      <c r="E148" s="322">
        <v>0.13</v>
      </c>
      <c r="F148" s="333"/>
      <c r="G148" s="323">
        <v>0.13</v>
      </c>
    </row>
    <row r="149" spans="1:7">
      <c r="A149" s="332" t="s">
        <v>273</v>
      </c>
      <c r="B149" s="321" t="s">
        <v>2949</v>
      </c>
      <c r="C149" s="322">
        <v>0.13</v>
      </c>
      <c r="D149" s="322">
        <v>0.13</v>
      </c>
      <c r="E149" s="322">
        <v>0.13</v>
      </c>
      <c r="F149" s="322">
        <v>0.13</v>
      </c>
      <c r="G149" s="323">
        <v>0.13</v>
      </c>
    </row>
    <row r="150" spans="1:7">
      <c r="A150" s="332" t="s">
        <v>273</v>
      </c>
      <c r="B150" s="321" t="s">
        <v>2957</v>
      </c>
      <c r="C150" s="322">
        <v>0.13</v>
      </c>
      <c r="D150" s="322">
        <v>0.13</v>
      </c>
      <c r="E150" s="322">
        <v>0.127</v>
      </c>
      <c r="F150" s="322">
        <v>0.13</v>
      </c>
      <c r="G150" s="323">
        <v>0.13</v>
      </c>
    </row>
    <row r="151" spans="1:7">
      <c r="A151" s="332" t="s">
        <v>273</v>
      </c>
      <c r="B151" s="321" t="s">
        <v>2965</v>
      </c>
      <c r="C151" s="322">
        <v>0.13</v>
      </c>
      <c r="D151" s="322">
        <v>0.13</v>
      </c>
      <c r="E151" s="322">
        <v>0.13</v>
      </c>
      <c r="F151" s="322">
        <v>0.13</v>
      </c>
      <c r="G151" s="323">
        <v>0.13</v>
      </c>
    </row>
    <row r="152" spans="1:7">
      <c r="A152" s="332" t="s">
        <v>273</v>
      </c>
      <c r="B152" s="321" t="s">
        <v>2972</v>
      </c>
      <c r="C152" s="322">
        <v>0.13</v>
      </c>
      <c r="D152" s="322">
        <v>0.13</v>
      </c>
      <c r="E152" s="322">
        <v>0.13</v>
      </c>
      <c r="F152" s="322">
        <v>0.13</v>
      </c>
      <c r="G152" s="323">
        <v>0.13</v>
      </c>
    </row>
    <row r="153" spans="1:7">
      <c r="A153" s="332" t="s">
        <v>273</v>
      </c>
      <c r="B153" s="321" t="s">
        <v>2979</v>
      </c>
      <c r="C153" s="322">
        <v>0.13</v>
      </c>
      <c r="D153" s="322">
        <v>0.13</v>
      </c>
      <c r="E153" s="322">
        <v>0.13</v>
      </c>
      <c r="F153" s="322">
        <v>0.13</v>
      </c>
      <c r="G153" s="323">
        <v>0.13</v>
      </c>
    </row>
    <row r="154" spans="1:7">
      <c r="A154" s="332" t="s">
        <v>273</v>
      </c>
      <c r="B154" s="321" t="s">
        <v>2986</v>
      </c>
      <c r="C154" s="322">
        <v>0.121</v>
      </c>
      <c r="D154" s="322">
        <v>0.121</v>
      </c>
      <c r="E154" s="322">
        <v>0.105</v>
      </c>
      <c r="F154" s="322">
        <v>0.121</v>
      </c>
      <c r="G154" s="323">
        <v>0.123</v>
      </c>
    </row>
    <row r="155" spans="1:7">
      <c r="A155" s="332" t="s">
        <v>273</v>
      </c>
      <c r="B155" s="321" t="s">
        <v>2993</v>
      </c>
      <c r="C155" s="322">
        <v>0.1</v>
      </c>
      <c r="D155" s="322">
        <v>0.1</v>
      </c>
      <c r="E155" s="322">
        <v>0.1</v>
      </c>
      <c r="F155" s="322">
        <v>0.1</v>
      </c>
      <c r="G155" s="323">
        <v>0.1</v>
      </c>
    </row>
    <row r="156" spans="1:7">
      <c r="A156" s="332" t="s">
        <v>273</v>
      </c>
      <c r="B156" s="321" t="s">
        <v>3000</v>
      </c>
      <c r="C156" s="322">
        <v>0.13</v>
      </c>
      <c r="D156" s="322">
        <v>0.13</v>
      </c>
      <c r="E156" s="322">
        <v>0.13</v>
      </c>
      <c r="F156" s="322">
        <v>0.13</v>
      </c>
      <c r="G156" s="323">
        <v>0.13</v>
      </c>
    </row>
    <row r="157" spans="1:7">
      <c r="A157" s="332" t="s">
        <v>273</v>
      </c>
      <c r="B157" s="321" t="s">
        <v>3007</v>
      </c>
      <c r="C157" s="322">
        <v>0.13</v>
      </c>
      <c r="D157" s="322">
        <v>0.13</v>
      </c>
      <c r="E157" s="322">
        <v>0.125</v>
      </c>
      <c r="F157" s="322">
        <v>0.13</v>
      </c>
      <c r="G157" s="323">
        <v>0.13</v>
      </c>
    </row>
    <row r="158" spans="1:7">
      <c r="A158" s="332" t="s">
        <v>273</v>
      </c>
      <c r="B158" s="321" t="s">
        <v>3014</v>
      </c>
      <c r="C158" s="322">
        <v>0.124</v>
      </c>
      <c r="D158" s="322">
        <v>0.124</v>
      </c>
      <c r="E158" s="322">
        <v>0.117</v>
      </c>
      <c r="F158" s="322">
        <v>0.121</v>
      </c>
      <c r="G158" s="323">
        <v>0.124</v>
      </c>
    </row>
    <row r="159" spans="1:7">
      <c r="A159" s="332" t="s">
        <v>273</v>
      </c>
      <c r="B159" s="321" t="s">
        <v>3019</v>
      </c>
      <c r="C159" s="322">
        <v>0.127</v>
      </c>
      <c r="D159" s="322">
        <v>0.127</v>
      </c>
      <c r="E159" s="322">
        <v>0.122</v>
      </c>
      <c r="F159" s="322">
        <v>0.13</v>
      </c>
      <c r="G159" s="323">
        <v>0.129</v>
      </c>
    </row>
    <row r="160" spans="1:7">
      <c r="A160" s="332" t="s">
        <v>273</v>
      </c>
      <c r="B160" s="321" t="s">
        <v>3024</v>
      </c>
      <c r="C160" s="322">
        <v>0.13</v>
      </c>
      <c r="D160" s="322">
        <v>0.13</v>
      </c>
      <c r="E160" s="322">
        <v>0.124</v>
      </c>
      <c r="F160" s="322">
        <v>0.126</v>
      </c>
      <c r="G160" s="323">
        <v>0.13</v>
      </c>
    </row>
    <row r="161" spans="1:7">
      <c r="A161" s="332" t="s">
        <v>273</v>
      </c>
      <c r="B161" s="321" t="s">
        <v>3029</v>
      </c>
      <c r="C161" s="322">
        <v>0.13</v>
      </c>
      <c r="D161" s="322">
        <v>0.13</v>
      </c>
      <c r="E161" s="322">
        <v>0.124</v>
      </c>
      <c r="F161" s="322">
        <v>0.127</v>
      </c>
      <c r="G161" s="323">
        <v>0.13</v>
      </c>
    </row>
    <row r="162" spans="1:7">
      <c r="A162" s="332" t="s">
        <v>273</v>
      </c>
      <c r="B162" s="321" t="s">
        <v>3034</v>
      </c>
      <c r="C162" s="322">
        <v>0.1</v>
      </c>
      <c r="D162" s="322">
        <v>0.1</v>
      </c>
      <c r="E162" s="322">
        <v>0.1</v>
      </c>
      <c r="F162" s="322">
        <v>0.121</v>
      </c>
      <c r="G162" s="323">
        <v>0.105</v>
      </c>
    </row>
    <row r="163" spans="1:7">
      <c r="A163" s="332" t="s">
        <v>273</v>
      </c>
      <c r="B163" s="321" t="s">
        <v>3039</v>
      </c>
      <c r="C163" s="322">
        <v>0.1</v>
      </c>
      <c r="D163" s="322">
        <v>0.1</v>
      </c>
      <c r="E163" s="322">
        <v>0.1</v>
      </c>
      <c r="F163" s="322">
        <v>0.1</v>
      </c>
      <c r="G163" s="323">
        <v>0.1</v>
      </c>
    </row>
    <row r="164" spans="1:7">
      <c r="A164" s="332" t="s">
        <v>273</v>
      </c>
      <c r="B164" s="321" t="s">
        <v>3044</v>
      </c>
      <c r="C164" s="338"/>
      <c r="D164" s="338"/>
      <c r="E164" s="338"/>
      <c r="F164" s="322">
        <v>0.1</v>
      </c>
      <c r="G164" s="334"/>
    </row>
    <row r="165" spans="1:7">
      <c r="A165" s="332" t="s">
        <v>273</v>
      </c>
      <c r="B165" s="321" t="s">
        <v>3049</v>
      </c>
      <c r="C165" s="322">
        <v>0.126</v>
      </c>
      <c r="D165" s="322">
        <v>0.126</v>
      </c>
      <c r="E165" s="322">
        <v>0.119</v>
      </c>
      <c r="F165" s="322">
        <v>0.13</v>
      </c>
      <c r="G165" s="323">
        <v>0.128</v>
      </c>
    </row>
    <row r="166" spans="1:7">
      <c r="A166" s="332" t="s">
        <v>273</v>
      </c>
      <c r="B166" s="321" t="s">
        <v>3054</v>
      </c>
      <c r="C166" s="322">
        <v>0.129</v>
      </c>
      <c r="D166" s="322">
        <v>0.129</v>
      </c>
      <c r="E166" s="322">
        <v>0.123</v>
      </c>
      <c r="F166" s="322">
        <v>0.128</v>
      </c>
      <c r="G166" s="323">
        <v>0.13</v>
      </c>
    </row>
    <row r="167" spans="1:7">
      <c r="A167" s="332" t="s">
        <v>273</v>
      </c>
      <c r="B167" s="321" t="s">
        <v>3058</v>
      </c>
      <c r="C167" s="322">
        <v>0.125</v>
      </c>
      <c r="D167" s="322">
        <v>0.125</v>
      </c>
      <c r="E167" s="322">
        <v>0.117</v>
      </c>
      <c r="F167" s="322">
        <v>0.13</v>
      </c>
      <c r="G167" s="323">
        <v>0.126</v>
      </c>
    </row>
    <row r="168" spans="1:7">
      <c r="A168" s="332" t="s">
        <v>273</v>
      </c>
      <c r="B168" s="321" t="s">
        <v>3062</v>
      </c>
      <c r="C168" s="322">
        <v>0.128</v>
      </c>
      <c r="D168" s="322">
        <v>0.128</v>
      </c>
      <c r="E168" s="322">
        <v>0.123</v>
      </c>
      <c r="F168" s="333"/>
      <c r="G168" s="323">
        <v>0.13</v>
      </c>
    </row>
    <row r="169" spans="1:7">
      <c r="A169" s="332" t="s">
        <v>273</v>
      </c>
      <c r="B169" s="321" t="s">
        <v>3066</v>
      </c>
      <c r="C169" s="338"/>
      <c r="D169" s="338"/>
      <c r="E169" s="338"/>
      <c r="F169" s="322">
        <v>0.05</v>
      </c>
      <c r="G169" s="334"/>
    </row>
    <row r="170" spans="1:7">
      <c r="A170" s="332" t="s">
        <v>273</v>
      </c>
      <c r="B170" s="321" t="s">
        <v>3070</v>
      </c>
      <c r="C170" s="338"/>
      <c r="D170" s="338"/>
      <c r="E170" s="338"/>
      <c r="F170" s="322">
        <v>0.05</v>
      </c>
      <c r="G170" s="334"/>
    </row>
    <row r="171" spans="1:7">
      <c r="A171" s="332" t="s">
        <v>273</v>
      </c>
      <c r="B171" s="321" t="s">
        <v>3073</v>
      </c>
      <c r="C171" s="338"/>
      <c r="D171" s="338"/>
      <c r="E171" s="338"/>
      <c r="F171" s="322">
        <v>0.05</v>
      </c>
      <c r="G171" s="339"/>
    </row>
    <row r="172" spans="1:7">
      <c r="A172" s="332" t="s">
        <v>273</v>
      </c>
      <c r="B172" s="321" t="s">
        <v>3075</v>
      </c>
      <c r="C172" s="338"/>
      <c r="D172" s="338"/>
      <c r="E172" s="338"/>
      <c r="F172" s="322">
        <v>0.05</v>
      </c>
      <c r="G172" s="339"/>
    </row>
    <row r="173" spans="1:7">
      <c r="A173" s="332" t="s">
        <v>273</v>
      </c>
      <c r="B173" s="321" t="s">
        <v>3077</v>
      </c>
      <c r="C173" s="338"/>
      <c r="D173" s="338"/>
      <c r="E173" s="338"/>
      <c r="F173" s="322">
        <v>0.05</v>
      </c>
      <c r="G173" s="334"/>
    </row>
    <row r="174" spans="1:7">
      <c r="A174" s="332" t="s">
        <v>273</v>
      </c>
      <c r="B174" s="321" t="s">
        <v>3079</v>
      </c>
      <c r="C174" s="338"/>
      <c r="D174" s="338"/>
      <c r="E174" s="338"/>
      <c r="F174" s="322">
        <v>0.05</v>
      </c>
      <c r="G174" s="334"/>
    </row>
    <row r="175" spans="1:7">
      <c r="A175" s="332" t="s">
        <v>273</v>
      </c>
      <c r="B175" s="321" t="s">
        <v>3081</v>
      </c>
      <c r="C175" s="338"/>
      <c r="D175" s="338"/>
      <c r="E175" s="338"/>
      <c r="F175" s="322">
        <v>0.05</v>
      </c>
      <c r="G175" s="334"/>
    </row>
    <row r="176" spans="1:7">
      <c r="A176" s="332" t="s">
        <v>273</v>
      </c>
      <c r="B176" s="321" t="s">
        <v>3083</v>
      </c>
      <c r="C176" s="338"/>
      <c r="D176" s="338"/>
      <c r="E176" s="338"/>
      <c r="F176" s="322">
        <v>0.05</v>
      </c>
      <c r="G176" s="334"/>
    </row>
    <row r="177" spans="1:7">
      <c r="A177" s="332" t="s">
        <v>273</v>
      </c>
      <c r="B177" s="321" t="s">
        <v>3085</v>
      </c>
      <c r="C177" s="333"/>
      <c r="D177" s="333"/>
      <c r="E177" s="333"/>
      <c r="F177" s="322">
        <v>0.05</v>
      </c>
      <c r="G177" s="339"/>
    </row>
    <row r="178" spans="1:7">
      <c r="A178" s="332" t="s">
        <v>273</v>
      </c>
      <c r="B178" s="321" t="s">
        <v>3086</v>
      </c>
      <c r="C178" s="333"/>
      <c r="D178" s="333"/>
      <c r="E178" s="333"/>
      <c r="F178" s="322">
        <v>0.05</v>
      </c>
      <c r="G178" s="339"/>
    </row>
    <row r="179" spans="1:7">
      <c r="A179" s="332" t="s">
        <v>273</v>
      </c>
      <c r="B179" s="321" t="s">
        <v>3087</v>
      </c>
      <c r="C179" s="333"/>
      <c r="D179" s="333"/>
      <c r="E179" s="333"/>
      <c r="F179" s="322">
        <v>0.05</v>
      </c>
      <c r="G179" s="339"/>
    </row>
    <row r="180" spans="1:7">
      <c r="A180" s="332" t="s">
        <v>273</v>
      </c>
      <c r="B180" s="321" t="s">
        <v>3088</v>
      </c>
      <c r="C180" s="333"/>
      <c r="D180" s="333"/>
      <c r="E180" s="333"/>
      <c r="F180" s="322">
        <v>0.05</v>
      </c>
      <c r="G180" s="339"/>
    </row>
    <row r="181" spans="1:7">
      <c r="A181" s="332" t="s">
        <v>273</v>
      </c>
      <c r="B181" s="321" t="s">
        <v>3089</v>
      </c>
      <c r="C181" s="333"/>
      <c r="D181" s="333"/>
      <c r="E181" s="333"/>
      <c r="F181" s="322">
        <v>0.05</v>
      </c>
      <c r="G181" s="339"/>
    </row>
    <row r="182" spans="1:7">
      <c r="A182" s="332" t="s">
        <v>273</v>
      </c>
      <c r="B182" s="321" t="s">
        <v>3090</v>
      </c>
      <c r="C182" s="333"/>
      <c r="D182" s="333"/>
      <c r="E182" s="333"/>
      <c r="F182" s="322">
        <v>0.05</v>
      </c>
      <c r="G182" s="339"/>
    </row>
    <row r="183" spans="1:7">
      <c r="A183" s="332" t="s">
        <v>273</v>
      </c>
      <c r="B183" s="321" t="s">
        <v>3091</v>
      </c>
      <c r="C183" s="333"/>
      <c r="D183" s="333"/>
      <c r="E183" s="333"/>
      <c r="F183" s="322">
        <v>0.05</v>
      </c>
      <c r="G183" s="339"/>
    </row>
    <row r="184" spans="1:7">
      <c r="A184" s="332" t="s">
        <v>273</v>
      </c>
      <c r="B184" s="321" t="s">
        <v>3092</v>
      </c>
      <c r="C184" s="333"/>
      <c r="D184" s="333"/>
      <c r="E184" s="333"/>
      <c r="F184" s="322">
        <v>0.05</v>
      </c>
      <c r="G184" s="339"/>
    </row>
    <row r="185" spans="1:7">
      <c r="A185" s="332" t="s">
        <v>273</v>
      </c>
      <c r="B185" s="321" t="s">
        <v>3093</v>
      </c>
      <c r="C185" s="333"/>
      <c r="D185" s="333"/>
      <c r="E185" s="333"/>
      <c r="F185" s="322">
        <v>0.05</v>
      </c>
      <c r="G185" s="339"/>
    </row>
    <row r="186" spans="1:7">
      <c r="A186" s="332" t="s">
        <v>273</v>
      </c>
      <c r="B186" s="321" t="s">
        <v>3094</v>
      </c>
      <c r="C186" s="333"/>
      <c r="D186" s="333"/>
      <c r="E186" s="333"/>
      <c r="F186" s="322">
        <v>0.05</v>
      </c>
      <c r="G186" s="339"/>
    </row>
    <row r="187" spans="1:7">
      <c r="A187" s="332" t="s">
        <v>273</v>
      </c>
      <c r="B187" s="321" t="s">
        <v>3095</v>
      </c>
      <c r="C187" s="333"/>
      <c r="D187" s="333"/>
      <c r="E187" s="333"/>
      <c r="F187" s="322">
        <v>0.05</v>
      </c>
      <c r="G187" s="339"/>
    </row>
    <row r="188" spans="1:7">
      <c r="A188" s="332" t="s">
        <v>273</v>
      </c>
      <c r="B188" s="321" t="s">
        <v>3096</v>
      </c>
      <c r="C188" s="333"/>
      <c r="D188" s="333"/>
      <c r="E188" s="333"/>
      <c r="F188" s="322">
        <v>0.05</v>
      </c>
      <c r="G188" s="339"/>
    </row>
    <row r="189" ht="14.25" spans="1:7">
      <c r="A189" s="335" t="s">
        <v>273</v>
      </c>
      <c r="B189" s="325" t="s">
        <v>3097</v>
      </c>
      <c r="C189" s="327"/>
      <c r="D189" s="327"/>
      <c r="E189" s="327"/>
      <c r="F189" s="326">
        <v>0.05</v>
      </c>
      <c r="G189" s="340"/>
    </row>
    <row r="190" spans="1:7">
      <c r="A190" s="331" t="s">
        <v>278</v>
      </c>
      <c r="B190" s="317" t="s">
        <v>2721</v>
      </c>
      <c r="C190" s="318">
        <v>0.124</v>
      </c>
      <c r="D190" s="318">
        <v>0.124</v>
      </c>
      <c r="E190" s="318">
        <v>0.129</v>
      </c>
      <c r="F190" s="318">
        <v>0.13</v>
      </c>
      <c r="G190" s="319">
        <v>0.127</v>
      </c>
    </row>
    <row r="191" spans="1:7">
      <c r="A191" s="332" t="s">
        <v>278</v>
      </c>
      <c r="B191" s="321" t="s">
        <v>2734</v>
      </c>
      <c r="C191" s="322">
        <v>0.13</v>
      </c>
      <c r="D191" s="322">
        <v>0.13</v>
      </c>
      <c r="E191" s="322">
        <v>0.13</v>
      </c>
      <c r="F191" s="322">
        <v>0.13</v>
      </c>
      <c r="G191" s="323">
        <v>0.13</v>
      </c>
    </row>
    <row r="192" spans="1:7">
      <c r="A192" s="332" t="s">
        <v>278</v>
      </c>
      <c r="B192" s="321" t="s">
        <v>2748</v>
      </c>
      <c r="C192" s="322">
        <v>0.13</v>
      </c>
      <c r="D192" s="322">
        <v>0.13</v>
      </c>
      <c r="E192" s="322">
        <v>0.13</v>
      </c>
      <c r="F192" s="322">
        <v>0.13</v>
      </c>
      <c r="G192" s="323">
        <v>0.13</v>
      </c>
    </row>
    <row r="193" spans="1:7">
      <c r="A193" s="332" t="s">
        <v>278</v>
      </c>
      <c r="B193" s="321" t="s">
        <v>2760</v>
      </c>
      <c r="C193" s="322">
        <v>0.13</v>
      </c>
      <c r="D193" s="322">
        <v>0.13</v>
      </c>
      <c r="E193" s="322">
        <v>0.13</v>
      </c>
      <c r="F193" s="322">
        <v>0.13</v>
      </c>
      <c r="G193" s="323">
        <v>0.13</v>
      </c>
    </row>
    <row r="194" spans="1:7">
      <c r="A194" s="332" t="s">
        <v>278</v>
      </c>
      <c r="B194" s="321" t="s">
        <v>2772</v>
      </c>
      <c r="C194" s="322">
        <v>0.123</v>
      </c>
      <c r="D194" s="322">
        <v>0.123</v>
      </c>
      <c r="E194" s="322">
        <v>0.128</v>
      </c>
      <c r="F194" s="322">
        <v>0.13</v>
      </c>
      <c r="G194" s="323">
        <v>0.126</v>
      </c>
    </row>
    <row r="195" spans="1:7">
      <c r="A195" s="332" t="s">
        <v>278</v>
      </c>
      <c r="B195" s="321" t="s">
        <v>2783</v>
      </c>
      <c r="C195" s="322">
        <v>0.127</v>
      </c>
      <c r="D195" s="322">
        <v>0.127</v>
      </c>
      <c r="E195" s="322">
        <v>0.121</v>
      </c>
      <c r="F195" s="322">
        <v>0.129</v>
      </c>
      <c r="G195" s="323">
        <v>0.129</v>
      </c>
    </row>
    <row r="196" spans="1:7">
      <c r="A196" s="332" t="s">
        <v>278</v>
      </c>
      <c r="B196" s="321" t="s">
        <v>2794</v>
      </c>
      <c r="C196" s="322">
        <v>0.127</v>
      </c>
      <c r="D196" s="322">
        <v>0.128</v>
      </c>
      <c r="E196" s="322">
        <v>0.122</v>
      </c>
      <c r="F196" s="322">
        <v>0.13</v>
      </c>
      <c r="G196" s="323">
        <v>0.129</v>
      </c>
    </row>
    <row r="197" spans="1:7">
      <c r="A197" s="332" t="s">
        <v>278</v>
      </c>
      <c r="B197" s="321" t="s">
        <v>2805</v>
      </c>
      <c r="C197" s="322">
        <v>0.126</v>
      </c>
      <c r="D197" s="322">
        <v>0.126</v>
      </c>
      <c r="E197" s="322">
        <v>0.119</v>
      </c>
      <c r="F197" s="322">
        <v>0.13</v>
      </c>
      <c r="G197" s="323">
        <v>0.128</v>
      </c>
    </row>
    <row r="198" spans="1:7">
      <c r="A198" s="332" t="s">
        <v>278</v>
      </c>
      <c r="B198" s="321" t="s">
        <v>2815</v>
      </c>
      <c r="C198" s="322">
        <v>0.13</v>
      </c>
      <c r="D198" s="322">
        <v>0.13</v>
      </c>
      <c r="E198" s="322">
        <v>0.126</v>
      </c>
      <c r="F198" s="338"/>
      <c r="G198" s="323">
        <v>0.13</v>
      </c>
    </row>
    <row r="199" spans="1:7">
      <c r="A199" s="332" t="s">
        <v>278</v>
      </c>
      <c r="B199" s="321" t="s">
        <v>2825</v>
      </c>
      <c r="C199" s="322">
        <v>0.13</v>
      </c>
      <c r="D199" s="322">
        <v>0.13</v>
      </c>
      <c r="E199" s="322">
        <v>0.13</v>
      </c>
      <c r="F199" s="322">
        <v>0.13</v>
      </c>
      <c r="G199" s="323">
        <v>0.13</v>
      </c>
    </row>
    <row r="200" spans="1:7">
      <c r="A200" s="332" t="s">
        <v>278</v>
      </c>
      <c r="B200" s="321" t="s">
        <v>2835</v>
      </c>
      <c r="C200" s="338"/>
      <c r="D200" s="338"/>
      <c r="E200" s="338"/>
      <c r="F200" s="322">
        <v>0.13</v>
      </c>
      <c r="G200" s="334"/>
    </row>
    <row r="201" spans="1:7">
      <c r="A201" s="332" t="s">
        <v>278</v>
      </c>
      <c r="B201" s="321" t="s">
        <v>2845</v>
      </c>
      <c r="C201" s="322">
        <v>0.13</v>
      </c>
      <c r="D201" s="322">
        <v>0.13</v>
      </c>
      <c r="E201" s="322">
        <v>0.13</v>
      </c>
      <c r="F201" s="322">
        <v>0.129</v>
      </c>
      <c r="G201" s="323">
        <v>0.13</v>
      </c>
    </row>
    <row r="202" spans="1:7">
      <c r="A202" s="332" t="s">
        <v>278</v>
      </c>
      <c r="B202" s="321" t="s">
        <v>2855</v>
      </c>
      <c r="C202" s="322">
        <v>0.13</v>
      </c>
      <c r="D202" s="322">
        <v>0.13</v>
      </c>
      <c r="E202" s="322">
        <v>0.13</v>
      </c>
      <c r="F202" s="322">
        <v>0.13</v>
      </c>
      <c r="G202" s="323">
        <v>0.13</v>
      </c>
    </row>
    <row r="203" spans="1:7">
      <c r="A203" s="332" t="s">
        <v>278</v>
      </c>
      <c r="B203" s="321" t="s">
        <v>2865</v>
      </c>
      <c r="C203" s="322">
        <v>0.129</v>
      </c>
      <c r="D203" s="322">
        <v>0.129</v>
      </c>
      <c r="E203" s="322">
        <v>0.13</v>
      </c>
      <c r="F203" s="322">
        <v>0.13</v>
      </c>
      <c r="G203" s="323">
        <v>0.13</v>
      </c>
    </row>
    <row r="204" spans="1:7">
      <c r="A204" s="332" t="s">
        <v>278</v>
      </c>
      <c r="B204" s="321" t="s">
        <v>2875</v>
      </c>
      <c r="C204" s="322">
        <v>0.129</v>
      </c>
      <c r="D204" s="322">
        <v>0.129</v>
      </c>
      <c r="E204" s="322">
        <v>0.123</v>
      </c>
      <c r="F204" s="322">
        <v>0.13</v>
      </c>
      <c r="G204" s="323">
        <v>0.13</v>
      </c>
    </row>
    <row r="205" spans="1:7">
      <c r="A205" s="332" t="s">
        <v>278</v>
      </c>
      <c r="B205" s="321" t="s">
        <v>2885</v>
      </c>
      <c r="C205" s="322">
        <v>0.13</v>
      </c>
      <c r="D205" s="322">
        <v>0.13</v>
      </c>
      <c r="E205" s="322">
        <v>0.13</v>
      </c>
      <c r="F205" s="322">
        <v>0.13</v>
      </c>
      <c r="G205" s="323">
        <v>0.13</v>
      </c>
    </row>
    <row r="206" spans="1:7">
      <c r="A206" s="332" t="s">
        <v>278</v>
      </c>
      <c r="B206" s="321" t="s">
        <v>2895</v>
      </c>
      <c r="C206" s="322">
        <v>0.13</v>
      </c>
      <c r="D206" s="322">
        <v>0.13</v>
      </c>
      <c r="E206" s="322">
        <v>0.13</v>
      </c>
      <c r="F206" s="322">
        <v>0.128</v>
      </c>
      <c r="G206" s="323">
        <v>0.13</v>
      </c>
    </row>
    <row r="207" spans="1:7">
      <c r="A207" s="332" t="s">
        <v>278</v>
      </c>
      <c r="B207" s="321" t="s">
        <v>2905</v>
      </c>
      <c r="C207" s="322">
        <v>0.13</v>
      </c>
      <c r="D207" s="322">
        <v>0.13</v>
      </c>
      <c r="E207" s="322">
        <v>0.13</v>
      </c>
      <c r="F207" s="322">
        <v>0.13</v>
      </c>
      <c r="G207" s="323">
        <v>0.13</v>
      </c>
    </row>
    <row r="208" spans="1:7">
      <c r="A208" s="332" t="s">
        <v>278</v>
      </c>
      <c r="B208" s="321" t="s">
        <v>2915</v>
      </c>
      <c r="C208" s="322">
        <v>0.13</v>
      </c>
      <c r="D208" s="322">
        <v>0.13</v>
      </c>
      <c r="E208" s="322">
        <v>0.13</v>
      </c>
      <c r="F208" s="322">
        <v>0.13</v>
      </c>
      <c r="G208" s="323">
        <v>0.13</v>
      </c>
    </row>
    <row r="209" spans="1:7">
      <c r="A209" s="332" t="s">
        <v>278</v>
      </c>
      <c r="B209" s="321" t="s">
        <v>2925</v>
      </c>
      <c r="C209" s="322">
        <v>0.13</v>
      </c>
      <c r="D209" s="322">
        <v>0.13</v>
      </c>
      <c r="E209" s="322">
        <v>0.13</v>
      </c>
      <c r="F209" s="322">
        <v>0.13</v>
      </c>
      <c r="G209" s="323">
        <v>0.13</v>
      </c>
    </row>
    <row r="210" spans="1:7">
      <c r="A210" s="332" t="s">
        <v>278</v>
      </c>
      <c r="B210" s="321" t="s">
        <v>2934</v>
      </c>
      <c r="C210" s="322">
        <v>0.121</v>
      </c>
      <c r="D210" s="322">
        <v>0.121</v>
      </c>
      <c r="E210" s="322">
        <v>0.125</v>
      </c>
      <c r="F210" s="322">
        <v>0.13</v>
      </c>
      <c r="G210" s="323">
        <v>0.123</v>
      </c>
    </row>
    <row r="211" spans="1:7">
      <c r="A211" s="332" t="s">
        <v>278</v>
      </c>
      <c r="B211" s="321" t="s">
        <v>2942</v>
      </c>
      <c r="C211" s="322">
        <v>0.123</v>
      </c>
      <c r="D211" s="322">
        <v>0.123</v>
      </c>
      <c r="E211" s="322">
        <v>0.127</v>
      </c>
      <c r="F211" s="322">
        <v>0.115</v>
      </c>
      <c r="G211" s="323">
        <v>0.126</v>
      </c>
    </row>
    <row r="212" spans="1:7">
      <c r="A212" s="332" t="s">
        <v>278</v>
      </c>
      <c r="B212" s="321" t="s">
        <v>2950</v>
      </c>
      <c r="C212" s="322">
        <v>0.126</v>
      </c>
      <c r="D212" s="322">
        <v>0.126</v>
      </c>
      <c r="E212" s="322">
        <v>0.13</v>
      </c>
      <c r="F212" s="322">
        <v>0.13</v>
      </c>
      <c r="G212" s="323">
        <v>0.129</v>
      </c>
    </row>
    <row r="213" spans="1:7">
      <c r="A213" s="332" t="s">
        <v>278</v>
      </c>
      <c r="B213" s="321" t="s">
        <v>2958</v>
      </c>
      <c r="C213" s="322">
        <v>0.129</v>
      </c>
      <c r="D213" s="322">
        <v>0.13</v>
      </c>
      <c r="E213" s="322">
        <v>0.127</v>
      </c>
      <c r="F213" s="322">
        <v>0.13</v>
      </c>
      <c r="G213" s="323">
        <v>0.13</v>
      </c>
    </row>
    <row r="214" spans="1:7">
      <c r="A214" s="332" t="s">
        <v>278</v>
      </c>
      <c r="B214" s="321" t="s">
        <v>2966</v>
      </c>
      <c r="C214" s="322">
        <v>0.128</v>
      </c>
      <c r="D214" s="322">
        <v>0.128</v>
      </c>
      <c r="E214" s="322">
        <v>0.13</v>
      </c>
      <c r="F214" s="322">
        <v>0.13</v>
      </c>
      <c r="G214" s="323">
        <v>0.13</v>
      </c>
    </row>
    <row r="215" spans="1:7">
      <c r="A215" s="332" t="s">
        <v>278</v>
      </c>
      <c r="B215" s="321" t="s">
        <v>2973</v>
      </c>
      <c r="C215" s="322">
        <v>0.13</v>
      </c>
      <c r="D215" s="322">
        <v>0.13</v>
      </c>
      <c r="E215" s="322">
        <v>0.13</v>
      </c>
      <c r="F215" s="322">
        <v>0.129</v>
      </c>
      <c r="G215" s="323">
        <v>0.13</v>
      </c>
    </row>
    <row r="216" spans="1:7">
      <c r="A216" s="332" t="s">
        <v>278</v>
      </c>
      <c r="B216" s="321" t="s">
        <v>2980</v>
      </c>
      <c r="C216" s="322">
        <v>0.13</v>
      </c>
      <c r="D216" s="322">
        <v>0.13</v>
      </c>
      <c r="E216" s="322">
        <v>0.13</v>
      </c>
      <c r="F216" s="322">
        <v>0.13</v>
      </c>
      <c r="G216" s="323">
        <v>0.13</v>
      </c>
    </row>
    <row r="217" spans="1:7">
      <c r="A217" s="332" t="s">
        <v>278</v>
      </c>
      <c r="B217" s="321" t="s">
        <v>2987</v>
      </c>
      <c r="C217" s="322">
        <v>0.129</v>
      </c>
      <c r="D217" s="322">
        <v>0.129</v>
      </c>
      <c r="E217" s="322">
        <v>0.13</v>
      </c>
      <c r="F217" s="322">
        <v>0.13</v>
      </c>
      <c r="G217" s="323">
        <v>0.13</v>
      </c>
    </row>
    <row r="218" spans="1:7">
      <c r="A218" s="332" t="s">
        <v>278</v>
      </c>
      <c r="B218" s="321" t="s">
        <v>2994</v>
      </c>
      <c r="C218" s="333"/>
      <c r="D218" s="333"/>
      <c r="E218" s="333"/>
      <c r="F218" s="322">
        <v>0.05</v>
      </c>
      <c r="G218" s="339"/>
    </row>
    <row r="219" spans="1:7">
      <c r="A219" s="332" t="s">
        <v>278</v>
      </c>
      <c r="B219" s="321" t="s">
        <v>3001</v>
      </c>
      <c r="C219" s="333"/>
      <c r="D219" s="333"/>
      <c r="E219" s="333"/>
      <c r="F219" s="322">
        <v>0.05</v>
      </c>
      <c r="G219" s="339"/>
    </row>
    <row r="220" spans="1:7">
      <c r="A220" s="332" t="s">
        <v>278</v>
      </c>
      <c r="B220" s="321" t="s">
        <v>3008</v>
      </c>
      <c r="C220" s="333"/>
      <c r="D220" s="333"/>
      <c r="E220" s="333"/>
      <c r="F220" s="322">
        <v>0.05</v>
      </c>
      <c r="G220" s="339"/>
    </row>
    <row r="221" spans="1:7">
      <c r="A221" s="332" t="s">
        <v>278</v>
      </c>
      <c r="B221" s="321" t="s">
        <v>3015</v>
      </c>
      <c r="C221" s="333"/>
      <c r="D221" s="333"/>
      <c r="E221" s="333"/>
      <c r="F221" s="322">
        <v>0.05</v>
      </c>
      <c r="G221" s="339"/>
    </row>
    <row r="222" spans="1:7">
      <c r="A222" s="332" t="s">
        <v>278</v>
      </c>
      <c r="B222" s="321" t="s">
        <v>3020</v>
      </c>
      <c r="C222" s="333"/>
      <c r="D222" s="333"/>
      <c r="E222" s="333"/>
      <c r="F222" s="322">
        <v>0.05</v>
      </c>
      <c r="G222" s="339"/>
    </row>
    <row r="223" spans="1:7">
      <c r="A223" s="332" t="s">
        <v>278</v>
      </c>
      <c r="B223" s="321" t="s">
        <v>3025</v>
      </c>
      <c r="C223" s="333"/>
      <c r="D223" s="333"/>
      <c r="E223" s="333"/>
      <c r="F223" s="322">
        <v>0.05</v>
      </c>
      <c r="G223" s="339"/>
    </row>
    <row r="224" spans="1:7">
      <c r="A224" s="332" t="s">
        <v>278</v>
      </c>
      <c r="B224" s="321" t="s">
        <v>3030</v>
      </c>
      <c r="C224" s="333"/>
      <c r="D224" s="333"/>
      <c r="E224" s="333"/>
      <c r="F224" s="322">
        <v>0.05</v>
      </c>
      <c r="G224" s="339"/>
    </row>
    <row r="225" spans="1:7">
      <c r="A225" s="332" t="s">
        <v>278</v>
      </c>
      <c r="B225" s="321" t="s">
        <v>3035</v>
      </c>
      <c r="C225" s="333"/>
      <c r="D225" s="333"/>
      <c r="E225" s="333"/>
      <c r="F225" s="322">
        <v>0.05</v>
      </c>
      <c r="G225" s="339"/>
    </row>
    <row r="226" spans="1:7">
      <c r="A226" s="332" t="s">
        <v>278</v>
      </c>
      <c r="B226" s="321" t="s">
        <v>3040</v>
      </c>
      <c r="C226" s="333"/>
      <c r="D226" s="333"/>
      <c r="E226" s="333"/>
      <c r="F226" s="322">
        <v>0.05</v>
      </c>
      <c r="G226" s="339"/>
    </row>
    <row r="227" spans="1:7">
      <c r="A227" s="332" t="s">
        <v>278</v>
      </c>
      <c r="B227" s="321" t="s">
        <v>3099</v>
      </c>
      <c r="C227" s="333"/>
      <c r="D227" s="333"/>
      <c r="E227" s="333"/>
      <c r="F227" s="322">
        <v>0.05</v>
      </c>
      <c r="G227" s="339"/>
    </row>
    <row r="228" spans="1:7">
      <c r="A228" s="332" t="s">
        <v>278</v>
      </c>
      <c r="B228" s="321" t="s">
        <v>3100</v>
      </c>
      <c r="C228" s="333"/>
      <c r="D228" s="333"/>
      <c r="E228" s="333"/>
      <c r="F228" s="322">
        <v>0.05</v>
      </c>
      <c r="G228" s="339"/>
    </row>
    <row r="229" spans="1:7">
      <c r="A229" s="332" t="s">
        <v>278</v>
      </c>
      <c r="B229" s="321" t="s">
        <v>3101</v>
      </c>
      <c r="C229" s="333"/>
      <c r="D229" s="333"/>
      <c r="E229" s="333"/>
      <c r="F229" s="322">
        <v>0.05</v>
      </c>
      <c r="G229" s="339"/>
    </row>
    <row r="230" spans="1:7">
      <c r="A230" s="332" t="s">
        <v>278</v>
      </c>
      <c r="B230" s="321" t="s">
        <v>3059</v>
      </c>
      <c r="C230" s="333"/>
      <c r="D230" s="333"/>
      <c r="E230" s="333"/>
      <c r="F230" s="322">
        <v>0.05</v>
      </c>
      <c r="G230" s="339"/>
    </row>
    <row r="231" spans="1:7">
      <c r="A231" s="332" t="s">
        <v>278</v>
      </c>
      <c r="B231" s="321" t="s">
        <v>3063</v>
      </c>
      <c r="C231" s="333"/>
      <c r="D231" s="333"/>
      <c r="E231" s="333"/>
      <c r="F231" s="322">
        <v>0.05</v>
      </c>
      <c r="G231" s="339"/>
    </row>
    <row r="232" spans="1:7">
      <c r="A232" s="332" t="s">
        <v>278</v>
      </c>
      <c r="B232" s="321" t="s">
        <v>3102</v>
      </c>
      <c r="C232" s="333"/>
      <c r="D232" s="333"/>
      <c r="E232" s="333"/>
      <c r="F232" s="322">
        <v>0.05</v>
      </c>
      <c r="G232" s="339"/>
    </row>
    <row r="233" ht="14.25" spans="1:7">
      <c r="A233" s="335" t="s">
        <v>278</v>
      </c>
      <c r="B233" s="325" t="s">
        <v>3071</v>
      </c>
      <c r="C233" s="327"/>
      <c r="D233" s="327"/>
      <c r="E233" s="327"/>
      <c r="F233" s="326">
        <v>0.05</v>
      </c>
      <c r="G233" s="340"/>
    </row>
    <row r="234" spans="1:7">
      <c r="A234" s="331" t="s">
        <v>284</v>
      </c>
      <c r="B234" s="317" t="s">
        <v>2722</v>
      </c>
      <c r="C234" s="318">
        <v>0.13</v>
      </c>
      <c r="D234" s="318">
        <v>0.128</v>
      </c>
      <c r="E234" s="318">
        <v>0.142</v>
      </c>
      <c r="F234" s="318">
        <v>0.147</v>
      </c>
      <c r="G234" s="319">
        <v>0.14</v>
      </c>
    </row>
    <row r="235" spans="1:7">
      <c r="A235" s="332" t="s">
        <v>284</v>
      </c>
      <c r="B235" s="321" t="s">
        <v>2735</v>
      </c>
      <c r="C235" s="322">
        <v>0.136</v>
      </c>
      <c r="D235" s="322">
        <v>0.138</v>
      </c>
      <c r="E235" s="322">
        <v>0.145</v>
      </c>
      <c r="F235" s="322">
        <v>0.143</v>
      </c>
      <c r="G235" s="323">
        <v>0.141</v>
      </c>
    </row>
    <row r="236" spans="1:7">
      <c r="A236" s="332" t="s">
        <v>284</v>
      </c>
      <c r="B236" s="321" t="s">
        <v>2749</v>
      </c>
      <c r="C236" s="322">
        <v>0.15</v>
      </c>
      <c r="D236" s="322">
        <v>0.15</v>
      </c>
      <c r="E236" s="322">
        <v>0.15</v>
      </c>
      <c r="F236" s="322">
        <v>0.15</v>
      </c>
      <c r="G236" s="323">
        <v>0.15</v>
      </c>
    </row>
    <row r="237" spans="1:7">
      <c r="A237" s="332" t="s">
        <v>284</v>
      </c>
      <c r="B237" s="321" t="s">
        <v>2761</v>
      </c>
      <c r="C237" s="322">
        <v>0.15</v>
      </c>
      <c r="D237" s="322">
        <v>0.15</v>
      </c>
      <c r="E237" s="322">
        <v>0.15</v>
      </c>
      <c r="F237" s="322">
        <v>0.15</v>
      </c>
      <c r="G237" s="323">
        <v>0.15</v>
      </c>
    </row>
    <row r="238" spans="1:7">
      <c r="A238" s="332" t="s">
        <v>284</v>
      </c>
      <c r="B238" s="321" t="s">
        <v>2773</v>
      </c>
      <c r="C238" s="322">
        <v>0.149</v>
      </c>
      <c r="D238" s="322">
        <v>0.149</v>
      </c>
      <c r="E238" s="322">
        <v>0.15</v>
      </c>
      <c r="F238" s="322">
        <v>0.15</v>
      </c>
      <c r="G238" s="323">
        <v>0.15</v>
      </c>
    </row>
    <row r="239" spans="1:7">
      <c r="A239" s="332" t="s">
        <v>284</v>
      </c>
      <c r="B239" s="321" t="s">
        <v>2784</v>
      </c>
      <c r="C239" s="322">
        <v>0.15</v>
      </c>
      <c r="D239" s="322">
        <v>0.15</v>
      </c>
      <c r="E239" s="322">
        <v>0.15</v>
      </c>
      <c r="F239" s="322">
        <v>0.15</v>
      </c>
      <c r="G239" s="323">
        <v>0.15</v>
      </c>
    </row>
    <row r="240" spans="1:7">
      <c r="A240" s="332" t="s">
        <v>284</v>
      </c>
      <c r="B240" s="321" t="s">
        <v>2795</v>
      </c>
      <c r="C240" s="322">
        <v>0.15</v>
      </c>
      <c r="D240" s="322">
        <v>0.15</v>
      </c>
      <c r="E240" s="322">
        <v>0.15</v>
      </c>
      <c r="F240" s="322">
        <v>0.15</v>
      </c>
      <c r="G240" s="323">
        <v>0.15</v>
      </c>
    </row>
    <row r="241" spans="1:7">
      <c r="A241" s="332" t="s">
        <v>284</v>
      </c>
      <c r="B241" s="321" t="s">
        <v>2806</v>
      </c>
      <c r="C241" s="322">
        <v>0.141</v>
      </c>
      <c r="D241" s="322">
        <v>0.142</v>
      </c>
      <c r="E241" s="322">
        <v>0.149</v>
      </c>
      <c r="F241" s="322">
        <v>0.15</v>
      </c>
      <c r="G241" s="323">
        <v>0.144</v>
      </c>
    </row>
    <row r="242" spans="1:7">
      <c r="A242" s="332" t="s">
        <v>284</v>
      </c>
      <c r="B242" s="321" t="s">
        <v>2816</v>
      </c>
      <c r="C242" s="322">
        <v>0.141</v>
      </c>
      <c r="D242" s="322">
        <v>0.142</v>
      </c>
      <c r="E242" s="322">
        <v>0.148</v>
      </c>
      <c r="F242" s="322">
        <v>0.127</v>
      </c>
      <c r="G242" s="323">
        <v>0.144</v>
      </c>
    </row>
    <row r="243" spans="1:7">
      <c r="A243" s="332" t="s">
        <v>284</v>
      </c>
      <c r="B243" s="321" t="s">
        <v>2826</v>
      </c>
      <c r="C243" s="322">
        <v>0.147</v>
      </c>
      <c r="D243" s="322">
        <v>0.147</v>
      </c>
      <c r="E243" s="322">
        <v>0.15</v>
      </c>
      <c r="F243" s="322">
        <v>0.15</v>
      </c>
      <c r="G243" s="323">
        <v>0.149</v>
      </c>
    </row>
    <row r="244" spans="1:7">
      <c r="A244" s="332" t="s">
        <v>284</v>
      </c>
      <c r="B244" s="321" t="s">
        <v>2836</v>
      </c>
      <c r="C244" s="322">
        <v>0.15</v>
      </c>
      <c r="D244" s="322">
        <v>0.15</v>
      </c>
      <c r="E244" s="322">
        <v>0.15</v>
      </c>
      <c r="F244" s="322">
        <v>0.15</v>
      </c>
      <c r="G244" s="323">
        <v>0.15</v>
      </c>
    </row>
    <row r="245" spans="1:7">
      <c r="A245" s="332" t="s">
        <v>284</v>
      </c>
      <c r="B245" s="321" t="s">
        <v>2846</v>
      </c>
      <c r="C245" s="322">
        <v>0.142</v>
      </c>
      <c r="D245" s="322">
        <v>0.142</v>
      </c>
      <c r="E245" s="322">
        <v>0.15</v>
      </c>
      <c r="F245" s="322">
        <v>0.15</v>
      </c>
      <c r="G245" s="323">
        <v>0.145</v>
      </c>
    </row>
    <row r="246" spans="1:7">
      <c r="A246" s="332" t="s">
        <v>284</v>
      </c>
      <c r="B246" s="321" t="s">
        <v>2856</v>
      </c>
      <c r="C246" s="322">
        <v>0.142</v>
      </c>
      <c r="D246" s="322">
        <v>0.143</v>
      </c>
      <c r="E246" s="322">
        <v>0.15</v>
      </c>
      <c r="F246" s="322">
        <v>0.142</v>
      </c>
      <c r="G246" s="323">
        <v>0.144</v>
      </c>
    </row>
    <row r="247" spans="1:7">
      <c r="A247" s="332" t="s">
        <v>284</v>
      </c>
      <c r="B247" s="321" t="s">
        <v>2866</v>
      </c>
      <c r="C247" s="322">
        <v>0.149</v>
      </c>
      <c r="D247" s="322">
        <v>0.149</v>
      </c>
      <c r="E247" s="322">
        <v>0.15</v>
      </c>
      <c r="F247" s="322">
        <v>0.15</v>
      </c>
      <c r="G247" s="323">
        <v>0.15</v>
      </c>
    </row>
    <row r="248" spans="1:7">
      <c r="A248" s="332" t="s">
        <v>284</v>
      </c>
      <c r="B248" s="321" t="s">
        <v>2876</v>
      </c>
      <c r="C248" s="322">
        <v>0.144</v>
      </c>
      <c r="D248" s="322">
        <v>0.144</v>
      </c>
      <c r="E248" s="322">
        <v>0.149</v>
      </c>
      <c r="F248" s="322">
        <v>0.148</v>
      </c>
      <c r="G248" s="323">
        <v>0.146</v>
      </c>
    </row>
    <row r="249" spans="1:7">
      <c r="A249" s="332" t="s">
        <v>284</v>
      </c>
      <c r="B249" s="321" t="s">
        <v>2886</v>
      </c>
      <c r="C249" s="322">
        <v>0.14</v>
      </c>
      <c r="D249" s="322">
        <v>0.14</v>
      </c>
      <c r="E249" s="322">
        <v>0.147</v>
      </c>
      <c r="F249" s="322">
        <v>0.149</v>
      </c>
      <c r="G249" s="323">
        <v>0.142</v>
      </c>
    </row>
    <row r="250" spans="1:7">
      <c r="A250" s="332" t="s">
        <v>284</v>
      </c>
      <c r="B250" s="321" t="s">
        <v>2896</v>
      </c>
      <c r="C250" s="322">
        <v>0.144</v>
      </c>
      <c r="D250" s="322">
        <v>0.143</v>
      </c>
      <c r="E250" s="322">
        <v>0.149</v>
      </c>
      <c r="F250" s="322">
        <v>0.15</v>
      </c>
      <c r="G250" s="323">
        <v>0.146</v>
      </c>
    </row>
    <row r="251" spans="1:7">
      <c r="A251" s="332" t="s">
        <v>284</v>
      </c>
      <c r="B251" s="321" t="s">
        <v>2906</v>
      </c>
      <c r="C251" s="338"/>
      <c r="D251" s="333"/>
      <c r="E251" s="333"/>
      <c r="F251" s="322">
        <v>0.1</v>
      </c>
      <c r="G251" s="339"/>
    </row>
    <row r="252" spans="1:7">
      <c r="A252" s="332" t="s">
        <v>284</v>
      </c>
      <c r="B252" s="321" t="s">
        <v>2916</v>
      </c>
      <c r="C252" s="322">
        <v>0.144</v>
      </c>
      <c r="D252" s="322">
        <v>0.144</v>
      </c>
      <c r="E252" s="322">
        <v>0.15</v>
      </c>
      <c r="F252" s="322">
        <v>0.149</v>
      </c>
      <c r="G252" s="323">
        <v>0.146</v>
      </c>
    </row>
    <row r="253" spans="1:7">
      <c r="A253" s="332" t="s">
        <v>284</v>
      </c>
      <c r="B253" s="321" t="s">
        <v>2926</v>
      </c>
      <c r="C253" s="322">
        <v>0.142</v>
      </c>
      <c r="D253" s="322">
        <v>0.142</v>
      </c>
      <c r="E253" s="322">
        <v>0.146</v>
      </c>
      <c r="F253" s="322">
        <v>0.148</v>
      </c>
      <c r="G253" s="323">
        <v>0.145</v>
      </c>
    </row>
    <row r="254" spans="1:7">
      <c r="A254" s="332" t="s">
        <v>284</v>
      </c>
      <c r="B254" s="321" t="s">
        <v>2935</v>
      </c>
      <c r="C254" s="322">
        <v>0.15</v>
      </c>
      <c r="D254" s="322">
        <v>0.15</v>
      </c>
      <c r="E254" s="322">
        <v>0.15</v>
      </c>
      <c r="F254" s="322">
        <v>0.15</v>
      </c>
      <c r="G254" s="323">
        <v>0.15</v>
      </c>
    </row>
    <row r="255" spans="1:7">
      <c r="A255" s="332" t="s">
        <v>284</v>
      </c>
      <c r="B255" s="321" t="s">
        <v>2943</v>
      </c>
      <c r="C255" s="322">
        <v>0.143</v>
      </c>
      <c r="D255" s="322">
        <v>0.143</v>
      </c>
      <c r="E255" s="322">
        <v>0.15</v>
      </c>
      <c r="F255" s="322">
        <v>0.15</v>
      </c>
      <c r="G255" s="323">
        <v>0.145</v>
      </c>
    </row>
    <row r="256" spans="1:7">
      <c r="A256" s="332" t="s">
        <v>284</v>
      </c>
      <c r="B256" s="321" t="s">
        <v>2951</v>
      </c>
      <c r="C256" s="322">
        <v>0.15</v>
      </c>
      <c r="D256" s="322">
        <v>0.15</v>
      </c>
      <c r="E256" s="322">
        <v>0.15</v>
      </c>
      <c r="F256" s="322">
        <v>0.146</v>
      </c>
      <c r="G256" s="323">
        <v>0.15</v>
      </c>
    </row>
    <row r="257" spans="1:7">
      <c r="A257" s="332" t="s">
        <v>284</v>
      </c>
      <c r="B257" s="321" t="s">
        <v>2959</v>
      </c>
      <c r="C257" s="322">
        <v>0.142</v>
      </c>
      <c r="D257" s="322">
        <v>0.143</v>
      </c>
      <c r="E257" s="322">
        <v>0.148</v>
      </c>
      <c r="F257" s="322">
        <v>0.15</v>
      </c>
      <c r="G257" s="323">
        <v>0.145</v>
      </c>
    </row>
    <row r="258" spans="1:7">
      <c r="A258" s="332" t="s">
        <v>284</v>
      </c>
      <c r="B258" s="321" t="s">
        <v>2967</v>
      </c>
      <c r="C258" s="322">
        <v>0.143</v>
      </c>
      <c r="D258" s="322">
        <v>0.143</v>
      </c>
      <c r="E258" s="322">
        <v>0.15</v>
      </c>
      <c r="F258" s="322">
        <v>0.148</v>
      </c>
      <c r="G258" s="323">
        <v>0.146</v>
      </c>
    </row>
    <row r="259" spans="1:7">
      <c r="A259" s="332" t="s">
        <v>284</v>
      </c>
      <c r="B259" s="321" t="s">
        <v>2974</v>
      </c>
      <c r="C259" s="322">
        <v>0.144</v>
      </c>
      <c r="D259" s="322">
        <v>0.144</v>
      </c>
      <c r="E259" s="322">
        <v>0.149</v>
      </c>
      <c r="F259" s="322">
        <v>0.147</v>
      </c>
      <c r="G259" s="323">
        <v>0.146</v>
      </c>
    </row>
    <row r="260" spans="1:7">
      <c r="A260" s="332" t="s">
        <v>284</v>
      </c>
      <c r="B260" s="321" t="s">
        <v>2981</v>
      </c>
      <c r="C260" s="322">
        <v>0.109</v>
      </c>
      <c r="D260" s="322">
        <v>0.111</v>
      </c>
      <c r="E260" s="322">
        <v>0.131</v>
      </c>
      <c r="F260" s="322">
        <v>0.126</v>
      </c>
      <c r="G260" s="323">
        <v>0.119</v>
      </c>
    </row>
    <row r="261" spans="1:7">
      <c r="A261" s="332" t="s">
        <v>284</v>
      </c>
      <c r="B261" s="321" t="s">
        <v>2988</v>
      </c>
      <c r="C261" s="322">
        <v>0.1</v>
      </c>
      <c r="D261" s="322">
        <v>0.1</v>
      </c>
      <c r="E261" s="322">
        <v>0.118</v>
      </c>
      <c r="F261" s="322">
        <v>0.108</v>
      </c>
      <c r="G261" s="323">
        <v>0.107</v>
      </c>
    </row>
    <row r="262" spans="1:7">
      <c r="A262" s="332" t="s">
        <v>284</v>
      </c>
      <c r="B262" s="321" t="s">
        <v>2995</v>
      </c>
      <c r="C262" s="322">
        <v>0.1</v>
      </c>
      <c r="D262" s="322">
        <v>0.1</v>
      </c>
      <c r="E262" s="322">
        <v>0.1</v>
      </c>
      <c r="F262" s="322">
        <v>0.141</v>
      </c>
      <c r="G262" s="323">
        <v>0.1</v>
      </c>
    </row>
    <row r="263" spans="1:7">
      <c r="A263" s="332" t="s">
        <v>284</v>
      </c>
      <c r="B263" s="321" t="s">
        <v>3002</v>
      </c>
      <c r="C263" s="322">
        <v>0.148</v>
      </c>
      <c r="D263" s="322">
        <v>0.148</v>
      </c>
      <c r="E263" s="322">
        <v>0.15</v>
      </c>
      <c r="F263" s="322">
        <v>0.147</v>
      </c>
      <c r="G263" s="323">
        <v>0.15</v>
      </c>
    </row>
    <row r="264" spans="1:7">
      <c r="A264" s="332" t="s">
        <v>284</v>
      </c>
      <c r="B264" s="321" t="s">
        <v>3009</v>
      </c>
      <c r="C264" s="322">
        <v>0.143</v>
      </c>
      <c r="D264" s="322">
        <v>0.143</v>
      </c>
      <c r="E264" s="322">
        <v>0.15</v>
      </c>
      <c r="F264" s="322">
        <v>0.149</v>
      </c>
      <c r="G264" s="323">
        <v>0.146</v>
      </c>
    </row>
    <row r="265" spans="1:7">
      <c r="A265" s="332" t="s">
        <v>284</v>
      </c>
      <c r="B265" s="321" t="s">
        <v>3016</v>
      </c>
      <c r="C265" s="333"/>
      <c r="D265" s="333"/>
      <c r="E265" s="333"/>
      <c r="F265" s="322">
        <v>0.05</v>
      </c>
      <c r="G265" s="339"/>
    </row>
    <row r="266" spans="1:7">
      <c r="A266" s="332" t="s">
        <v>284</v>
      </c>
      <c r="B266" s="321" t="s">
        <v>3021</v>
      </c>
      <c r="C266" s="333"/>
      <c r="D266" s="333"/>
      <c r="E266" s="333"/>
      <c r="F266" s="322">
        <v>0.05</v>
      </c>
      <c r="G266" s="339"/>
    </row>
    <row r="267" spans="1:7">
      <c r="A267" s="332" t="s">
        <v>284</v>
      </c>
      <c r="B267" s="321" t="s">
        <v>3026</v>
      </c>
      <c r="C267" s="333"/>
      <c r="D267" s="333"/>
      <c r="E267" s="333"/>
      <c r="F267" s="322">
        <v>0.05</v>
      </c>
      <c r="G267" s="339"/>
    </row>
    <row r="268" spans="1:7">
      <c r="A268" s="332" t="s">
        <v>284</v>
      </c>
      <c r="B268" s="321" t="s">
        <v>3031</v>
      </c>
      <c r="C268" s="333"/>
      <c r="D268" s="333"/>
      <c r="E268" s="333"/>
      <c r="F268" s="322">
        <v>0.05</v>
      </c>
      <c r="G268" s="339"/>
    </row>
    <row r="269" spans="1:7">
      <c r="A269" s="332" t="s">
        <v>284</v>
      </c>
      <c r="B269" s="321" t="s">
        <v>3036</v>
      </c>
      <c r="C269" s="333"/>
      <c r="D269" s="333"/>
      <c r="E269" s="333"/>
      <c r="F269" s="322">
        <v>0.05</v>
      </c>
      <c r="G269" s="339"/>
    </row>
    <row r="270" spans="1:7">
      <c r="A270" s="332" t="s">
        <v>284</v>
      </c>
      <c r="B270" s="321" t="s">
        <v>3041</v>
      </c>
      <c r="C270" s="333"/>
      <c r="D270" s="333"/>
      <c r="E270" s="333"/>
      <c r="F270" s="322">
        <v>0.05</v>
      </c>
      <c r="G270" s="339"/>
    </row>
    <row r="271" spans="1:7">
      <c r="A271" s="332" t="s">
        <v>284</v>
      </c>
      <c r="B271" s="321" t="s">
        <v>3046</v>
      </c>
      <c r="C271" s="333"/>
      <c r="D271" s="333"/>
      <c r="E271" s="333"/>
      <c r="F271" s="322">
        <v>0.05</v>
      </c>
      <c r="G271" s="339"/>
    </row>
    <row r="272" spans="1:7">
      <c r="A272" s="332" t="s">
        <v>284</v>
      </c>
      <c r="B272" s="321" t="s">
        <v>3051</v>
      </c>
      <c r="C272" s="333"/>
      <c r="D272" s="333"/>
      <c r="E272" s="333"/>
      <c r="F272" s="322">
        <v>0.05</v>
      </c>
      <c r="G272" s="339"/>
    </row>
    <row r="273" spans="1:7">
      <c r="A273" s="332" t="s">
        <v>284</v>
      </c>
      <c r="B273" s="321" t="s">
        <v>3056</v>
      </c>
      <c r="C273" s="333"/>
      <c r="D273" s="333"/>
      <c r="E273" s="333"/>
      <c r="F273" s="322">
        <v>0.05</v>
      </c>
      <c r="G273" s="339"/>
    </row>
    <row r="274" spans="1:7">
      <c r="A274" s="332" t="s">
        <v>284</v>
      </c>
      <c r="B274" s="321" t="s">
        <v>3060</v>
      </c>
      <c r="C274" s="333"/>
      <c r="D274" s="333"/>
      <c r="E274" s="333"/>
      <c r="F274" s="322">
        <v>0.05</v>
      </c>
      <c r="G274" s="339"/>
    </row>
    <row r="275" spans="1:7">
      <c r="A275" s="332" t="s">
        <v>284</v>
      </c>
      <c r="B275" s="321" t="s">
        <v>3064</v>
      </c>
      <c r="C275" s="333"/>
      <c r="D275" s="333"/>
      <c r="E275" s="333"/>
      <c r="F275" s="322">
        <v>0.05</v>
      </c>
      <c r="G275" s="339"/>
    </row>
    <row r="276" ht="14.25" spans="1:7">
      <c r="A276" s="335" t="s">
        <v>284</v>
      </c>
      <c r="B276" s="325" t="s">
        <v>3068</v>
      </c>
      <c r="C276" s="327"/>
      <c r="D276" s="327"/>
      <c r="E276" s="327"/>
      <c r="F276" s="326">
        <v>0.05</v>
      </c>
      <c r="G276" s="340"/>
    </row>
    <row r="277" spans="1:7">
      <c r="A277" s="331" t="s">
        <v>288</v>
      </c>
      <c r="B277" s="317" t="s">
        <v>2723</v>
      </c>
      <c r="C277" s="318">
        <v>0.15</v>
      </c>
      <c r="D277" s="318">
        <v>0.15</v>
      </c>
      <c r="E277" s="318">
        <v>0.15</v>
      </c>
      <c r="F277" s="318">
        <v>0.15</v>
      </c>
      <c r="G277" s="319">
        <v>0.15</v>
      </c>
    </row>
    <row r="278" spans="1:7">
      <c r="A278" s="332" t="s">
        <v>288</v>
      </c>
      <c r="B278" s="321" t="s">
        <v>2736</v>
      </c>
      <c r="C278" s="322">
        <v>0.15</v>
      </c>
      <c r="D278" s="322">
        <v>0.15</v>
      </c>
      <c r="E278" s="322">
        <v>0.15</v>
      </c>
      <c r="F278" s="322">
        <v>0.15</v>
      </c>
      <c r="G278" s="323">
        <v>0.15</v>
      </c>
    </row>
    <row r="279" spans="1:7">
      <c r="A279" s="332" t="s">
        <v>288</v>
      </c>
      <c r="B279" s="321" t="s">
        <v>2750</v>
      </c>
      <c r="C279" s="322">
        <v>0.15</v>
      </c>
      <c r="D279" s="322">
        <v>0.15</v>
      </c>
      <c r="E279" s="322">
        <v>0.15</v>
      </c>
      <c r="F279" s="322">
        <v>0.15</v>
      </c>
      <c r="G279" s="323">
        <v>0.15</v>
      </c>
    </row>
    <row r="280" spans="1:7">
      <c r="A280" s="332" t="s">
        <v>288</v>
      </c>
      <c r="B280" s="321" t="s">
        <v>2762</v>
      </c>
      <c r="C280" s="322">
        <v>0.15</v>
      </c>
      <c r="D280" s="322">
        <v>0.15</v>
      </c>
      <c r="E280" s="322">
        <v>0.15</v>
      </c>
      <c r="F280" s="322">
        <v>0.15</v>
      </c>
      <c r="G280" s="323">
        <v>0.15</v>
      </c>
    </row>
    <row r="281" spans="1:7">
      <c r="A281" s="332" t="s">
        <v>288</v>
      </c>
      <c r="B281" s="321" t="s">
        <v>2774</v>
      </c>
      <c r="C281" s="322">
        <v>0.15</v>
      </c>
      <c r="D281" s="322">
        <v>0.15</v>
      </c>
      <c r="E281" s="322">
        <v>0.15</v>
      </c>
      <c r="F281" s="322">
        <v>0.15</v>
      </c>
      <c r="G281" s="323">
        <v>0.15</v>
      </c>
    </row>
    <row r="282" spans="1:7">
      <c r="A282" s="332" t="s">
        <v>288</v>
      </c>
      <c r="B282" s="321" t="s">
        <v>2785</v>
      </c>
      <c r="C282" s="322">
        <v>0.15</v>
      </c>
      <c r="D282" s="322">
        <v>0.15</v>
      </c>
      <c r="E282" s="322">
        <v>0.15</v>
      </c>
      <c r="F282" s="322">
        <v>0.145</v>
      </c>
      <c r="G282" s="323">
        <v>0.15</v>
      </c>
    </row>
    <row r="283" spans="1:7">
      <c r="A283" s="332" t="s">
        <v>288</v>
      </c>
      <c r="B283" s="321" t="s">
        <v>2796</v>
      </c>
      <c r="C283" s="322">
        <v>0.15</v>
      </c>
      <c r="D283" s="322">
        <v>0.15</v>
      </c>
      <c r="E283" s="322">
        <v>0.15</v>
      </c>
      <c r="F283" s="322">
        <v>0.142</v>
      </c>
      <c r="G283" s="323">
        <v>0.15</v>
      </c>
    </row>
    <row r="284" spans="1:7">
      <c r="A284" s="332" t="s">
        <v>288</v>
      </c>
      <c r="B284" s="321" t="s">
        <v>2807</v>
      </c>
      <c r="C284" s="322">
        <v>0.15</v>
      </c>
      <c r="D284" s="322">
        <v>0.15</v>
      </c>
      <c r="E284" s="322">
        <v>0.15</v>
      </c>
      <c r="F284" s="322">
        <v>0.15</v>
      </c>
      <c r="G284" s="323">
        <v>0.15</v>
      </c>
    </row>
    <row r="285" spans="1:7">
      <c r="A285" s="332" t="s">
        <v>288</v>
      </c>
      <c r="B285" s="321" t="s">
        <v>2817</v>
      </c>
      <c r="C285" s="322">
        <v>0.15</v>
      </c>
      <c r="D285" s="322">
        <v>0.15</v>
      </c>
      <c r="E285" s="322">
        <v>0.15</v>
      </c>
      <c r="F285" s="322">
        <v>0.15</v>
      </c>
      <c r="G285" s="323">
        <v>0.15</v>
      </c>
    </row>
    <row r="286" spans="1:7">
      <c r="A286" s="332" t="s">
        <v>288</v>
      </c>
      <c r="B286" s="321" t="s">
        <v>2827</v>
      </c>
      <c r="C286" s="322">
        <v>0.145</v>
      </c>
      <c r="D286" s="322">
        <v>0.145</v>
      </c>
      <c r="E286" s="322">
        <v>0.15</v>
      </c>
      <c r="F286" s="322">
        <v>0.141</v>
      </c>
      <c r="G286" s="323">
        <v>0.145</v>
      </c>
    </row>
    <row r="287" spans="1:7">
      <c r="A287" s="332" t="s">
        <v>288</v>
      </c>
      <c r="B287" s="321" t="s">
        <v>2837</v>
      </c>
      <c r="C287" s="322">
        <v>0.11</v>
      </c>
      <c r="D287" s="322">
        <v>0.111</v>
      </c>
      <c r="E287" s="322">
        <v>0.141</v>
      </c>
      <c r="F287" s="322">
        <v>0.11</v>
      </c>
      <c r="G287" s="323">
        <v>0.12</v>
      </c>
    </row>
    <row r="288" spans="1:7">
      <c r="A288" s="332" t="s">
        <v>288</v>
      </c>
      <c r="B288" s="321" t="s">
        <v>2847</v>
      </c>
      <c r="C288" s="322">
        <v>0.142</v>
      </c>
      <c r="D288" s="322">
        <v>0.143</v>
      </c>
      <c r="E288" s="322">
        <v>0.15</v>
      </c>
      <c r="F288" s="322">
        <v>0.142</v>
      </c>
      <c r="G288" s="323">
        <v>0.144</v>
      </c>
    </row>
    <row r="289" spans="1:7">
      <c r="A289" s="332" t="s">
        <v>288</v>
      </c>
      <c r="B289" s="321" t="s">
        <v>2857</v>
      </c>
      <c r="C289" s="322">
        <v>0.143</v>
      </c>
      <c r="D289" s="322">
        <v>0.143</v>
      </c>
      <c r="E289" s="322">
        <v>0.148</v>
      </c>
      <c r="F289" s="322">
        <v>0.144</v>
      </c>
      <c r="G289" s="323">
        <v>0.144</v>
      </c>
    </row>
    <row r="290" spans="1:7">
      <c r="A290" s="332" t="s">
        <v>288</v>
      </c>
      <c r="B290" s="321" t="s">
        <v>2867</v>
      </c>
      <c r="C290" s="322">
        <v>0.148</v>
      </c>
      <c r="D290" s="322">
        <v>0.149</v>
      </c>
      <c r="E290" s="322">
        <v>0.15</v>
      </c>
      <c r="F290" s="322">
        <v>0.127</v>
      </c>
      <c r="G290" s="323">
        <v>0.15</v>
      </c>
    </row>
    <row r="291" spans="1:7">
      <c r="A291" s="332" t="s">
        <v>288</v>
      </c>
      <c r="B291" s="321" t="s">
        <v>2877</v>
      </c>
      <c r="C291" s="322">
        <v>0.15</v>
      </c>
      <c r="D291" s="322">
        <v>0.15</v>
      </c>
      <c r="E291" s="322">
        <v>0.15</v>
      </c>
      <c r="F291" s="322">
        <v>0.149</v>
      </c>
      <c r="G291" s="323">
        <v>0.15</v>
      </c>
    </row>
    <row r="292" spans="1:7">
      <c r="A292" s="332" t="s">
        <v>288</v>
      </c>
      <c r="B292" s="321" t="s">
        <v>2887</v>
      </c>
      <c r="C292" s="322">
        <v>0.15</v>
      </c>
      <c r="D292" s="322">
        <v>0.15</v>
      </c>
      <c r="E292" s="322">
        <v>0.15</v>
      </c>
      <c r="F292" s="322">
        <v>0.144</v>
      </c>
      <c r="G292" s="323">
        <v>0.15</v>
      </c>
    </row>
    <row r="293" spans="1:7">
      <c r="A293" s="332" t="s">
        <v>288</v>
      </c>
      <c r="B293" s="321" t="s">
        <v>2897</v>
      </c>
      <c r="C293" s="322">
        <v>0.15</v>
      </c>
      <c r="D293" s="322">
        <v>0.15</v>
      </c>
      <c r="E293" s="322">
        <v>0.15</v>
      </c>
      <c r="F293" s="322">
        <v>0.145</v>
      </c>
      <c r="G293" s="323">
        <v>0.15</v>
      </c>
    </row>
    <row r="294" spans="1:7">
      <c r="A294" s="332" t="s">
        <v>288</v>
      </c>
      <c r="B294" s="321" t="s">
        <v>2907</v>
      </c>
      <c r="C294" s="322">
        <v>0.15</v>
      </c>
      <c r="D294" s="322">
        <v>0.15</v>
      </c>
      <c r="E294" s="322">
        <v>0.15</v>
      </c>
      <c r="F294" s="322">
        <v>0.149</v>
      </c>
      <c r="G294" s="323">
        <v>0.15</v>
      </c>
    </row>
    <row r="295" spans="1:7">
      <c r="A295" s="332" t="s">
        <v>288</v>
      </c>
      <c r="B295" s="321" t="s">
        <v>2917</v>
      </c>
      <c r="C295" s="322">
        <v>0.15</v>
      </c>
      <c r="D295" s="322">
        <v>0.15</v>
      </c>
      <c r="E295" s="322">
        <v>0.15</v>
      </c>
      <c r="F295" s="322">
        <v>0.148</v>
      </c>
      <c r="G295" s="323">
        <v>0.15</v>
      </c>
    </row>
    <row r="296" spans="1:7">
      <c r="A296" s="332" t="s">
        <v>288</v>
      </c>
      <c r="B296" s="321" t="s">
        <v>2927</v>
      </c>
      <c r="C296" s="322">
        <v>0.15</v>
      </c>
      <c r="D296" s="322">
        <v>0.15</v>
      </c>
      <c r="E296" s="322">
        <v>0.15</v>
      </c>
      <c r="F296" s="322">
        <v>0.144</v>
      </c>
      <c r="G296" s="323">
        <v>0.15</v>
      </c>
    </row>
    <row r="297" spans="1:7">
      <c r="A297" s="332" t="s">
        <v>288</v>
      </c>
      <c r="B297" s="321" t="s">
        <v>2936</v>
      </c>
      <c r="C297" s="322">
        <v>0.15</v>
      </c>
      <c r="D297" s="322">
        <v>0.15</v>
      </c>
      <c r="E297" s="322">
        <v>0.15</v>
      </c>
      <c r="F297" s="322">
        <v>0.145</v>
      </c>
      <c r="G297" s="323">
        <v>0.15</v>
      </c>
    </row>
    <row r="298" spans="1:7">
      <c r="A298" s="332" t="s">
        <v>288</v>
      </c>
      <c r="B298" s="321" t="s">
        <v>2944</v>
      </c>
      <c r="C298" s="322">
        <v>0.15</v>
      </c>
      <c r="D298" s="322">
        <v>0.15</v>
      </c>
      <c r="E298" s="322">
        <v>0.15</v>
      </c>
      <c r="F298" s="322">
        <v>0.15</v>
      </c>
      <c r="G298" s="323">
        <v>0.15</v>
      </c>
    </row>
    <row r="299" spans="1:7">
      <c r="A299" s="332" t="s">
        <v>288</v>
      </c>
      <c r="B299" s="341" t="s">
        <v>2952</v>
      </c>
      <c r="C299" s="322">
        <v>0.15</v>
      </c>
      <c r="D299" s="322">
        <v>0.15</v>
      </c>
      <c r="E299" s="322">
        <v>0.15</v>
      </c>
      <c r="F299" s="322">
        <v>0.145</v>
      </c>
      <c r="G299" s="323">
        <v>0.15</v>
      </c>
    </row>
    <row r="300" spans="1:7">
      <c r="A300" s="332" t="s">
        <v>288</v>
      </c>
      <c r="B300" s="341" t="s">
        <v>2960</v>
      </c>
      <c r="C300" s="322">
        <v>0.15</v>
      </c>
      <c r="D300" s="322">
        <v>0.15</v>
      </c>
      <c r="E300" s="322">
        <v>0.15</v>
      </c>
      <c r="F300" s="322">
        <v>0.146</v>
      </c>
      <c r="G300" s="323">
        <v>0.15</v>
      </c>
    </row>
    <row r="301" spans="1:7">
      <c r="A301" s="332" t="s">
        <v>288</v>
      </c>
      <c r="B301" s="341" t="s">
        <v>2968</v>
      </c>
      <c r="C301" s="322">
        <v>0.126</v>
      </c>
      <c r="D301" s="322">
        <v>0.124</v>
      </c>
      <c r="E301" s="322">
        <v>0.141</v>
      </c>
      <c r="F301" s="322">
        <v>0.144</v>
      </c>
      <c r="G301" s="323">
        <v>0.13</v>
      </c>
    </row>
    <row r="302" spans="1:7">
      <c r="A302" s="332" t="s">
        <v>288</v>
      </c>
      <c r="B302" s="321" t="s">
        <v>2975</v>
      </c>
      <c r="C302" s="322">
        <v>0.15</v>
      </c>
      <c r="D302" s="322">
        <v>0.15</v>
      </c>
      <c r="E302" s="322">
        <v>0.15</v>
      </c>
      <c r="F302" s="322">
        <v>0.147</v>
      </c>
      <c r="G302" s="323">
        <v>0.15</v>
      </c>
    </row>
    <row r="303" spans="1:7">
      <c r="A303" s="332" t="s">
        <v>288</v>
      </c>
      <c r="B303" s="321" t="s">
        <v>2982</v>
      </c>
      <c r="C303" s="322">
        <v>0.15</v>
      </c>
      <c r="D303" s="322">
        <v>0.15</v>
      </c>
      <c r="E303" s="322">
        <v>0.15</v>
      </c>
      <c r="F303" s="322">
        <v>0.142</v>
      </c>
      <c r="G303" s="323">
        <v>0.15</v>
      </c>
    </row>
    <row r="304" spans="1:7">
      <c r="A304" s="332" t="s">
        <v>288</v>
      </c>
      <c r="B304" s="321" t="s">
        <v>2989</v>
      </c>
      <c r="C304" s="322">
        <v>0.15</v>
      </c>
      <c r="D304" s="322">
        <v>0.15</v>
      </c>
      <c r="E304" s="322">
        <v>0.15</v>
      </c>
      <c r="F304" s="322">
        <v>0.145</v>
      </c>
      <c r="G304" s="323">
        <v>0.15</v>
      </c>
    </row>
    <row r="305" spans="1:7">
      <c r="A305" s="332" t="s">
        <v>288</v>
      </c>
      <c r="B305" s="321" t="s">
        <v>2996</v>
      </c>
      <c r="C305" s="322">
        <v>0.15</v>
      </c>
      <c r="D305" s="322">
        <v>0.15</v>
      </c>
      <c r="E305" s="322">
        <v>0.15</v>
      </c>
      <c r="F305" s="322">
        <v>0.111</v>
      </c>
      <c r="G305" s="323">
        <v>0.15</v>
      </c>
    </row>
    <row r="306" spans="1:7">
      <c r="A306" s="332" t="s">
        <v>288</v>
      </c>
      <c r="B306" s="321" t="s">
        <v>3003</v>
      </c>
      <c r="C306" s="322">
        <v>0.15</v>
      </c>
      <c r="D306" s="322">
        <v>0.15</v>
      </c>
      <c r="E306" s="322">
        <v>0.15</v>
      </c>
      <c r="F306" s="322">
        <v>0.126</v>
      </c>
      <c r="G306" s="323">
        <v>0.15</v>
      </c>
    </row>
    <row r="307" spans="1:7">
      <c r="A307" s="332" t="s">
        <v>288</v>
      </c>
      <c r="B307" s="321" t="s">
        <v>3010</v>
      </c>
      <c r="C307" s="322">
        <v>0.15</v>
      </c>
      <c r="D307" s="322">
        <v>0.15</v>
      </c>
      <c r="E307" s="322">
        <v>0.15</v>
      </c>
      <c r="F307" s="322">
        <v>0.12</v>
      </c>
      <c r="G307" s="323">
        <v>0.15</v>
      </c>
    </row>
    <row r="308" spans="1:7">
      <c r="A308" s="332" t="s">
        <v>288</v>
      </c>
      <c r="B308" s="321" t="s">
        <v>3017</v>
      </c>
      <c r="C308" s="322">
        <v>0.15</v>
      </c>
      <c r="D308" s="322">
        <v>0.15</v>
      </c>
      <c r="E308" s="322">
        <v>0.15</v>
      </c>
      <c r="F308" s="322">
        <v>0.13</v>
      </c>
      <c r="G308" s="323">
        <v>0.15</v>
      </c>
    </row>
    <row r="309" spans="1:7">
      <c r="A309" s="332" t="s">
        <v>288</v>
      </c>
      <c r="B309" s="321" t="s">
        <v>3022</v>
      </c>
      <c r="C309" s="322">
        <v>0.15</v>
      </c>
      <c r="D309" s="322">
        <v>0.15</v>
      </c>
      <c r="E309" s="322">
        <v>0.15</v>
      </c>
      <c r="F309" s="322">
        <v>0.141</v>
      </c>
      <c r="G309" s="323">
        <v>0.15</v>
      </c>
    </row>
    <row r="310" spans="1:7">
      <c r="A310" s="332" t="s">
        <v>288</v>
      </c>
      <c r="B310" s="321" t="s">
        <v>3027</v>
      </c>
      <c r="C310" s="322">
        <v>0.15</v>
      </c>
      <c r="D310" s="322">
        <v>0.15</v>
      </c>
      <c r="E310" s="322">
        <v>0.15</v>
      </c>
      <c r="F310" s="322">
        <v>0.15</v>
      </c>
      <c r="G310" s="323">
        <v>0.15</v>
      </c>
    </row>
    <row r="311" spans="1:7">
      <c r="A311" s="332" t="s">
        <v>288</v>
      </c>
      <c r="B311" s="321" t="s">
        <v>3032</v>
      </c>
      <c r="C311" s="322">
        <v>0.132</v>
      </c>
      <c r="D311" s="322">
        <v>0.133</v>
      </c>
      <c r="E311" s="322">
        <v>0.145</v>
      </c>
      <c r="F311" s="322">
        <v>0.142</v>
      </c>
      <c r="G311" s="323">
        <v>0.14</v>
      </c>
    </row>
    <row r="312" spans="1:7">
      <c r="A312" s="332" t="s">
        <v>288</v>
      </c>
      <c r="B312" s="321" t="s">
        <v>3037</v>
      </c>
      <c r="C312" s="322">
        <v>0.138</v>
      </c>
      <c r="D312" s="322">
        <v>0.14</v>
      </c>
      <c r="E312" s="322">
        <v>0.146</v>
      </c>
      <c r="F312" s="322">
        <v>0.149</v>
      </c>
      <c r="G312" s="323">
        <v>0.142</v>
      </c>
    </row>
    <row r="313" spans="1:7">
      <c r="A313" s="332" t="s">
        <v>288</v>
      </c>
      <c r="B313" s="321" t="s">
        <v>3042</v>
      </c>
      <c r="C313" s="322">
        <v>0.125</v>
      </c>
      <c r="D313" s="322">
        <v>0.127</v>
      </c>
      <c r="E313" s="322">
        <v>0.144</v>
      </c>
      <c r="F313" s="322">
        <v>0.115</v>
      </c>
      <c r="G313" s="323">
        <v>0.136</v>
      </c>
    </row>
    <row r="314" spans="1:7">
      <c r="A314" s="332" t="s">
        <v>288</v>
      </c>
      <c r="B314" s="321" t="s">
        <v>3047</v>
      </c>
      <c r="C314" s="338"/>
      <c r="D314" s="338"/>
      <c r="E314" s="338"/>
      <c r="F314" s="322">
        <v>0.05</v>
      </c>
      <c r="G314" s="339"/>
    </row>
    <row r="315" spans="1:7">
      <c r="A315" s="332" t="s">
        <v>288</v>
      </c>
      <c r="B315" s="321" t="s">
        <v>3052</v>
      </c>
      <c r="C315" s="338"/>
      <c r="D315" s="338"/>
      <c r="E315" s="338"/>
      <c r="F315" s="322">
        <v>0.05</v>
      </c>
      <c r="G315" s="339"/>
    </row>
    <row r="316" spans="1:7">
      <c r="A316" s="332" t="s">
        <v>288</v>
      </c>
      <c r="B316" s="321" t="s">
        <v>3057</v>
      </c>
      <c r="C316" s="333"/>
      <c r="D316" s="333"/>
      <c r="E316" s="333"/>
      <c r="F316" s="322">
        <v>0.05</v>
      </c>
      <c r="G316" s="339"/>
    </row>
    <row r="317" spans="1:7">
      <c r="A317" s="332" t="s">
        <v>288</v>
      </c>
      <c r="B317" s="321" t="s">
        <v>3061</v>
      </c>
      <c r="C317" s="333"/>
      <c r="D317" s="333"/>
      <c r="E317" s="333"/>
      <c r="F317" s="322">
        <v>0.05</v>
      </c>
      <c r="G317" s="339"/>
    </row>
    <row r="318" spans="1:7">
      <c r="A318" s="332" t="s">
        <v>288</v>
      </c>
      <c r="B318" s="321" t="s">
        <v>3065</v>
      </c>
      <c r="C318" s="333"/>
      <c r="D318" s="333"/>
      <c r="E318" s="333"/>
      <c r="F318" s="322">
        <v>0.05</v>
      </c>
      <c r="G318" s="339"/>
    </row>
    <row r="319" spans="1:7">
      <c r="A319" s="332" t="s">
        <v>288</v>
      </c>
      <c r="B319" s="321" t="s">
        <v>3069</v>
      </c>
      <c r="C319" s="333"/>
      <c r="D319" s="333"/>
      <c r="E319" s="333"/>
      <c r="F319" s="322">
        <v>0.05</v>
      </c>
      <c r="G319" s="339"/>
    </row>
    <row r="320" spans="1:7">
      <c r="A320" s="332" t="s">
        <v>288</v>
      </c>
      <c r="B320" s="321" t="s">
        <v>3072</v>
      </c>
      <c r="C320" s="333"/>
      <c r="D320" s="333"/>
      <c r="E320" s="333"/>
      <c r="F320" s="322">
        <v>0.05</v>
      </c>
      <c r="G320" s="339"/>
    </row>
    <row r="321" spans="1:7">
      <c r="A321" s="332" t="s">
        <v>288</v>
      </c>
      <c r="B321" s="321" t="s">
        <v>3074</v>
      </c>
      <c r="C321" s="333"/>
      <c r="D321" s="333"/>
      <c r="E321" s="333"/>
      <c r="F321" s="322">
        <v>0.05</v>
      </c>
      <c r="G321" s="339"/>
    </row>
    <row r="322" spans="1:7">
      <c r="A322" s="332" t="s">
        <v>288</v>
      </c>
      <c r="B322" s="321" t="s">
        <v>3076</v>
      </c>
      <c r="C322" s="333"/>
      <c r="D322" s="333"/>
      <c r="E322" s="333"/>
      <c r="F322" s="322">
        <v>0.05</v>
      </c>
      <c r="G322" s="339"/>
    </row>
    <row r="323" spans="1:7">
      <c r="A323" s="332" t="s">
        <v>288</v>
      </c>
      <c r="B323" s="321" t="s">
        <v>3078</v>
      </c>
      <c r="C323" s="333"/>
      <c r="D323" s="333"/>
      <c r="E323" s="333"/>
      <c r="F323" s="322">
        <v>0.05</v>
      </c>
      <c r="G323" s="339"/>
    </row>
    <row r="324" spans="1:7">
      <c r="A324" s="332" t="s">
        <v>288</v>
      </c>
      <c r="B324" s="321" t="s">
        <v>3080</v>
      </c>
      <c r="C324" s="333"/>
      <c r="D324" s="333"/>
      <c r="E324" s="333"/>
      <c r="F324" s="322">
        <v>0.05</v>
      </c>
      <c r="G324" s="339"/>
    </row>
    <row r="325" spans="1:7">
      <c r="A325" s="332" t="s">
        <v>288</v>
      </c>
      <c r="B325" s="321" t="s">
        <v>3082</v>
      </c>
      <c r="C325" s="333"/>
      <c r="D325" s="333"/>
      <c r="E325" s="333"/>
      <c r="F325" s="322">
        <v>0.05</v>
      </c>
      <c r="G325" s="339"/>
    </row>
    <row r="326" ht="14.25" spans="1:7">
      <c r="A326" s="335" t="s">
        <v>288</v>
      </c>
      <c r="B326" s="325" t="s">
        <v>3084</v>
      </c>
      <c r="C326" s="327"/>
      <c r="D326" s="327"/>
      <c r="E326" s="327"/>
      <c r="F326" s="326">
        <v>0.05</v>
      </c>
      <c r="G326" s="340"/>
    </row>
    <row r="327" spans="1:7">
      <c r="A327" s="331" t="s">
        <v>292</v>
      </c>
      <c r="B327" s="317" t="s">
        <v>2724</v>
      </c>
      <c r="C327" s="318">
        <v>0.15</v>
      </c>
      <c r="D327" s="318">
        <v>0.15</v>
      </c>
      <c r="E327" s="318">
        <v>0.15</v>
      </c>
      <c r="F327" s="318">
        <v>0.15</v>
      </c>
      <c r="G327" s="319">
        <v>0.15</v>
      </c>
    </row>
    <row r="328" spans="1:7">
      <c r="A328" s="332" t="s">
        <v>292</v>
      </c>
      <c r="B328" s="321" t="s">
        <v>2737</v>
      </c>
      <c r="C328" s="322">
        <v>0.15</v>
      </c>
      <c r="D328" s="322">
        <v>0.15</v>
      </c>
      <c r="E328" s="322">
        <v>0.15</v>
      </c>
      <c r="F328" s="322">
        <v>0.126</v>
      </c>
      <c r="G328" s="323">
        <v>0.15</v>
      </c>
    </row>
    <row r="329" spans="1:7">
      <c r="A329" s="332" t="s">
        <v>292</v>
      </c>
      <c r="B329" s="321" t="s">
        <v>2751</v>
      </c>
      <c r="C329" s="322">
        <v>0.15</v>
      </c>
      <c r="D329" s="322">
        <v>0.15</v>
      </c>
      <c r="E329" s="322">
        <v>0.15</v>
      </c>
      <c r="F329" s="322">
        <v>0.15</v>
      </c>
      <c r="G329" s="323">
        <v>0.15</v>
      </c>
    </row>
    <row r="330" spans="1:7">
      <c r="A330" s="332" t="s">
        <v>292</v>
      </c>
      <c r="B330" s="321" t="s">
        <v>2763</v>
      </c>
      <c r="C330" s="322">
        <v>0.15</v>
      </c>
      <c r="D330" s="322">
        <v>0.15</v>
      </c>
      <c r="E330" s="322">
        <v>0.15</v>
      </c>
      <c r="F330" s="322">
        <v>0.15</v>
      </c>
      <c r="G330" s="323">
        <v>0.15</v>
      </c>
    </row>
    <row r="331" spans="1:7">
      <c r="A331" s="332" t="s">
        <v>292</v>
      </c>
      <c r="B331" s="321" t="s">
        <v>2775</v>
      </c>
      <c r="C331" s="322">
        <v>0.15</v>
      </c>
      <c r="D331" s="322">
        <v>0.15</v>
      </c>
      <c r="E331" s="322">
        <v>0.15</v>
      </c>
      <c r="F331" s="322">
        <v>0.15</v>
      </c>
      <c r="G331" s="323">
        <v>0.15</v>
      </c>
    </row>
    <row r="332" spans="1:7">
      <c r="A332" s="332" t="s">
        <v>292</v>
      </c>
      <c r="B332" s="321" t="s">
        <v>2786</v>
      </c>
      <c r="C332" s="322">
        <v>0.15</v>
      </c>
      <c r="D332" s="322">
        <v>0.15</v>
      </c>
      <c r="E332" s="322">
        <v>0.15</v>
      </c>
      <c r="F332" s="322">
        <v>0.15</v>
      </c>
      <c r="G332" s="323">
        <v>0.15</v>
      </c>
    </row>
    <row r="333" spans="1:7">
      <c r="A333" s="332" t="s">
        <v>292</v>
      </c>
      <c r="B333" s="321" t="s">
        <v>2797</v>
      </c>
      <c r="C333" s="322">
        <v>0.149</v>
      </c>
      <c r="D333" s="322">
        <v>0.149</v>
      </c>
      <c r="E333" s="322">
        <v>0.15</v>
      </c>
      <c r="F333" s="322">
        <v>0.116</v>
      </c>
      <c r="G333" s="323">
        <v>0.15</v>
      </c>
    </row>
    <row r="334" spans="1:7">
      <c r="A334" s="332" t="s">
        <v>292</v>
      </c>
      <c r="B334" s="321" t="s">
        <v>2808</v>
      </c>
      <c r="C334" s="322">
        <v>0.15</v>
      </c>
      <c r="D334" s="322">
        <v>0.15</v>
      </c>
      <c r="E334" s="322">
        <v>0.15</v>
      </c>
      <c r="F334" s="322">
        <v>0.13</v>
      </c>
      <c r="G334" s="323">
        <v>0.15</v>
      </c>
    </row>
    <row r="335" spans="1:7">
      <c r="A335" s="332" t="s">
        <v>292</v>
      </c>
      <c r="B335" s="321" t="s">
        <v>2818</v>
      </c>
      <c r="C335" s="322">
        <v>0.15</v>
      </c>
      <c r="D335" s="322">
        <v>0.15</v>
      </c>
      <c r="E335" s="322">
        <v>0.15</v>
      </c>
      <c r="F335" s="322">
        <v>0.144</v>
      </c>
      <c r="G335" s="323">
        <v>0.15</v>
      </c>
    </row>
    <row r="336" spans="1:7">
      <c r="A336" s="332" t="s">
        <v>292</v>
      </c>
      <c r="B336" s="321" t="s">
        <v>2828</v>
      </c>
      <c r="C336" s="322">
        <v>0.15</v>
      </c>
      <c r="D336" s="322">
        <v>0.15</v>
      </c>
      <c r="E336" s="322">
        <v>0.15</v>
      </c>
      <c r="F336" s="322">
        <v>0.142</v>
      </c>
      <c r="G336" s="323">
        <v>0.15</v>
      </c>
    </row>
    <row r="337" spans="1:7">
      <c r="A337" s="332" t="s">
        <v>292</v>
      </c>
      <c r="B337" s="321" t="s">
        <v>2838</v>
      </c>
      <c r="C337" s="322">
        <v>0.15</v>
      </c>
      <c r="D337" s="322">
        <v>0.15</v>
      </c>
      <c r="E337" s="322">
        <v>0.15</v>
      </c>
      <c r="F337" s="322">
        <v>0.145</v>
      </c>
      <c r="G337" s="323">
        <v>0.15</v>
      </c>
    </row>
    <row r="338" spans="1:7">
      <c r="A338" s="332" t="s">
        <v>292</v>
      </c>
      <c r="B338" s="321" t="s">
        <v>2848</v>
      </c>
      <c r="C338" s="322">
        <v>0.15</v>
      </c>
      <c r="D338" s="322">
        <v>0.15</v>
      </c>
      <c r="E338" s="322">
        <v>0.15</v>
      </c>
      <c r="F338" s="322">
        <v>0.15</v>
      </c>
      <c r="G338" s="323">
        <v>0.15</v>
      </c>
    </row>
    <row r="339" spans="1:7">
      <c r="A339" s="332" t="s">
        <v>292</v>
      </c>
      <c r="B339" s="321" t="s">
        <v>2858</v>
      </c>
      <c r="C339" s="322">
        <v>0.15</v>
      </c>
      <c r="D339" s="322">
        <v>0.15</v>
      </c>
      <c r="E339" s="322">
        <v>0.15</v>
      </c>
      <c r="F339" s="322">
        <v>0.147</v>
      </c>
      <c r="G339" s="323">
        <v>0.15</v>
      </c>
    </row>
    <row r="340" spans="1:7">
      <c r="A340" s="332" t="s">
        <v>292</v>
      </c>
      <c r="B340" s="321" t="s">
        <v>2868</v>
      </c>
      <c r="C340" s="322">
        <v>0.146</v>
      </c>
      <c r="D340" s="322">
        <v>0.146</v>
      </c>
      <c r="E340" s="322">
        <v>0.15</v>
      </c>
      <c r="F340" s="322">
        <v>0.141</v>
      </c>
      <c r="G340" s="323">
        <v>0.147</v>
      </c>
    </row>
    <row r="341" spans="1:7">
      <c r="A341" s="332" t="s">
        <v>292</v>
      </c>
      <c r="B341" s="321" t="s">
        <v>2878</v>
      </c>
      <c r="C341" s="322">
        <v>0.126</v>
      </c>
      <c r="D341" s="322">
        <v>0.124</v>
      </c>
      <c r="E341" s="322">
        <v>0.141</v>
      </c>
      <c r="F341" s="322">
        <v>0.144</v>
      </c>
      <c r="G341" s="323">
        <v>0.13</v>
      </c>
    </row>
    <row r="342" spans="1:7">
      <c r="A342" s="332" t="s">
        <v>292</v>
      </c>
      <c r="B342" s="321" t="s">
        <v>2888</v>
      </c>
      <c r="C342" s="322">
        <v>0.15</v>
      </c>
      <c r="D342" s="322">
        <v>0.15</v>
      </c>
      <c r="E342" s="322">
        <v>0.15</v>
      </c>
      <c r="F342" s="322">
        <v>0.144</v>
      </c>
      <c r="G342" s="323">
        <v>0.15</v>
      </c>
    </row>
    <row r="343" spans="1:7">
      <c r="A343" s="332" t="s">
        <v>292</v>
      </c>
      <c r="B343" s="321" t="s">
        <v>2898</v>
      </c>
      <c r="C343" s="322">
        <v>0.15</v>
      </c>
      <c r="D343" s="322">
        <v>0.15</v>
      </c>
      <c r="E343" s="322">
        <v>0.15</v>
      </c>
      <c r="F343" s="322">
        <v>0.128</v>
      </c>
      <c r="G343" s="323">
        <v>0.15</v>
      </c>
    </row>
    <row r="344" spans="1:7">
      <c r="A344" s="332" t="s">
        <v>292</v>
      </c>
      <c r="B344" s="321" t="s">
        <v>2908</v>
      </c>
      <c r="C344" s="322">
        <v>0.15</v>
      </c>
      <c r="D344" s="322">
        <v>0.15</v>
      </c>
      <c r="E344" s="322">
        <v>0.15</v>
      </c>
      <c r="F344" s="322">
        <v>0.148</v>
      </c>
      <c r="G344" s="323">
        <v>0.15</v>
      </c>
    </row>
    <row r="345" spans="1:7">
      <c r="A345" s="332" t="s">
        <v>292</v>
      </c>
      <c r="B345" s="321" t="s">
        <v>2918</v>
      </c>
      <c r="C345" s="322">
        <v>0.15</v>
      </c>
      <c r="D345" s="322">
        <v>0.15</v>
      </c>
      <c r="E345" s="322">
        <v>0.15</v>
      </c>
      <c r="F345" s="322">
        <v>0.138</v>
      </c>
      <c r="G345" s="323">
        <v>0.15</v>
      </c>
    </row>
    <row r="346" spans="1:7">
      <c r="A346" s="332" t="s">
        <v>292</v>
      </c>
      <c r="B346" s="321" t="s">
        <v>2928</v>
      </c>
      <c r="C346" s="322">
        <v>0.15</v>
      </c>
      <c r="D346" s="322">
        <v>0.15</v>
      </c>
      <c r="E346" s="322">
        <v>0.15</v>
      </c>
      <c r="F346" s="322">
        <v>0.144</v>
      </c>
      <c r="G346" s="323">
        <v>0.15</v>
      </c>
    </row>
    <row r="347" spans="1:7">
      <c r="A347" s="332" t="s">
        <v>292</v>
      </c>
      <c r="B347" s="321" t="s">
        <v>2937</v>
      </c>
      <c r="C347" s="322">
        <v>0.15</v>
      </c>
      <c r="D347" s="322">
        <v>0.15</v>
      </c>
      <c r="E347" s="322">
        <v>0.15</v>
      </c>
      <c r="F347" s="322">
        <v>0.146</v>
      </c>
      <c r="G347" s="323">
        <v>0.15</v>
      </c>
    </row>
    <row r="348" spans="1:7">
      <c r="A348" s="332" t="s">
        <v>292</v>
      </c>
      <c r="B348" s="321" t="s">
        <v>2945</v>
      </c>
      <c r="C348" s="322">
        <v>0.15</v>
      </c>
      <c r="D348" s="322">
        <v>0.15</v>
      </c>
      <c r="E348" s="322">
        <v>0.15</v>
      </c>
      <c r="F348" s="322">
        <v>0.144</v>
      </c>
      <c r="G348" s="323">
        <v>0.15</v>
      </c>
    </row>
    <row r="349" spans="1:7">
      <c r="A349" s="332" t="s">
        <v>292</v>
      </c>
      <c r="B349" s="321" t="s">
        <v>2953</v>
      </c>
      <c r="C349" s="322">
        <v>0.15</v>
      </c>
      <c r="D349" s="322">
        <v>0.15</v>
      </c>
      <c r="E349" s="322">
        <v>0.15</v>
      </c>
      <c r="F349" s="322">
        <v>0.15</v>
      </c>
      <c r="G349" s="323">
        <v>0.15</v>
      </c>
    </row>
    <row r="350" spans="1:7">
      <c r="A350" s="332" t="s">
        <v>292</v>
      </c>
      <c r="B350" s="321" t="s">
        <v>2961</v>
      </c>
      <c r="C350" s="322">
        <v>0.15</v>
      </c>
      <c r="D350" s="322">
        <v>0.15</v>
      </c>
      <c r="E350" s="322">
        <v>0.15</v>
      </c>
      <c r="F350" s="322">
        <v>0.147</v>
      </c>
      <c r="G350" s="323">
        <v>0.15</v>
      </c>
    </row>
    <row r="351" spans="1:7">
      <c r="A351" s="332" t="s">
        <v>292</v>
      </c>
      <c r="B351" s="321" t="s">
        <v>2969</v>
      </c>
      <c r="C351" s="322">
        <v>0.15</v>
      </c>
      <c r="D351" s="322">
        <v>0.15</v>
      </c>
      <c r="E351" s="322">
        <v>0.15</v>
      </c>
      <c r="F351" s="322">
        <v>0.13</v>
      </c>
      <c r="G351" s="323">
        <v>0.15</v>
      </c>
    </row>
    <row r="352" spans="1:7">
      <c r="A352" s="332" t="s">
        <v>292</v>
      </c>
      <c r="B352" s="321" t="s">
        <v>2976</v>
      </c>
      <c r="C352" s="322">
        <v>0.15</v>
      </c>
      <c r="D352" s="322">
        <v>0.15</v>
      </c>
      <c r="E352" s="322">
        <v>0.15</v>
      </c>
      <c r="F352" s="322">
        <v>0.146</v>
      </c>
      <c r="G352" s="323">
        <v>0.15</v>
      </c>
    </row>
    <row r="353" spans="1:7">
      <c r="A353" s="332" t="s">
        <v>292</v>
      </c>
      <c r="B353" s="321" t="s">
        <v>2983</v>
      </c>
      <c r="C353" s="322">
        <v>0.15</v>
      </c>
      <c r="D353" s="322">
        <v>0.15</v>
      </c>
      <c r="E353" s="322">
        <v>0.15</v>
      </c>
      <c r="F353" s="322">
        <v>0.145</v>
      </c>
      <c r="G353" s="323">
        <v>0.15</v>
      </c>
    </row>
    <row r="354" spans="1:7">
      <c r="A354" s="332" t="s">
        <v>292</v>
      </c>
      <c r="B354" s="321" t="s">
        <v>2990</v>
      </c>
      <c r="C354" s="322">
        <v>0.15</v>
      </c>
      <c r="D354" s="322">
        <v>0.15</v>
      </c>
      <c r="E354" s="322">
        <v>0.15</v>
      </c>
      <c r="F354" s="322">
        <v>0.141</v>
      </c>
      <c r="G354" s="323">
        <v>0.15</v>
      </c>
    </row>
    <row r="355" spans="1:7">
      <c r="A355" s="332" t="s">
        <v>292</v>
      </c>
      <c r="B355" s="321" t="s">
        <v>2997</v>
      </c>
      <c r="C355" s="322">
        <v>0.15</v>
      </c>
      <c r="D355" s="322">
        <v>0.15</v>
      </c>
      <c r="E355" s="322">
        <v>0.15</v>
      </c>
      <c r="F355" s="322">
        <v>0.15</v>
      </c>
      <c r="G355" s="323">
        <v>0.15</v>
      </c>
    </row>
    <row r="356" spans="1:7">
      <c r="A356" s="332" t="s">
        <v>292</v>
      </c>
      <c r="B356" s="321" t="s">
        <v>3004</v>
      </c>
      <c r="C356" s="322">
        <v>0.15</v>
      </c>
      <c r="D356" s="322">
        <v>0.15</v>
      </c>
      <c r="E356" s="322">
        <v>0.15</v>
      </c>
      <c r="F356" s="322">
        <v>0.15</v>
      </c>
      <c r="G356" s="323">
        <v>0.15</v>
      </c>
    </row>
    <row r="357" ht="14.25" spans="1:7">
      <c r="A357" s="335" t="s">
        <v>292</v>
      </c>
      <c r="B357" s="325" t="s">
        <v>3011</v>
      </c>
      <c r="C357" s="326">
        <v>0.126</v>
      </c>
      <c r="D357" s="326">
        <v>0.127</v>
      </c>
      <c r="E357" s="326">
        <v>0.143</v>
      </c>
      <c r="F357" s="326">
        <v>0.125</v>
      </c>
      <c r="G357" s="328">
        <v>0.129</v>
      </c>
    </row>
    <row r="358" spans="1:7">
      <c r="A358" s="331" t="s">
        <v>296</v>
      </c>
      <c r="B358" s="317" t="s">
        <v>2725</v>
      </c>
      <c r="C358" s="318">
        <v>0.15</v>
      </c>
      <c r="D358" s="318">
        <v>0.15</v>
      </c>
      <c r="E358" s="318">
        <v>0.15</v>
      </c>
      <c r="F358" s="318">
        <v>0.15</v>
      </c>
      <c r="G358" s="319">
        <v>0.15</v>
      </c>
    </row>
    <row r="359" spans="1:7">
      <c r="A359" s="332" t="s">
        <v>296</v>
      </c>
      <c r="B359" s="321" t="s">
        <v>2738</v>
      </c>
      <c r="C359" s="322">
        <v>0.1</v>
      </c>
      <c r="D359" s="322">
        <v>0.1</v>
      </c>
      <c r="E359" s="322">
        <v>0.1</v>
      </c>
      <c r="F359" s="322">
        <v>0.1</v>
      </c>
      <c r="G359" s="323">
        <v>0.1</v>
      </c>
    </row>
    <row r="360" spans="1:7">
      <c r="A360" s="332" t="s">
        <v>296</v>
      </c>
      <c r="B360" s="321" t="s">
        <v>2752</v>
      </c>
      <c r="C360" s="322">
        <v>0.15</v>
      </c>
      <c r="D360" s="322">
        <v>0.15</v>
      </c>
      <c r="E360" s="322">
        <v>0.15</v>
      </c>
      <c r="F360" s="322">
        <v>0.149</v>
      </c>
      <c r="G360" s="323">
        <v>0.15</v>
      </c>
    </row>
    <row r="361" spans="1:7">
      <c r="A361" s="332" t="s">
        <v>296</v>
      </c>
      <c r="B361" s="321" t="s">
        <v>2764</v>
      </c>
      <c r="C361" s="322">
        <v>0.15</v>
      </c>
      <c r="D361" s="322">
        <v>0.15</v>
      </c>
      <c r="E361" s="322">
        <v>0.15</v>
      </c>
      <c r="F361" s="322">
        <v>0.115</v>
      </c>
      <c r="G361" s="323">
        <v>0.15</v>
      </c>
    </row>
    <row r="362" spans="1:7">
      <c r="A362" s="332" t="s">
        <v>296</v>
      </c>
      <c r="B362" s="321" t="s">
        <v>2776</v>
      </c>
      <c r="C362" s="322">
        <v>0.15</v>
      </c>
      <c r="D362" s="322">
        <v>0.15</v>
      </c>
      <c r="E362" s="322">
        <v>0.15</v>
      </c>
      <c r="F362" s="322">
        <v>0.106</v>
      </c>
      <c r="G362" s="323">
        <v>0.15</v>
      </c>
    </row>
    <row r="363" spans="1:7">
      <c r="A363" s="332" t="s">
        <v>296</v>
      </c>
      <c r="B363" s="321" t="s">
        <v>2787</v>
      </c>
      <c r="C363" s="322">
        <v>0.15</v>
      </c>
      <c r="D363" s="322">
        <v>0.15</v>
      </c>
      <c r="E363" s="322">
        <v>0.15</v>
      </c>
      <c r="F363" s="322">
        <v>0.147</v>
      </c>
      <c r="G363" s="323">
        <v>0.15</v>
      </c>
    </row>
    <row r="364" spans="1:7">
      <c r="A364" s="332" t="s">
        <v>296</v>
      </c>
      <c r="B364" s="321" t="s">
        <v>2798</v>
      </c>
      <c r="C364" s="322">
        <v>0.15</v>
      </c>
      <c r="D364" s="322">
        <v>0.15</v>
      </c>
      <c r="E364" s="322">
        <v>0.15</v>
      </c>
      <c r="F364" s="322">
        <v>0.148</v>
      </c>
      <c r="G364" s="323">
        <v>0.15</v>
      </c>
    </row>
    <row r="365" spans="1:7">
      <c r="A365" s="332" t="s">
        <v>296</v>
      </c>
      <c r="B365" s="321" t="s">
        <v>2809</v>
      </c>
      <c r="C365" s="322">
        <v>0.15</v>
      </c>
      <c r="D365" s="322">
        <v>0.15</v>
      </c>
      <c r="E365" s="322">
        <v>0.15</v>
      </c>
      <c r="F365" s="322">
        <v>0.15</v>
      </c>
      <c r="G365" s="323">
        <v>0.15</v>
      </c>
    </row>
    <row r="366" spans="1:7">
      <c r="A366" s="332" t="s">
        <v>296</v>
      </c>
      <c r="B366" s="321" t="s">
        <v>2819</v>
      </c>
      <c r="C366" s="322">
        <v>0.15</v>
      </c>
      <c r="D366" s="322">
        <v>0.15</v>
      </c>
      <c r="E366" s="322">
        <v>0.15</v>
      </c>
      <c r="F366" s="322">
        <v>0.15</v>
      </c>
      <c r="G366" s="323">
        <v>0.15</v>
      </c>
    </row>
    <row r="367" spans="1:7">
      <c r="A367" s="332" t="s">
        <v>296</v>
      </c>
      <c r="B367" s="321" t="s">
        <v>2829</v>
      </c>
      <c r="C367" s="322">
        <v>0.15</v>
      </c>
      <c r="D367" s="322">
        <v>0.15</v>
      </c>
      <c r="E367" s="322">
        <v>0.15</v>
      </c>
      <c r="F367" s="322">
        <v>0.147</v>
      </c>
      <c r="G367" s="323">
        <v>0.15</v>
      </c>
    </row>
    <row r="368" spans="1:7">
      <c r="A368" s="332" t="s">
        <v>296</v>
      </c>
      <c r="B368" s="321" t="s">
        <v>2839</v>
      </c>
      <c r="C368" s="322">
        <v>0.15</v>
      </c>
      <c r="D368" s="322">
        <v>0.15</v>
      </c>
      <c r="E368" s="322">
        <v>0.15</v>
      </c>
      <c r="F368" s="322">
        <v>0.136</v>
      </c>
      <c r="G368" s="323">
        <v>0.15</v>
      </c>
    </row>
    <row r="369" spans="1:7">
      <c r="A369" s="332" t="s">
        <v>296</v>
      </c>
      <c r="B369" s="321" t="s">
        <v>2849</v>
      </c>
      <c r="C369" s="322">
        <v>0.15</v>
      </c>
      <c r="D369" s="322">
        <v>0.15</v>
      </c>
      <c r="E369" s="322">
        <v>0.15</v>
      </c>
      <c r="F369" s="322">
        <v>0.144</v>
      </c>
      <c r="G369" s="323">
        <v>0.15</v>
      </c>
    </row>
    <row r="370" spans="1:7">
      <c r="A370" s="332" t="s">
        <v>296</v>
      </c>
      <c r="B370" s="321" t="s">
        <v>2859</v>
      </c>
      <c r="C370" s="322">
        <v>0.15</v>
      </c>
      <c r="D370" s="322">
        <v>0.15</v>
      </c>
      <c r="E370" s="322">
        <v>0.15</v>
      </c>
      <c r="F370" s="322">
        <v>0.146</v>
      </c>
      <c r="G370" s="323">
        <v>0.15</v>
      </c>
    </row>
    <row r="371" spans="1:7">
      <c r="A371" s="332" t="s">
        <v>296</v>
      </c>
      <c r="B371" s="321" t="s">
        <v>2869</v>
      </c>
      <c r="C371" s="322">
        <v>0.15</v>
      </c>
      <c r="D371" s="322">
        <v>0.15</v>
      </c>
      <c r="E371" s="322">
        <v>0.15</v>
      </c>
      <c r="F371" s="322">
        <v>0.12</v>
      </c>
      <c r="G371" s="323">
        <v>0.15</v>
      </c>
    </row>
    <row r="372" spans="1:7">
      <c r="A372" s="332" t="s">
        <v>296</v>
      </c>
      <c r="B372" s="321" t="s">
        <v>2879</v>
      </c>
      <c r="C372" s="322">
        <v>0.15</v>
      </c>
      <c r="D372" s="322">
        <v>0.15</v>
      </c>
      <c r="E372" s="322">
        <v>0.15</v>
      </c>
      <c r="F372" s="322">
        <v>0.143</v>
      </c>
      <c r="G372" s="323">
        <v>0.15</v>
      </c>
    </row>
    <row r="373" spans="1:7">
      <c r="A373" s="332" t="s">
        <v>296</v>
      </c>
      <c r="B373" s="321" t="s">
        <v>2889</v>
      </c>
      <c r="C373" s="322">
        <v>0.15</v>
      </c>
      <c r="D373" s="322">
        <v>0.15</v>
      </c>
      <c r="E373" s="322">
        <v>0.15</v>
      </c>
      <c r="F373" s="322">
        <v>0.146</v>
      </c>
      <c r="G373" s="323">
        <v>0.15</v>
      </c>
    </row>
    <row r="374" spans="1:7">
      <c r="A374" s="332" t="s">
        <v>296</v>
      </c>
      <c r="B374" s="321" t="s">
        <v>2899</v>
      </c>
      <c r="C374" s="322">
        <v>0.15</v>
      </c>
      <c r="D374" s="322">
        <v>0.15</v>
      </c>
      <c r="E374" s="322">
        <v>0.15</v>
      </c>
      <c r="F374" s="322">
        <v>0.144</v>
      </c>
      <c r="G374" s="323">
        <v>0.15</v>
      </c>
    </row>
    <row r="375" spans="1:7">
      <c r="A375" s="332" t="s">
        <v>296</v>
      </c>
      <c r="B375" s="321" t="s">
        <v>2909</v>
      </c>
      <c r="C375" s="322">
        <v>0.15</v>
      </c>
      <c r="D375" s="322">
        <v>0.15</v>
      </c>
      <c r="E375" s="322">
        <v>0.15</v>
      </c>
      <c r="F375" s="322">
        <v>0.13</v>
      </c>
      <c r="G375" s="323">
        <v>0.15</v>
      </c>
    </row>
    <row r="376" spans="1:7">
      <c r="A376" s="332" t="s">
        <v>296</v>
      </c>
      <c r="B376" s="321" t="s">
        <v>2919</v>
      </c>
      <c r="C376" s="322">
        <v>0.15</v>
      </c>
      <c r="D376" s="322">
        <v>0.15</v>
      </c>
      <c r="E376" s="322">
        <v>0.15</v>
      </c>
      <c r="F376" s="322">
        <v>0.142</v>
      </c>
      <c r="G376" s="323">
        <v>0.15</v>
      </c>
    </row>
    <row r="377" ht="14.25" spans="1:7">
      <c r="A377" s="335" t="s">
        <v>296</v>
      </c>
      <c r="B377" s="325" t="s">
        <v>2929</v>
      </c>
      <c r="C377" s="326">
        <v>0.15</v>
      </c>
      <c r="D377" s="326">
        <v>0.15</v>
      </c>
      <c r="E377" s="326">
        <v>0.15</v>
      </c>
      <c r="F377" s="326">
        <v>0.14</v>
      </c>
      <c r="G377" s="328">
        <v>0.15</v>
      </c>
    </row>
    <row r="378" spans="1:7">
      <c r="A378" s="331" t="s">
        <v>300</v>
      </c>
      <c r="B378" s="317" t="s">
        <v>2726</v>
      </c>
      <c r="C378" s="318">
        <v>0.15</v>
      </c>
      <c r="D378" s="318">
        <v>0.15</v>
      </c>
      <c r="E378" s="318">
        <v>0.15</v>
      </c>
      <c r="F378" s="318">
        <v>0.107</v>
      </c>
      <c r="G378" s="319">
        <v>0.15</v>
      </c>
    </row>
    <row r="379" spans="1:7">
      <c r="A379" s="332" t="s">
        <v>300</v>
      </c>
      <c r="B379" s="321" t="s">
        <v>2739</v>
      </c>
      <c r="C379" s="322">
        <v>0.15</v>
      </c>
      <c r="D379" s="322">
        <v>0.15</v>
      </c>
      <c r="E379" s="322">
        <v>0.15</v>
      </c>
      <c r="F379" s="322">
        <v>0.115</v>
      </c>
      <c r="G379" s="323">
        <v>0.149</v>
      </c>
    </row>
    <row r="380" spans="1:7">
      <c r="A380" s="332" t="s">
        <v>300</v>
      </c>
      <c r="B380" s="321" t="s">
        <v>2753</v>
      </c>
      <c r="C380" s="322">
        <v>0.15</v>
      </c>
      <c r="D380" s="322">
        <v>0.15</v>
      </c>
      <c r="E380" s="322">
        <v>0.15</v>
      </c>
      <c r="F380" s="322">
        <v>0.1</v>
      </c>
      <c r="G380" s="323">
        <v>0.148</v>
      </c>
    </row>
    <row r="381" spans="1:7">
      <c r="A381" s="332" t="s">
        <v>300</v>
      </c>
      <c r="B381" s="321" t="s">
        <v>2765</v>
      </c>
      <c r="C381" s="322">
        <v>0.15</v>
      </c>
      <c r="D381" s="322">
        <v>0.15</v>
      </c>
      <c r="E381" s="322">
        <v>0.15</v>
      </c>
      <c r="F381" s="322">
        <v>0.126</v>
      </c>
      <c r="G381" s="323">
        <v>0.15</v>
      </c>
    </row>
    <row r="382" spans="1:7">
      <c r="A382" s="332" t="s">
        <v>300</v>
      </c>
      <c r="B382" s="321" t="s">
        <v>2777</v>
      </c>
      <c r="C382" s="322">
        <v>0.15</v>
      </c>
      <c r="D382" s="322">
        <v>0.15</v>
      </c>
      <c r="E382" s="322">
        <v>0.15</v>
      </c>
      <c r="F382" s="322">
        <v>0.15</v>
      </c>
      <c r="G382" s="323">
        <v>0.15</v>
      </c>
    </row>
    <row r="383" spans="1:7">
      <c r="A383" s="332" t="s">
        <v>300</v>
      </c>
      <c r="B383" s="321" t="s">
        <v>2788</v>
      </c>
      <c r="C383" s="322">
        <v>0.15</v>
      </c>
      <c r="D383" s="322">
        <v>0.15</v>
      </c>
      <c r="E383" s="322">
        <v>0.15</v>
      </c>
      <c r="F383" s="322">
        <v>0.147</v>
      </c>
      <c r="G383" s="323">
        <v>0.15</v>
      </c>
    </row>
    <row r="384" ht="14.25" spans="1:7">
      <c r="A384" s="342" t="s">
        <v>300</v>
      </c>
      <c r="B384" s="343" t="s">
        <v>2799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3103</v>
      </c>
      <c r="B1" s="300"/>
      <c r="C1" s="300"/>
      <c r="D1" s="300"/>
      <c r="E1" s="300"/>
      <c r="F1" s="301"/>
    </row>
    <row r="2" ht="14.25" spans="1:6">
      <c r="A2" s="302" t="s">
        <v>3104</v>
      </c>
      <c r="B2" s="303"/>
      <c r="C2" s="303"/>
      <c r="D2" s="303"/>
      <c r="E2" s="303"/>
      <c r="F2" s="303"/>
    </row>
    <row r="3" ht="14.25" spans="1:6">
      <c r="A3" s="302" t="s">
        <v>3105</v>
      </c>
      <c r="B3" s="303"/>
      <c r="C3" s="303"/>
      <c r="D3" s="303"/>
      <c r="E3" s="303"/>
      <c r="F3" s="304" t="s">
        <v>3106</v>
      </c>
    </row>
    <row r="4" spans="1:6">
      <c r="A4" s="305" t="s">
        <v>404</v>
      </c>
      <c r="B4" s="305" t="s">
        <v>2389</v>
      </c>
      <c r="C4" s="305" t="s">
        <v>2390</v>
      </c>
      <c r="D4" s="305" t="s">
        <v>3107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45539</v>
      </c>
      <c r="B1" s="226" t="s">
        <v>3108</v>
      </c>
      <c r="C1" s="227"/>
      <c r="D1" s="227"/>
      <c r="E1" s="227"/>
      <c r="F1" s="227"/>
      <c r="G1" s="227"/>
      <c r="H1" s="227"/>
      <c r="I1" s="227"/>
      <c r="J1" s="253"/>
      <c r="K1" s="227" t="s">
        <v>3109</v>
      </c>
      <c r="L1" s="227"/>
      <c r="M1" s="227"/>
      <c r="N1" s="227"/>
      <c r="O1" s="227"/>
      <c r="P1" s="227"/>
      <c r="Q1" s="253"/>
      <c r="R1" s="273" t="s">
        <v>3110</v>
      </c>
      <c r="S1" s="224"/>
      <c r="T1" s="224"/>
      <c r="U1" s="224"/>
      <c r="V1" s="224"/>
      <c r="W1" s="224"/>
      <c r="X1" s="253"/>
      <c r="Y1" s="273" t="s">
        <v>3111</v>
      </c>
      <c r="Z1" s="224"/>
      <c r="AA1" s="224"/>
      <c r="AB1" s="224"/>
      <c r="AC1" s="224"/>
      <c r="AD1" s="224"/>
    </row>
    <row r="2" s="217" customFormat="1" ht="14.25" spans="2:30">
      <c r="B2" s="228"/>
      <c r="C2" s="229"/>
      <c r="D2" s="230" t="s">
        <v>3112</v>
      </c>
      <c r="E2" s="231" t="s">
        <v>2389</v>
      </c>
      <c r="F2" s="231" t="s">
        <v>2390</v>
      </c>
      <c r="G2" s="231" t="s">
        <v>412</v>
      </c>
      <c r="H2" s="231" t="s">
        <v>408</v>
      </c>
      <c r="I2" s="231" t="s">
        <v>280</v>
      </c>
      <c r="J2" s="254"/>
      <c r="K2" s="230" t="s">
        <v>3112</v>
      </c>
      <c r="L2" s="231" t="s">
        <v>2389</v>
      </c>
      <c r="M2" s="231" t="s">
        <v>2390</v>
      </c>
      <c r="N2" s="231" t="s">
        <v>412</v>
      </c>
      <c r="O2" s="231" t="s">
        <v>408</v>
      </c>
      <c r="P2" s="231" t="s">
        <v>280</v>
      </c>
      <c r="Q2" s="254"/>
      <c r="R2" s="230" t="s">
        <v>3112</v>
      </c>
      <c r="S2" s="231" t="s">
        <v>2389</v>
      </c>
      <c r="T2" s="231" t="s">
        <v>2390</v>
      </c>
      <c r="U2" s="231" t="s">
        <v>412</v>
      </c>
      <c r="V2" s="231" t="s">
        <v>408</v>
      </c>
      <c r="W2" s="231" t="s">
        <v>280</v>
      </c>
      <c r="X2" s="254"/>
      <c r="Y2" s="230" t="s">
        <v>3112</v>
      </c>
      <c r="Z2" s="231" t="s">
        <v>2389</v>
      </c>
      <c r="AA2" s="231" t="s">
        <v>2390</v>
      </c>
      <c r="AB2" s="231" t="s">
        <v>412</v>
      </c>
      <c r="AC2" s="231" t="s">
        <v>408</v>
      </c>
      <c r="AD2" s="231" t="s">
        <v>280</v>
      </c>
    </row>
    <row r="3" s="218" customFormat="1" ht="12.75" spans="1:30">
      <c r="A3" s="232" t="s">
        <v>3113</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3114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3115</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3116</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3117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3118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3119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3120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3121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3122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3123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3124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3125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3126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3127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3128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3129</v>
      </c>
    </row>
    <row r="22" s="223" customFormat="1" spans="9:9">
      <c r="I22" s="272" t="s">
        <v>1446</v>
      </c>
    </row>
    <row r="23" s="223" customFormat="1"/>
    <row r="24" s="224" customFormat="1" ht="12.75" spans="2:25">
      <c r="B24" s="226" t="s">
        <v>3130</v>
      </c>
      <c r="C24" s="227"/>
      <c r="D24" s="227"/>
      <c r="E24" s="227"/>
      <c r="F24" s="227"/>
      <c r="G24" s="227"/>
      <c r="H24" s="227"/>
      <c r="I24" s="227"/>
      <c r="J24" s="253"/>
      <c r="K24" s="227" t="s">
        <v>3109</v>
      </c>
      <c r="L24" s="227"/>
      <c r="M24" s="227"/>
      <c r="N24" s="227"/>
      <c r="O24" s="227"/>
      <c r="P24" s="227"/>
      <c r="Q24" s="253"/>
      <c r="R24" s="273" t="s">
        <v>3110</v>
      </c>
      <c r="X24" s="253"/>
      <c r="Y24" s="273" t="s">
        <v>3111</v>
      </c>
    </row>
    <row r="25" s="217" customFormat="1" ht="14.25" spans="2:30">
      <c r="B25" s="228"/>
      <c r="C25" s="229"/>
      <c r="D25" s="230" t="s">
        <v>3112</v>
      </c>
      <c r="E25" s="231" t="s">
        <v>2389</v>
      </c>
      <c r="F25" s="231" t="s">
        <v>2390</v>
      </c>
      <c r="G25" s="231" t="s">
        <v>412</v>
      </c>
      <c r="H25" s="231"/>
      <c r="I25" s="231" t="s">
        <v>280</v>
      </c>
      <c r="J25" s="254"/>
      <c r="K25" s="230" t="s">
        <v>3112</v>
      </c>
      <c r="L25" s="231" t="s">
        <v>2389</v>
      </c>
      <c r="M25" s="231" t="s">
        <v>2390</v>
      </c>
      <c r="N25" s="231" t="s">
        <v>412</v>
      </c>
      <c r="O25" s="231"/>
      <c r="P25" s="231" t="s">
        <v>280</v>
      </c>
      <c r="Q25" s="254"/>
      <c r="R25" s="230" t="s">
        <v>3112</v>
      </c>
      <c r="S25" s="231" t="s">
        <v>2389</v>
      </c>
      <c r="T25" s="231" t="s">
        <v>2390</v>
      </c>
      <c r="U25" s="231" t="s">
        <v>412</v>
      </c>
      <c r="V25" s="231"/>
      <c r="W25" s="231" t="s">
        <v>280</v>
      </c>
      <c r="X25" s="254"/>
      <c r="Y25" s="230" t="s">
        <v>3112</v>
      </c>
      <c r="Z25" s="231" t="s">
        <v>2389</v>
      </c>
      <c r="AA25" s="231" t="s">
        <v>2390</v>
      </c>
      <c r="AB25" s="231" t="s">
        <v>412</v>
      </c>
      <c r="AC25" s="231"/>
      <c r="AD25" s="231" t="s">
        <v>280</v>
      </c>
    </row>
    <row r="26" s="218" customFormat="1" ht="12.75" spans="1:30">
      <c r="A26" s="232" t="s">
        <v>3113</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3114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3115</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3116</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3117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3118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3119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3120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3121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3122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3123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3124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3125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3126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3127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3128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3131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3132</v>
      </c>
      <c r="C1" s="85"/>
      <c r="D1" s="85"/>
      <c r="E1" s="85"/>
      <c r="F1" s="85"/>
      <c r="G1" s="74" t="s">
        <v>3133</v>
      </c>
      <c r="N1" s="74" t="s">
        <v>3109</v>
      </c>
      <c r="S1" s="74" t="s">
        <v>3134</v>
      </c>
      <c r="X1" s="158" t="s">
        <v>3110</v>
      </c>
      <c r="AD1" s="158" t="s">
        <v>3111</v>
      </c>
    </row>
    <row r="2" s="75" customFormat="1" ht="14.25" spans="2:34">
      <c r="B2" s="86" t="s">
        <v>3135</v>
      </c>
      <c r="C2" s="86" t="s">
        <v>3136</v>
      </c>
      <c r="D2" s="87" t="s">
        <v>2390</v>
      </c>
      <c r="E2" s="87" t="s">
        <v>412</v>
      </c>
      <c r="F2" s="86" t="s">
        <v>3137</v>
      </c>
      <c r="G2" s="88"/>
      <c r="I2" s="86" t="s">
        <v>3135</v>
      </c>
      <c r="J2" s="87" t="s">
        <v>2399</v>
      </c>
      <c r="K2" s="87" t="s">
        <v>412</v>
      </c>
      <c r="L2" s="86" t="s">
        <v>3137</v>
      </c>
      <c r="N2" s="86" t="s">
        <v>3135</v>
      </c>
      <c r="O2" s="87" t="s">
        <v>2399</v>
      </c>
      <c r="P2" s="87" t="s">
        <v>412</v>
      </c>
      <c r="Q2" s="86" t="s">
        <v>3137</v>
      </c>
      <c r="S2" s="86" t="s">
        <v>3135</v>
      </c>
      <c r="T2" s="87" t="s">
        <v>2399</v>
      </c>
      <c r="U2" s="87" t="s">
        <v>412</v>
      </c>
      <c r="V2" s="86" t="s">
        <v>3137</v>
      </c>
      <c r="X2" s="86" t="s">
        <v>3135</v>
      </c>
      <c r="Y2" s="86" t="s">
        <v>3136</v>
      </c>
      <c r="Z2" s="87" t="s">
        <v>2390</v>
      </c>
      <c r="AA2" s="87" t="s">
        <v>412</v>
      </c>
      <c r="AB2" s="86" t="s">
        <v>3137</v>
      </c>
      <c r="AD2" s="86" t="s">
        <v>3135</v>
      </c>
      <c r="AE2" s="86" t="s">
        <v>3136</v>
      </c>
      <c r="AF2" s="87" t="s">
        <v>2390</v>
      </c>
      <c r="AG2" s="87" t="s">
        <v>412</v>
      </c>
      <c r="AH2" s="86" t="s">
        <v>3137</v>
      </c>
    </row>
    <row r="3" s="76" customFormat="1" ht="14.25" spans="1:34">
      <c r="A3" s="89" t="s">
        <v>3113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3121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3122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3138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3123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3124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3125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3126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3127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3128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3139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3140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3141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3142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3143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3144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3145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3146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3147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3148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3149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3150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3151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3152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3153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3154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3155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3156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3157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3158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3159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3160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3161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3162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3163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3164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3165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3166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3167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3168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3169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3170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3171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3172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3173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3174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3175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3176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3177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3178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3179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3180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3181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3182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3183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3184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3185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3186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3187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3188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3189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3190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3191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3192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3193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3194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3195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3196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3197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3198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3199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3200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3201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3202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3203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3204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3205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3206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3207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3208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3209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3210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3211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3212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3213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3214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3215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3216</v>
      </c>
      <c r="G91" s="192"/>
      <c r="N91" s="192"/>
      <c r="S91" s="192"/>
    </row>
    <row r="92" s="82" customFormat="1" spans="1:19">
      <c r="A92" s="82" t="s">
        <v>3217</v>
      </c>
      <c r="G92" s="192"/>
      <c r="N92" s="192"/>
      <c r="S92" s="192"/>
    </row>
    <row r="93" s="82" customFormat="1" spans="1:22">
      <c r="A93" s="82" t="s">
        <v>3218</v>
      </c>
      <c r="G93" s="192"/>
      <c r="I93" s="204"/>
      <c r="J93" s="204"/>
      <c r="K93" s="204"/>
      <c r="L93" s="204"/>
      <c r="N93" s="205"/>
      <c r="O93" s="204"/>
      <c r="P93" s="204"/>
      <c r="Q93" s="204"/>
      <c r="S93" s="205"/>
      <c r="T93" s="204"/>
      <c r="U93" s="204"/>
      <c r="V93" s="204"/>
    </row>
    <row r="94" s="82" customFormat="1" spans="1:19">
      <c r="A94" s="82" t="s">
        <v>3219</v>
      </c>
      <c r="G94" s="192"/>
      <c r="N94" s="192"/>
      <c r="S94" s="192"/>
    </row>
    <row r="101" ht="13.5"/>
    <row r="102" spans="7:22">
      <c r="G102" s="83"/>
      <c r="S102" s="209" t="s">
        <v>3220</v>
      </c>
      <c r="T102" s="210" t="s">
        <v>3221</v>
      </c>
      <c r="U102" s="210" t="s">
        <v>3222</v>
      </c>
      <c r="V102" s="210" t="s">
        <v>3223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45539</v>
      </c>
      <c r="D1" s="7" t="s">
        <v>3224</v>
      </c>
      <c r="E1" s="9">
        <f>'数据-取费表'!B22</f>
        <v>2</v>
      </c>
      <c r="F1" s="7" t="s">
        <v>3225</v>
      </c>
      <c r="G1" s="10">
        <f ca="1">INDIRECT("d"&amp;$K$1)/100</f>
        <v>0.0335</v>
      </c>
      <c r="H1" s="7" t="s">
        <v>3226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3225</v>
      </c>
      <c r="E2" s="11"/>
      <c r="F2" s="11" t="s">
        <v>3227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3228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3229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3230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3231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3232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3233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3234</v>
      </c>
      <c r="C10" s="35"/>
      <c r="D10" s="35"/>
      <c r="E10" s="35"/>
      <c r="F10" s="35"/>
      <c r="G10" s="35"/>
      <c r="H10" s="35"/>
      <c r="I10" s="3"/>
      <c r="J10" s="3"/>
      <c r="K10" s="35"/>
      <c r="L10" s="36" t="s">
        <v>3235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3236</v>
      </c>
      <c r="C11" s="39" t="s">
        <v>3237</v>
      </c>
      <c r="D11" s="40" t="s">
        <v>3238</v>
      </c>
      <c r="E11" s="41"/>
      <c r="F11" s="40" t="s">
        <v>3239</v>
      </c>
      <c r="G11" s="42"/>
      <c r="H11" s="41"/>
      <c r="I11" s="40" t="s">
        <v>3240</v>
      </c>
      <c r="J11" s="41"/>
      <c r="K11" s="37"/>
      <c r="L11" s="38" t="s">
        <v>3236</v>
      </c>
      <c r="M11" s="39" t="s">
        <v>3237</v>
      </c>
      <c r="N11" s="38" t="s">
        <v>3241</v>
      </c>
      <c r="O11" s="40" t="s">
        <v>3242</v>
      </c>
      <c r="P11" s="42"/>
      <c r="Q11" s="42"/>
      <c r="R11" s="42"/>
      <c r="S11" s="42"/>
      <c r="T11" s="41"/>
      <c r="U11" s="40" t="s">
        <v>3243</v>
      </c>
      <c r="V11" s="42"/>
      <c r="W11" s="41"/>
      <c r="X11" s="38" t="s">
        <v>3244</v>
      </c>
      <c r="Y11" s="38" t="s">
        <v>3245</v>
      </c>
      <c r="Z11" s="38" t="s">
        <v>3246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3247</v>
      </c>
      <c r="E12" s="46" t="s">
        <v>3229</v>
      </c>
      <c r="F12" s="46" t="s">
        <v>3230</v>
      </c>
      <c r="G12" s="46" t="s">
        <v>3231</v>
      </c>
      <c r="H12" s="46" t="s">
        <v>3232</v>
      </c>
      <c r="I12" s="60" t="s">
        <v>3248</v>
      </c>
      <c r="J12" s="60" t="s">
        <v>3248</v>
      </c>
      <c r="K12" s="43"/>
      <c r="L12" s="44"/>
      <c r="M12" s="45"/>
      <c r="N12" s="44"/>
      <c r="O12" s="60" t="s">
        <v>3249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3250</v>
      </c>
      <c r="C13" s="49">
        <v>45495</v>
      </c>
      <c r="D13" s="50">
        <v>3.35</v>
      </c>
      <c r="E13" s="50">
        <f t="shared" ref="E13:E15" si="0">D13</f>
        <v>3.35</v>
      </c>
      <c r="F13" s="50">
        <f t="shared" ref="F13:F15" si="1">D13</f>
        <v>3.35</v>
      </c>
      <c r="G13" s="50">
        <f t="shared" ref="G13:G15" si="2">D13</f>
        <v>3.35</v>
      </c>
      <c r="H13" s="50">
        <v>3.85</v>
      </c>
      <c r="I13" s="50"/>
      <c r="J13" s="50"/>
      <c r="K13" s="47"/>
      <c r="L13" s="48" t="s">
        <v>3250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3251</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3252</v>
      </c>
      <c r="Y42" s="52" t="s">
        <v>3252</v>
      </c>
      <c r="Z42" s="52" t="s">
        <v>3252</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3252</v>
      </c>
      <c r="Y43" s="52" t="s">
        <v>3252</v>
      </c>
      <c r="Z43" s="52" t="s">
        <v>3252</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3252</v>
      </c>
      <c r="Y44" s="52" t="s">
        <v>3252</v>
      </c>
      <c r="Z44" s="52" t="s">
        <v>3252</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3252</v>
      </c>
      <c r="Y45" s="52" t="s">
        <v>3252</v>
      </c>
      <c r="Z45" s="52" t="s">
        <v>3252</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3252</v>
      </c>
      <c r="Y46" s="52" t="s">
        <v>3252</v>
      </c>
      <c r="Z46" s="52" t="s">
        <v>3252</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3252</v>
      </c>
      <c r="Y47" s="52" t="s">
        <v>3252</v>
      </c>
      <c r="Z47" s="52" t="s">
        <v>3252</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3252</v>
      </c>
      <c r="Y48" s="52" t="s">
        <v>3252</v>
      </c>
      <c r="Z48" s="52" t="s">
        <v>3252</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3252</v>
      </c>
      <c r="Y49" s="52" t="s">
        <v>3252</v>
      </c>
      <c r="Z49" s="52" t="s">
        <v>3252</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3252</v>
      </c>
      <c r="Y50" s="52" t="s">
        <v>3252</v>
      </c>
      <c r="Z50" s="52" t="s">
        <v>3252</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3252</v>
      </c>
      <c r="V51" s="52" t="s">
        <v>3252</v>
      </c>
      <c r="W51" s="52" t="s">
        <v>3252</v>
      </c>
      <c r="X51" s="52" t="s">
        <v>3252</v>
      </c>
      <c r="Y51" s="52" t="s">
        <v>3252</v>
      </c>
      <c r="Z51" s="52" t="s">
        <v>3252</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3252</v>
      </c>
      <c r="J67" s="52" t="s">
        <v>3252</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房地产</v>
      </c>
      <c r="B4" s="3630">
        <f>项目基本情况!C17</f>
        <v>23244.54</v>
      </c>
      <c r="C4" s="3630">
        <f>项目基本情况!C18</f>
        <v>3800.1</v>
      </c>
      <c r="D4" s="3630">
        <f ca="1">结果表!D118</f>
        <v>1562</v>
      </c>
      <c r="E4" s="3630">
        <f ca="1">结果表!E118</f>
        <v>672</v>
      </c>
      <c r="F4" s="3630">
        <f ca="1">结果表!F118</f>
        <v>9759</v>
      </c>
      <c r="G4" s="3630">
        <f ca="1">结果表!G118</f>
        <v>4198</v>
      </c>
      <c r="H4" s="3630">
        <f ca="1">结果表!H118</f>
        <v>11321</v>
      </c>
      <c r="I4" s="3630">
        <f ca="1">结果表!I118</f>
        <v>4870</v>
      </c>
    </row>
    <row r="5" ht="30" customHeight="1" spans="1:9">
      <c r="A5" s="3630" t="s">
        <v>112</v>
      </c>
      <c r="B5" s="3630"/>
      <c r="C5" s="3630"/>
      <c r="D5" s="3630" t="str">
        <f ca="1">结果表!D119</f>
        <v>壹仟伍佰陆拾贰万元整</v>
      </c>
      <c r="E5" s="3630"/>
      <c r="F5" s="3630" t="str">
        <f ca="1">结果表!F119</f>
        <v>玖仟柒佰伍拾玖万元整</v>
      </c>
      <c r="G5" s="3630"/>
      <c r="H5" s="3630" t="str">
        <f ca="1">结果表!H119</f>
        <v>壹亿壹仟叁佰贰拾壹万元整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11321</v>
      </c>
      <c r="E8" s="3632"/>
      <c r="F8" s="3632"/>
      <c r="G8" s="3632"/>
      <c r="H8" s="3632"/>
      <c r="I8" s="3632"/>
    </row>
    <row r="9" ht="15" spans="1:9">
      <c r="A9" s="3630" t="s">
        <v>112</v>
      </c>
      <c r="B9" s="3630"/>
      <c r="C9" s="3630"/>
      <c r="D9" s="3630" t="str">
        <f ca="1">结果表!D123</f>
        <v>壹亿壹仟叁佰贰拾壹万元整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7"/>
      <c r="C23" s="1867"/>
      <c r="D23" s="1867"/>
    </row>
    <row r="24" spans="1:4">
      <c r="A24" s="3624"/>
      <c r="B24" s="1867"/>
      <c r="C24" s="1867"/>
      <c r="D24" s="1867"/>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4" customWidth="1"/>
    <col min="3" max="10" width="12.5"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0" customWidth="1"/>
    <col min="2" max="16384" width="14.5"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8" customWidth="1"/>
    <col min="2" max="2" width="38.625" style="3548" customWidth="1"/>
    <col min="3" max="3" width="26" style="3548" customWidth="1"/>
    <col min="4" max="4" width="35" style="3548" hidden="1" customWidth="1"/>
    <col min="5" max="5" width="30.125" style="3548" customWidth="1"/>
    <col min="6" max="6" width="35.5" style="3548" customWidth="1"/>
    <col min="7" max="7" width="31" style="3548" customWidth="1"/>
    <col min="8" max="8" width="37.5" style="3548" hidden="1" customWidth="1"/>
    <col min="9" max="16384" width="22.625" style="3548"/>
  </cols>
  <sheetData>
    <row r="1" customHeight="1" spans="1:8">
      <c r="A1" s="3549"/>
      <c r="B1" s="3549"/>
      <c r="C1" s="3549"/>
      <c r="D1" s="3549"/>
      <c r="E1" s="3549"/>
      <c r="F1" s="3549"/>
      <c r="G1" s="3549"/>
      <c r="H1" s="3549"/>
    </row>
    <row r="2" customHeight="1" spans="1:8">
      <c r="A2" s="3550" t="s">
        <v>175</v>
      </c>
      <c r="B2" s="3551">
        <f ca="1">TODAY()</f>
        <v>45539</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t="str">
        <f ca="1">IF(C6&lt;B2,"已过期",1120050019)</f>
        <v>已过期</v>
      </c>
      <c r="C6" s="3558">
        <v>45410</v>
      </c>
      <c r="D6" s="3559" t="str">
        <f ca="1" t="shared" si="0"/>
        <v>王鹏（注册号：已过期）</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t="str">
        <f ca="1">IF(C13&lt;B2,"已过期",1120020033)</f>
        <v>已过期</v>
      </c>
      <c r="C13" s="3558">
        <v>45375</v>
      </c>
      <c r="D13" s="3559" t="str">
        <f ca="1" t="shared" si="0"/>
        <v>刘敬东（注册号：已过期）</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2024-09-04T08:55:26Z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